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Папка для обмена\Шароглазова\изменения в программу\! Изменения 2023\Изменения октябрь 2023\"/>
    </mc:Choice>
  </mc:AlternateContent>
  <bookViews>
    <workbookView xWindow="0" yWindow="0" windowWidth="24000" windowHeight="14130"/>
  </bookViews>
  <sheets>
    <sheet name="Форма 3" sheetId="1" r:id="rId1"/>
  </sheets>
  <definedNames>
    <definedName name="_xlnm.Print_Titles" localSheetId="0">'Форма 3'!$11:$15</definedName>
    <definedName name="_xlnm.Print_Area" localSheetId="0">'Форма 3'!$A$1:$S$64</definedName>
  </definedNames>
  <calcPr calcId="162913"/>
</workbook>
</file>

<file path=xl/calcChain.xml><?xml version="1.0" encoding="utf-8"?>
<calcChain xmlns="http://schemas.openxmlformats.org/spreadsheetml/2006/main">
  <c r="C41" i="1" l="1"/>
  <c r="F41" i="1"/>
  <c r="G41" i="1"/>
  <c r="H41" i="1"/>
  <c r="E41" i="1"/>
  <c r="I41" i="1" l="1"/>
  <c r="M39" i="1"/>
  <c r="U35" i="1" l="1"/>
  <c r="C17" i="1" l="1"/>
  <c r="Q16" i="1" l="1"/>
  <c r="R16" i="1"/>
  <c r="S16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J40" i="1"/>
  <c r="L40" i="1" s="1"/>
  <c r="K39" i="1"/>
  <c r="V42" i="1"/>
  <c r="V43" i="1"/>
  <c r="V44" i="1"/>
  <c r="V47" i="1"/>
  <c r="V48" i="1"/>
  <c r="V49" i="1"/>
  <c r="V50" i="1"/>
  <c r="V51" i="1"/>
  <c r="V52" i="1"/>
  <c r="V53" i="1"/>
  <c r="V55" i="1"/>
  <c r="V56" i="1"/>
  <c r="V57" i="1"/>
  <c r="V58" i="1"/>
  <c r="V60" i="1"/>
  <c r="V61" i="1"/>
  <c r="V62" i="1"/>
  <c r="V63" i="1"/>
  <c r="V64" i="1"/>
  <c r="O39" i="1"/>
  <c r="O16" i="1" s="1"/>
  <c r="N39" i="1"/>
  <c r="I59" i="1"/>
  <c r="G59" i="1"/>
  <c r="V59" i="1" s="1"/>
  <c r="D59" i="1"/>
  <c r="C59" i="1"/>
  <c r="I46" i="1"/>
  <c r="H46" i="1"/>
  <c r="G46" i="1"/>
  <c r="V46" i="1" s="1"/>
  <c r="F46" i="1"/>
  <c r="E46" i="1"/>
  <c r="D46" i="1"/>
  <c r="C46" i="1"/>
  <c r="I45" i="1"/>
  <c r="H45" i="1"/>
  <c r="G45" i="1"/>
  <c r="V45" i="1" s="1"/>
  <c r="F45" i="1"/>
  <c r="E45" i="1"/>
  <c r="D45" i="1"/>
  <c r="C45" i="1"/>
  <c r="H40" i="1"/>
  <c r="E39" i="1" l="1"/>
  <c r="F39" i="1"/>
  <c r="V41" i="1"/>
  <c r="D41" i="1"/>
  <c r="G31" i="1"/>
  <c r="J32" i="1" l="1"/>
  <c r="L31" i="1"/>
  <c r="J31" i="1" s="1"/>
  <c r="M32" i="1"/>
  <c r="J30" i="1" l="1"/>
  <c r="L33" i="1" l="1"/>
  <c r="L34" i="1"/>
  <c r="L35" i="1"/>
  <c r="L36" i="1"/>
  <c r="L37" i="1"/>
  <c r="L38" i="1"/>
  <c r="K30" i="1" l="1"/>
  <c r="M35" i="1" l="1"/>
  <c r="M33" i="1"/>
  <c r="M31" i="1"/>
  <c r="F31" i="1" l="1"/>
  <c r="E31" i="1"/>
  <c r="D31" i="1"/>
  <c r="D30" i="1" s="1"/>
  <c r="G30" i="1"/>
  <c r="N30" i="1" s="1"/>
  <c r="C30" i="1"/>
  <c r="C51" i="1" l="1"/>
  <c r="I54" i="1"/>
  <c r="I39" i="1" s="1"/>
  <c r="H54" i="1"/>
  <c r="H39" i="1" s="1"/>
  <c r="G54" i="1"/>
  <c r="D54" i="1"/>
  <c r="D39" i="1" s="1"/>
  <c r="C54" i="1"/>
  <c r="G40" i="1"/>
  <c r="C40" i="1"/>
  <c r="E30" i="1"/>
  <c r="F30" i="1"/>
  <c r="H30" i="1"/>
  <c r="I30" i="1"/>
  <c r="C39" i="1" l="1"/>
  <c r="G39" i="1"/>
  <c r="U41" i="1" s="1"/>
  <c r="W54" i="1" s="1"/>
  <c r="V40" i="1"/>
  <c r="V54" i="1"/>
  <c r="D17" i="1"/>
  <c r="E17" i="1"/>
  <c r="F17" i="1"/>
  <c r="G17" i="1"/>
  <c r="H17" i="1"/>
  <c r="I17" i="1"/>
  <c r="J17" i="1"/>
  <c r="K17" i="1"/>
  <c r="L17" i="1"/>
  <c r="M17" i="1"/>
  <c r="D20" i="1"/>
  <c r="E20" i="1"/>
  <c r="F20" i="1"/>
  <c r="G20" i="1"/>
  <c r="H20" i="1"/>
  <c r="I20" i="1"/>
  <c r="J20" i="1"/>
  <c r="K20" i="1"/>
  <c r="L20" i="1"/>
  <c r="M20" i="1"/>
  <c r="N20" i="1"/>
  <c r="N16" i="1" s="1"/>
  <c r="C20" i="1"/>
  <c r="D24" i="1"/>
  <c r="E24" i="1"/>
  <c r="F24" i="1"/>
  <c r="G24" i="1"/>
  <c r="H24" i="1"/>
  <c r="I24" i="1"/>
  <c r="J24" i="1"/>
  <c r="K24" i="1"/>
  <c r="L24" i="1"/>
  <c r="C24" i="1"/>
  <c r="L39" i="1"/>
  <c r="J39" i="1"/>
  <c r="P39" i="1" l="1"/>
  <c r="P16" i="1" s="1"/>
  <c r="U42" i="1"/>
  <c r="C16" i="1"/>
  <c r="G16" i="1"/>
  <c r="M16" i="1"/>
  <c r="I16" i="1"/>
  <c r="E16" i="1"/>
  <c r="X54" i="1"/>
  <c r="H16" i="1"/>
  <c r="D16" i="1"/>
  <c r="L16" i="1"/>
  <c r="K16" i="1"/>
  <c r="V39" i="1"/>
  <c r="J16" i="1"/>
  <c r="F16" i="1"/>
  <c r="W64" i="1"/>
  <c r="X64" i="1" s="1"/>
  <c r="W43" i="1"/>
  <c r="X43" i="1" s="1"/>
  <c r="W47" i="1"/>
  <c r="X47" i="1" s="1"/>
  <c r="W51" i="1"/>
  <c r="X51" i="1" s="1"/>
  <c r="W55" i="1"/>
  <c r="X55" i="1" s="1"/>
  <c r="W63" i="1"/>
  <c r="X63" i="1" s="1"/>
  <c r="W53" i="1"/>
  <c r="X53" i="1" s="1"/>
  <c r="W61" i="1"/>
  <c r="X61" i="1" s="1"/>
  <c r="W58" i="1"/>
  <c r="X58" i="1" s="1"/>
  <c r="W44" i="1"/>
  <c r="X44" i="1" s="1"/>
  <c r="W48" i="1"/>
  <c r="X48" i="1" s="1"/>
  <c r="W52" i="1"/>
  <c r="X52" i="1" s="1"/>
  <c r="W56" i="1"/>
  <c r="X56" i="1" s="1"/>
  <c r="W60" i="1"/>
  <c r="X60" i="1" s="1"/>
  <c r="W49" i="1"/>
  <c r="X49" i="1" s="1"/>
  <c r="W57" i="1"/>
  <c r="X57" i="1" s="1"/>
  <c r="W40" i="1"/>
  <c r="X40" i="1" s="1"/>
  <c r="W42" i="1"/>
  <c r="X42" i="1" s="1"/>
  <c r="W50" i="1"/>
  <c r="X50" i="1" s="1"/>
  <c r="W62" i="1"/>
  <c r="X62" i="1" s="1"/>
  <c r="W46" i="1"/>
  <c r="X46" i="1" s="1"/>
  <c r="W41" i="1"/>
  <c r="X41" i="1" s="1"/>
  <c r="W59" i="1"/>
  <c r="X59" i="1" s="1"/>
  <c r="W45" i="1"/>
  <c r="X45" i="1" s="1"/>
  <c r="W39" i="1" l="1"/>
  <c r="X39" i="1"/>
</calcChain>
</file>

<file path=xl/sharedStrings.xml><?xml version="1.0" encoding="utf-8"?>
<sst xmlns="http://schemas.openxmlformats.org/spreadsheetml/2006/main" count="102" uniqueCount="68">
  <si>
    <t>№ п/п</t>
  </si>
  <si>
    <t>Наименование муниципального образования</t>
  </si>
  <si>
    <t>Число жителей, планируемых  к переселению</t>
  </si>
  <si>
    <t>Количество расселяемых жилых помещений</t>
  </si>
  <si>
    <t>Расселяемая площадь жилых помещений</t>
  </si>
  <si>
    <t>Источники финансирования программы</t>
  </si>
  <si>
    <t>Справочно:
Расчетная сумма экономии бюджетных средств</t>
  </si>
  <si>
    <t>Справочно: 
Возмещение части стоимости жилых помещений</t>
  </si>
  <si>
    <t>Всего</t>
  </si>
  <si>
    <t>в том числе</t>
  </si>
  <si>
    <t>Всего:</t>
  </si>
  <si>
    <t>в том числе:</t>
  </si>
  <si>
    <t>Собственность граждан</t>
  </si>
  <si>
    <t>Муниципальная собственность</t>
  </si>
  <si>
    <t>собственность граждан</t>
  </si>
  <si>
    <t xml:space="preserve">муниципальная собственность 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</si>
  <si>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</si>
  <si>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</si>
  <si>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</si>
  <si>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переселения граждан по договору о развитии застроенной территории</t>
  </si>
  <si>
    <t>за счет  переселения граждан в свободный муниципальный жилищный фонд</t>
  </si>
  <si>
    <t>за счет средств собственников жилых помещений</t>
  </si>
  <si>
    <t>за счет средств иных лиц (инвестора по ДРЗТ)</t>
  </si>
  <si>
    <t>чел.</t>
  </si>
  <si>
    <t>ед.</t>
  </si>
  <si>
    <t>кв.м</t>
  </si>
  <si>
    <t>руб.</t>
  </si>
  <si>
    <t>Всего по этапу 2019 года</t>
  </si>
  <si>
    <t>Всего по этапу 2020 года</t>
  </si>
  <si>
    <t>Всего по этапу 2021 года</t>
  </si>
  <si>
    <t>Всего по этапу 2022 года</t>
  </si>
  <si>
    <t>Всего по этапу 2023 года</t>
  </si>
  <si>
    <t>к Региональной адресной программе Забайкальского края по переселению граждан из аварийного жилищного фонда на 2019-2025 годы</t>
  </si>
  <si>
    <t xml:space="preserve">ПРИЛОЖЕНИЕ №3  </t>
  </si>
  <si>
    <t>ПЛАН</t>
  </si>
  <si>
    <t xml:space="preserve"> мероприятий по переселению граждан из аварийного жилищного фонда, признанного таковым до 1 января 2017 года</t>
  </si>
  <si>
    <t>Итого по г. Балей Балейского района</t>
  </si>
  <si>
    <t>Итого по г. Чита</t>
  </si>
  <si>
    <t>Итого по пгт. Карымское Карымского района</t>
  </si>
  <si>
    <t>Итого по с. Харагун Хилокского района</t>
  </si>
  <si>
    <t>Итого по г. Сретенск Сретенского района</t>
  </si>
  <si>
    <t>Итого по пгт. Атамановка Читинского района</t>
  </si>
  <si>
    <t>Итого по с. Верх-Чита Читинского района</t>
  </si>
  <si>
    <t>Итого по с. Домна Читинского района</t>
  </si>
  <si>
    <t>Итого по с. Маккавеево Читинского района</t>
  </si>
  <si>
    <t>Итого по пгт. Новокручининское Читинского района</t>
  </si>
  <si>
    <t>Итого по г. Шилка Шилкинского района</t>
  </si>
  <si>
    <t>Итого по г. Хилок Хилокского района</t>
  </si>
  <si>
    <t>Итого по г. Петровск-Забайкальский Петровск-Забайкальского района</t>
  </si>
  <si>
    <t>Итого по  г. Шилка Шилкинского района</t>
  </si>
  <si>
    <t>Итого по пгт Кокуй Сретенского района</t>
  </si>
  <si>
    <t>Итого по пгт. Новопавловка Петровск-Забайкальского района</t>
  </si>
  <si>
    <t>Итого по с. Тарбагатай Петровск-Забайкальского района</t>
  </si>
  <si>
    <t>Итого по пгт. Чернышевск Чернышевского района</t>
  </si>
  <si>
    <t>Итого по с. Смоленка Читинского района</t>
  </si>
  <si>
    <t>Итого по с. Яблоново Читинского района</t>
  </si>
  <si>
    <t>Итого по с. Баляга Петровск-Забайкальского района</t>
  </si>
  <si>
    <t>Итого по г. Борзя Борзинского района</t>
  </si>
  <si>
    <t>Итого по пгт. Новая Чара Каларского муниципального округа</t>
  </si>
  <si>
    <t>Итого по пгт. Вершино-Дарасунское Тунгокоченского муниципального округа</t>
  </si>
  <si>
    <t>Итого по с. Красная Ималка Ононского муниципального округа</t>
  </si>
  <si>
    <t>всего</t>
  </si>
  <si>
    <t>фонд</t>
  </si>
  <si>
    <t>край</t>
  </si>
  <si>
    <t>Итого по г. Могоча Могочинского муниципального округа</t>
  </si>
  <si>
    <t>Всего по  программе переселения, в рамках которой предусмотрено финансирование за счет средств Фонда, в т.ч.:</t>
  </si>
  <si>
    <t>Итого по г.Петровск-Забайкальский Петровск-Забайкальского района</t>
  </si>
  <si>
    <t>Итого по с.  Усть-Борзя Ононского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</si>
</sst>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5" x14ac:knownFonts="1">
    <font>
      <sz val="11"/>
      <color rgb="FF000000"/>
      <name val="Times New Roman"/>
    </font>
    <font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53">
    <xf numFmtId="0" fontId="0" fillId="0" borderId="0" xfId="0" applyFill="1"/>
    <xf numFmtId="0" fontId="5" fillId="0" borderId="1" xfId="0" applyFont="1" applyFill="1" applyBorder="1" applyAlignment="1">
      <alignment vertical="center"/>
    </xf>
    <xf numFmtId="0" fontId="1" fillId="0" borderId="0" xfId="0" applyFont="1" applyFill="1"/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9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3" fontId="8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43" fontId="2" fillId="0" borderId="0" xfId="0" applyNumberFormat="1" applyFont="1" applyFill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43" fontId="1" fillId="0" borderId="6" xfId="1" applyFont="1" applyFill="1" applyBorder="1"/>
    <xf numFmtId="43" fontId="1" fillId="0" borderId="6" xfId="0" applyNumberFormat="1" applyFont="1" applyFill="1" applyBorder="1"/>
    <xf numFmtId="0" fontId="5" fillId="0" borderId="1" xfId="0" applyFont="1" applyFill="1" applyBorder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/>
    </xf>
    <xf numFmtId="4" fontId="1" fillId="0" borderId="0" xfId="0" applyNumberFormat="1" applyFont="1" applyFill="1"/>
    <xf numFmtId="2" fontId="2" fillId="0" borderId="0" xfId="0" applyNumberFormat="1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7"/>
  <sheetViews>
    <sheetView tabSelected="1" view="pageBreakPreview" topLeftCell="B7" zoomScale="50" zoomScaleNormal="50" zoomScaleSheetLayoutView="50" zoomScalePageLayoutView="40" workbookViewId="0">
      <pane ySplit="8" topLeftCell="A15" activePane="bottomLeft" state="frozen"/>
      <selection activeCell="A7" sqref="A7"/>
      <selection pane="bottomLeft" activeCell="G19" sqref="G19"/>
    </sheetView>
  </sheetViews>
  <sheetFormatPr defaultRowHeight="23.25" outlineLevelCol="1" x14ac:dyDescent="0.35"/>
  <cols>
    <col min="1" max="1" width="6.5703125" style="2" customWidth="1"/>
    <col min="2" max="2" width="67.28515625" style="7" customWidth="1"/>
    <col min="3" max="3" width="24.7109375" style="15" customWidth="1"/>
    <col min="4" max="4" width="18.7109375" style="15" customWidth="1"/>
    <col min="5" max="5" width="24" style="15" customWidth="1"/>
    <col min="6" max="6" width="27.42578125" style="15" customWidth="1"/>
    <col min="7" max="7" width="20.7109375" style="15" customWidth="1"/>
    <col min="8" max="8" width="23.140625" style="15" customWidth="1"/>
    <col min="9" max="9" width="26.42578125" style="15" customWidth="1"/>
    <col min="10" max="10" width="27.85546875" style="15" customWidth="1"/>
    <col min="11" max="11" width="34.140625" style="15" customWidth="1"/>
    <col min="12" max="12" width="25.28515625" style="15" customWidth="1"/>
    <col min="13" max="13" width="27.5703125" style="15" customWidth="1"/>
    <col min="14" max="14" width="28.7109375" style="15" customWidth="1" outlineLevel="1"/>
    <col min="15" max="15" width="20.7109375" style="15" customWidth="1" outlineLevel="1"/>
    <col min="16" max="16" width="22.7109375" style="15" customWidth="1" outlineLevel="1"/>
    <col min="17" max="19" width="20.7109375" style="15" customWidth="1" outlineLevel="1"/>
    <col min="20" max="20" width="9.140625" style="2"/>
    <col min="21" max="21" width="28" style="2" customWidth="1"/>
    <col min="22" max="24" width="36" style="2" customWidth="1"/>
    <col min="25" max="16384" width="9.140625" style="2"/>
  </cols>
  <sheetData>
    <row r="1" spans="1:19" ht="45.75" customHeight="1" x14ac:dyDescent="0.35">
      <c r="B1" s="2"/>
      <c r="D1" s="18"/>
      <c r="Q1" s="44" t="s">
        <v>33</v>
      </c>
      <c r="R1" s="44"/>
      <c r="S1" s="44"/>
    </row>
    <row r="2" spans="1:19" ht="18.75" customHeight="1" x14ac:dyDescent="0.35">
      <c r="B2" s="2"/>
      <c r="D2" s="18"/>
      <c r="Q2" s="16"/>
      <c r="R2" s="16"/>
      <c r="S2" s="16"/>
    </row>
    <row r="3" spans="1:19" ht="18.75" customHeight="1" x14ac:dyDescent="0.35">
      <c r="B3" s="2"/>
      <c r="D3" s="18"/>
      <c r="O3" s="44" t="s">
        <v>32</v>
      </c>
      <c r="P3" s="44"/>
      <c r="Q3" s="44"/>
      <c r="R3" s="44"/>
      <c r="S3" s="44"/>
    </row>
    <row r="4" spans="1:19" ht="18.75" customHeight="1" x14ac:dyDescent="0.35">
      <c r="B4" s="2"/>
      <c r="D4" s="18"/>
      <c r="O4" s="44"/>
      <c r="P4" s="44"/>
      <c r="Q4" s="44"/>
      <c r="R4" s="44"/>
      <c r="S4" s="44"/>
    </row>
    <row r="5" spans="1:19" ht="63" customHeight="1" x14ac:dyDescent="0.35">
      <c r="B5" s="2"/>
      <c r="D5" s="18"/>
      <c r="O5" s="44"/>
      <c r="P5" s="44"/>
      <c r="Q5" s="44"/>
      <c r="R5" s="44"/>
      <c r="S5" s="44"/>
    </row>
    <row r="8" spans="1:19" ht="30" x14ac:dyDescent="0.4">
      <c r="G8" s="43" t="s">
        <v>34</v>
      </c>
      <c r="H8" s="43"/>
      <c r="I8" s="43"/>
      <c r="J8" s="43"/>
      <c r="K8" s="43"/>
    </row>
    <row r="9" spans="1:19" ht="36.75" customHeight="1" x14ac:dyDescent="0.35">
      <c r="A9" s="8"/>
      <c r="B9" s="45" t="s">
        <v>35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</row>
    <row r="11" spans="1:19" ht="69" customHeight="1" x14ac:dyDescent="0.35">
      <c r="A11" s="50" t="s">
        <v>0</v>
      </c>
      <c r="B11" s="42" t="s">
        <v>1</v>
      </c>
      <c r="C11" s="42" t="s">
        <v>2</v>
      </c>
      <c r="D11" s="42" t="s">
        <v>3</v>
      </c>
      <c r="E11" s="42"/>
      <c r="F11" s="42"/>
      <c r="G11" s="42" t="s">
        <v>4</v>
      </c>
      <c r="H11" s="42"/>
      <c r="I11" s="42"/>
      <c r="J11" s="42" t="s">
        <v>5</v>
      </c>
      <c r="K11" s="42"/>
      <c r="L11" s="42"/>
      <c r="M11" s="42"/>
      <c r="N11" s="42" t="s">
        <v>6</v>
      </c>
      <c r="O11" s="42"/>
      <c r="P11" s="42"/>
      <c r="Q11" s="42" t="s">
        <v>7</v>
      </c>
      <c r="R11" s="42"/>
      <c r="S11" s="42"/>
    </row>
    <row r="12" spans="1:19" ht="16.5" customHeight="1" x14ac:dyDescent="0.35">
      <c r="A12" s="51"/>
      <c r="B12" s="42"/>
      <c r="C12" s="42"/>
      <c r="D12" s="41" t="s">
        <v>8</v>
      </c>
      <c r="E12" s="41" t="s">
        <v>9</v>
      </c>
      <c r="F12" s="41"/>
      <c r="G12" s="41" t="s">
        <v>8</v>
      </c>
      <c r="H12" s="41" t="s">
        <v>9</v>
      </c>
      <c r="I12" s="41"/>
      <c r="J12" s="41" t="s">
        <v>10</v>
      </c>
      <c r="K12" s="41" t="s">
        <v>11</v>
      </c>
      <c r="L12" s="41"/>
      <c r="M12" s="41"/>
      <c r="N12" s="42" t="s">
        <v>10</v>
      </c>
      <c r="O12" s="42" t="s">
        <v>11</v>
      </c>
      <c r="P12" s="42"/>
      <c r="Q12" s="42" t="s">
        <v>10</v>
      </c>
      <c r="R12" s="42" t="s">
        <v>11</v>
      </c>
      <c r="S12" s="42"/>
    </row>
    <row r="13" spans="1:19" ht="189.75" customHeight="1" x14ac:dyDescent="0.35">
      <c r="A13" s="51"/>
      <c r="B13" s="42"/>
      <c r="C13" s="42"/>
      <c r="D13" s="41"/>
      <c r="E13" s="27" t="s">
        <v>12</v>
      </c>
      <c r="F13" s="27" t="s">
        <v>13</v>
      </c>
      <c r="G13" s="41"/>
      <c r="H13" s="27" t="s">
        <v>14</v>
      </c>
      <c r="I13" s="27" t="s">
        <v>15</v>
      </c>
      <c r="J13" s="41"/>
      <c r="K13" s="27" t="s">
        <v>16</v>
      </c>
      <c r="L13" s="27" t="s">
        <v>17</v>
      </c>
      <c r="M13" s="27" t="s">
        <v>18</v>
      </c>
      <c r="N13" s="42"/>
      <c r="O13" s="27" t="s">
        <v>19</v>
      </c>
      <c r="P13" s="27" t="s">
        <v>20</v>
      </c>
      <c r="Q13" s="42"/>
      <c r="R13" s="27" t="s">
        <v>21</v>
      </c>
      <c r="S13" s="27" t="s">
        <v>22</v>
      </c>
    </row>
    <row r="14" spans="1:19" ht="20.25" customHeight="1" x14ac:dyDescent="0.35">
      <c r="A14" s="52"/>
      <c r="B14" s="42"/>
      <c r="C14" s="26" t="s">
        <v>23</v>
      </c>
      <c r="D14" s="26" t="s">
        <v>24</v>
      </c>
      <c r="E14" s="26" t="s">
        <v>24</v>
      </c>
      <c r="F14" s="26" t="s">
        <v>24</v>
      </c>
      <c r="G14" s="26" t="s">
        <v>25</v>
      </c>
      <c r="H14" s="26" t="s">
        <v>25</v>
      </c>
      <c r="I14" s="26" t="s">
        <v>25</v>
      </c>
      <c r="J14" s="26" t="s">
        <v>26</v>
      </c>
      <c r="K14" s="26" t="s">
        <v>26</v>
      </c>
      <c r="L14" s="26" t="s">
        <v>26</v>
      </c>
      <c r="M14" s="26" t="s">
        <v>26</v>
      </c>
      <c r="N14" s="27" t="s">
        <v>26</v>
      </c>
      <c r="O14" s="26" t="s">
        <v>26</v>
      </c>
      <c r="P14" s="27" t="s">
        <v>26</v>
      </c>
      <c r="Q14" s="27" t="s">
        <v>26</v>
      </c>
      <c r="R14" s="27" t="s">
        <v>26</v>
      </c>
      <c r="S14" s="27" t="s">
        <v>26</v>
      </c>
    </row>
    <row r="15" spans="1:19" ht="20.25" customHeight="1" x14ac:dyDescent="0.35">
      <c r="A15" s="26">
        <v>1</v>
      </c>
      <c r="B15" s="27">
        <v>2</v>
      </c>
      <c r="C15" s="26">
        <v>3</v>
      </c>
      <c r="D15" s="26">
        <v>4</v>
      </c>
      <c r="E15" s="26">
        <v>5</v>
      </c>
      <c r="F15" s="26">
        <v>6</v>
      </c>
      <c r="G15" s="26">
        <v>7</v>
      </c>
      <c r="H15" s="26">
        <v>8</v>
      </c>
      <c r="I15" s="26">
        <v>9</v>
      </c>
      <c r="J15" s="26">
        <v>10</v>
      </c>
      <c r="K15" s="26">
        <v>11</v>
      </c>
      <c r="L15" s="26">
        <v>12</v>
      </c>
      <c r="M15" s="26">
        <v>13</v>
      </c>
      <c r="N15" s="27">
        <v>14</v>
      </c>
      <c r="O15" s="26">
        <v>15</v>
      </c>
      <c r="P15" s="27">
        <v>16</v>
      </c>
      <c r="Q15" s="27">
        <v>17</v>
      </c>
      <c r="R15" s="27">
        <v>18</v>
      </c>
      <c r="S15" s="27">
        <v>19</v>
      </c>
    </row>
    <row r="16" spans="1:19" s="5" customFormat="1" ht="94.5" customHeight="1" x14ac:dyDescent="0.3">
      <c r="A16" s="3"/>
      <c r="B16" s="4" t="s">
        <v>65</v>
      </c>
      <c r="C16" s="21">
        <f>C17+C20+C24+C30+C39</f>
        <v>5694</v>
      </c>
      <c r="D16" s="21">
        <f t="shared" ref="D16:I16" si="0">D17+D20+D24+D30+D39</f>
        <v>2258</v>
      </c>
      <c r="E16" s="21">
        <f t="shared" si="0"/>
        <v>913</v>
      </c>
      <c r="F16" s="21">
        <f t="shared" si="0"/>
        <v>1345</v>
      </c>
      <c r="G16" s="12">
        <f>G17+G20+G24+G30+G39</f>
        <v>97950.25999999998</v>
      </c>
      <c r="H16" s="12">
        <f>H17+H20+H24+H30+H39</f>
        <v>46020.23</v>
      </c>
      <c r="I16" s="12">
        <f t="shared" si="0"/>
        <v>51930.03</v>
      </c>
      <c r="J16" s="12">
        <f t="shared" ref="J16" si="1">J17+J20+J24+J30+J39</f>
        <v>10233088214.059999</v>
      </c>
      <c r="K16" s="12">
        <f t="shared" ref="K16" si="2">K17+K20+K24+K30+K39</f>
        <v>3275644882.3299999</v>
      </c>
      <c r="L16" s="12">
        <f t="shared" ref="L16" si="3">L17+L20+L24+L30+L39</f>
        <v>6949268915.4899998</v>
      </c>
      <c r="M16" s="12">
        <f t="shared" ref="M16" si="4">M17+M20+M24+M30+M39</f>
        <v>8174416.2400000002</v>
      </c>
      <c r="N16" s="12">
        <f t="shared" ref="N16" si="5">N17+N20+N24+N30+N39</f>
        <v>29889202.850000001</v>
      </c>
      <c r="O16" s="12">
        <f t="shared" ref="O16" si="6">O17+O20+O24+O30+O39</f>
        <v>0</v>
      </c>
      <c r="P16" s="12">
        <f t="shared" ref="P16" si="7">P17+P20+P24+P30+P39</f>
        <v>29889202.850000001</v>
      </c>
      <c r="Q16" s="12">
        <f t="shared" ref="Q16" si="8">Q17+Q20+Q24+Q30+Q39</f>
        <v>0</v>
      </c>
      <c r="R16" s="12">
        <f t="shared" ref="R16" si="9">R17+R20+R24+R30+R39</f>
        <v>0</v>
      </c>
      <c r="S16" s="12">
        <f t="shared" ref="S16" si="10">S17+S20+S24+S30+S39</f>
        <v>0</v>
      </c>
    </row>
    <row r="17" spans="1:19" s="5" customFormat="1" ht="80.099999999999994" customHeight="1" x14ac:dyDescent="0.3">
      <c r="A17" s="3"/>
      <c r="B17" s="4" t="s">
        <v>27</v>
      </c>
      <c r="C17" s="21">
        <f>SUM(C18:C19)</f>
        <v>404</v>
      </c>
      <c r="D17" s="21">
        <f t="shared" ref="D17:M17" si="11">SUM(D18:D19)</f>
        <v>121</v>
      </c>
      <c r="E17" s="21">
        <f t="shared" si="11"/>
        <v>17</v>
      </c>
      <c r="F17" s="21">
        <f t="shared" si="11"/>
        <v>104</v>
      </c>
      <c r="G17" s="12">
        <f t="shared" si="11"/>
        <v>5763.3</v>
      </c>
      <c r="H17" s="12">
        <f t="shared" si="11"/>
        <v>709.9</v>
      </c>
      <c r="I17" s="12">
        <f t="shared" si="11"/>
        <v>5053.4000000000005</v>
      </c>
      <c r="J17" s="12">
        <f t="shared" si="11"/>
        <v>301125127.00999999</v>
      </c>
      <c r="K17" s="12">
        <f t="shared" si="11"/>
        <v>216066500</v>
      </c>
      <c r="L17" s="12">
        <f t="shared" si="11"/>
        <v>76884210.770000011</v>
      </c>
      <c r="M17" s="12">
        <f t="shared" si="11"/>
        <v>8174416.2400000002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</row>
    <row r="18" spans="1:19" ht="80.099999999999994" customHeight="1" x14ac:dyDescent="0.35">
      <c r="A18" s="1">
        <v>1</v>
      </c>
      <c r="B18" s="6" t="s">
        <v>37</v>
      </c>
      <c r="C18" s="22">
        <v>354</v>
      </c>
      <c r="D18" s="22">
        <v>102</v>
      </c>
      <c r="E18" s="22">
        <v>8</v>
      </c>
      <c r="F18" s="22">
        <v>94</v>
      </c>
      <c r="G18" s="17">
        <v>4965</v>
      </c>
      <c r="H18" s="17">
        <v>365.4</v>
      </c>
      <c r="I18" s="17">
        <v>4599.6000000000004</v>
      </c>
      <c r="J18" s="17">
        <v>265946287.02000001</v>
      </c>
      <c r="K18" s="17">
        <v>187232475.33000001</v>
      </c>
      <c r="L18" s="17">
        <v>70539395.450000003</v>
      </c>
      <c r="M18" s="17">
        <v>8174416.2400000002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</row>
    <row r="19" spans="1:19" ht="80.099999999999994" customHeight="1" x14ac:dyDescent="0.35">
      <c r="A19" s="1">
        <v>2</v>
      </c>
      <c r="B19" s="6" t="s">
        <v>46</v>
      </c>
      <c r="C19" s="22">
        <v>50</v>
      </c>
      <c r="D19" s="22">
        <v>19</v>
      </c>
      <c r="E19" s="22">
        <v>9</v>
      </c>
      <c r="F19" s="22">
        <v>10</v>
      </c>
      <c r="G19" s="17">
        <v>798.3</v>
      </c>
      <c r="H19" s="17">
        <v>344.5</v>
      </c>
      <c r="I19" s="17">
        <v>453.8</v>
      </c>
      <c r="J19" s="17">
        <v>35178839.990000002</v>
      </c>
      <c r="K19" s="17">
        <v>28834024.670000002</v>
      </c>
      <c r="L19" s="17">
        <v>6344815.3200000003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</row>
    <row r="20" spans="1:19" s="5" customFormat="1" ht="80.099999999999994" customHeight="1" x14ac:dyDescent="0.3">
      <c r="A20" s="3"/>
      <c r="B20" s="4" t="s">
        <v>28</v>
      </c>
      <c r="C20" s="21">
        <f>SUM(C21:C23)</f>
        <v>391</v>
      </c>
      <c r="D20" s="21">
        <f t="shared" ref="D20:N20" si="12">SUM(D21:D23)</f>
        <v>141</v>
      </c>
      <c r="E20" s="21">
        <f t="shared" si="12"/>
        <v>58</v>
      </c>
      <c r="F20" s="21">
        <f t="shared" si="12"/>
        <v>83</v>
      </c>
      <c r="G20" s="12">
        <f t="shared" si="12"/>
        <v>6453.2</v>
      </c>
      <c r="H20" s="12">
        <f t="shared" si="12"/>
        <v>2622.4</v>
      </c>
      <c r="I20" s="12">
        <f t="shared" si="12"/>
        <v>3830.8</v>
      </c>
      <c r="J20" s="12">
        <f t="shared" si="12"/>
        <v>404141702.31999999</v>
      </c>
      <c r="K20" s="12">
        <f t="shared" si="12"/>
        <v>319051873.27999997</v>
      </c>
      <c r="L20" s="12">
        <f t="shared" si="12"/>
        <v>85089829.039999992</v>
      </c>
      <c r="M20" s="12">
        <f t="shared" si="12"/>
        <v>0</v>
      </c>
      <c r="N20" s="12">
        <f t="shared" si="12"/>
        <v>29889202.850000001</v>
      </c>
      <c r="O20" s="12">
        <v>0</v>
      </c>
      <c r="P20" s="12">
        <v>29889202.850000001</v>
      </c>
      <c r="Q20" s="12">
        <v>0</v>
      </c>
      <c r="R20" s="12">
        <v>0</v>
      </c>
      <c r="S20" s="12">
        <v>0</v>
      </c>
    </row>
    <row r="21" spans="1:19" ht="80.099999999999994" customHeight="1" x14ac:dyDescent="0.35">
      <c r="A21" s="1">
        <v>1</v>
      </c>
      <c r="B21" s="35" t="s">
        <v>66</v>
      </c>
      <c r="C21" s="22">
        <v>88</v>
      </c>
      <c r="D21" s="22">
        <v>37</v>
      </c>
      <c r="E21" s="22">
        <v>9</v>
      </c>
      <c r="F21" s="22">
        <v>28</v>
      </c>
      <c r="G21" s="17">
        <v>1735.45</v>
      </c>
      <c r="H21" s="17">
        <v>526.5</v>
      </c>
      <c r="I21" s="17">
        <v>1208.95</v>
      </c>
      <c r="J21" s="17">
        <v>129821739.09999999</v>
      </c>
      <c r="K21" s="17">
        <v>124320327.25</v>
      </c>
      <c r="L21" s="17">
        <v>5501411.8499999996</v>
      </c>
      <c r="M21" s="17">
        <v>0</v>
      </c>
      <c r="N21" s="17">
        <v>2220756.85</v>
      </c>
      <c r="O21" s="17">
        <v>0</v>
      </c>
      <c r="P21" s="17">
        <v>2220756.85</v>
      </c>
      <c r="Q21" s="17">
        <v>0</v>
      </c>
      <c r="R21" s="17">
        <v>0</v>
      </c>
      <c r="S21" s="17">
        <v>0</v>
      </c>
    </row>
    <row r="22" spans="1:19" ht="80.099999999999994" customHeight="1" x14ac:dyDescent="0.35">
      <c r="A22" s="1">
        <v>2</v>
      </c>
      <c r="B22" s="35" t="s">
        <v>37</v>
      </c>
      <c r="C22" s="22">
        <v>293</v>
      </c>
      <c r="D22" s="22">
        <v>99</v>
      </c>
      <c r="E22" s="22">
        <v>49</v>
      </c>
      <c r="F22" s="22">
        <v>50</v>
      </c>
      <c r="G22" s="17">
        <v>4471.45</v>
      </c>
      <c r="H22" s="17">
        <v>2095.9</v>
      </c>
      <c r="I22" s="17">
        <v>2375.5500000000002</v>
      </c>
      <c r="J22" s="17">
        <v>258973497.22</v>
      </c>
      <c r="K22" s="17">
        <v>179385080.03</v>
      </c>
      <c r="L22" s="17">
        <v>79588417.189999998</v>
      </c>
      <c r="M22" s="17">
        <v>0</v>
      </c>
      <c r="N22" s="17">
        <v>27668446</v>
      </c>
      <c r="O22" s="17">
        <v>0</v>
      </c>
      <c r="P22" s="17">
        <v>27668446</v>
      </c>
      <c r="Q22" s="17">
        <v>0</v>
      </c>
      <c r="R22" s="17">
        <v>0</v>
      </c>
      <c r="S22" s="17">
        <v>0</v>
      </c>
    </row>
    <row r="23" spans="1:19" ht="80.099999999999994" customHeight="1" x14ac:dyDescent="0.35">
      <c r="A23" s="1">
        <v>3</v>
      </c>
      <c r="B23" s="6" t="s">
        <v>47</v>
      </c>
      <c r="C23" s="22">
        <v>10</v>
      </c>
      <c r="D23" s="22">
        <v>5</v>
      </c>
      <c r="E23" s="22">
        <v>0</v>
      </c>
      <c r="F23" s="22">
        <v>5</v>
      </c>
      <c r="G23" s="17">
        <v>246.3</v>
      </c>
      <c r="H23" s="17">
        <v>0</v>
      </c>
      <c r="I23" s="17">
        <v>246.3</v>
      </c>
      <c r="J23" s="17">
        <v>15346466</v>
      </c>
      <c r="K23" s="17">
        <v>15346466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</row>
    <row r="24" spans="1:19" s="5" customFormat="1" ht="80.099999999999994" customHeight="1" x14ac:dyDescent="0.3">
      <c r="A24" s="3"/>
      <c r="B24" s="4" t="s">
        <v>29</v>
      </c>
      <c r="C24" s="21">
        <f>SUM(C25:C29)</f>
        <v>642</v>
      </c>
      <c r="D24" s="21">
        <f t="shared" ref="D24:L24" si="13">SUM(D25:D29)</f>
        <v>230</v>
      </c>
      <c r="E24" s="21">
        <f t="shared" si="13"/>
        <v>90</v>
      </c>
      <c r="F24" s="21">
        <f t="shared" si="13"/>
        <v>140</v>
      </c>
      <c r="G24" s="12">
        <f t="shared" si="13"/>
        <v>8658.15</v>
      </c>
      <c r="H24" s="12">
        <f t="shared" si="13"/>
        <v>3972.0499999999997</v>
      </c>
      <c r="I24" s="12">
        <f t="shared" si="13"/>
        <v>4686.1000000000004</v>
      </c>
      <c r="J24" s="12">
        <f t="shared" si="13"/>
        <v>734473257.78999996</v>
      </c>
      <c r="K24" s="12">
        <f t="shared" si="13"/>
        <v>695076751.91999996</v>
      </c>
      <c r="L24" s="12">
        <f t="shared" si="13"/>
        <v>39396505.870000005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</row>
    <row r="25" spans="1:19" ht="80.099999999999994" customHeight="1" x14ac:dyDescent="0.35">
      <c r="A25" s="1">
        <v>1</v>
      </c>
      <c r="B25" s="6" t="s">
        <v>36</v>
      </c>
      <c r="C25" s="22">
        <v>35</v>
      </c>
      <c r="D25" s="22">
        <v>23</v>
      </c>
      <c r="E25" s="22">
        <v>23</v>
      </c>
      <c r="F25" s="22">
        <v>0</v>
      </c>
      <c r="G25" s="17">
        <v>1036.46</v>
      </c>
      <c r="H25" s="17">
        <v>1036.46</v>
      </c>
      <c r="I25" s="17">
        <v>0</v>
      </c>
      <c r="J25" s="17">
        <v>51350316.899999999</v>
      </c>
      <c r="K25" s="17">
        <v>51350316.899999999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</row>
    <row r="26" spans="1:19" ht="80.099999999999994" customHeight="1" x14ac:dyDescent="0.35">
      <c r="A26" s="1">
        <v>2</v>
      </c>
      <c r="B26" s="35" t="s">
        <v>48</v>
      </c>
      <c r="C26" s="22">
        <v>11</v>
      </c>
      <c r="D26" s="22">
        <v>7</v>
      </c>
      <c r="E26" s="22">
        <v>7</v>
      </c>
      <c r="F26" s="22">
        <v>0</v>
      </c>
      <c r="G26" s="17">
        <v>349.1</v>
      </c>
      <c r="H26" s="17">
        <v>349.1</v>
      </c>
      <c r="I26" s="17">
        <v>0</v>
      </c>
      <c r="J26" s="17">
        <v>23728809.5</v>
      </c>
      <c r="K26" s="17">
        <v>20618629.5</v>
      </c>
      <c r="L26" s="17">
        <v>3110180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</row>
    <row r="27" spans="1:19" ht="80.099999999999994" customHeight="1" x14ac:dyDescent="0.35">
      <c r="A27" s="1">
        <v>3</v>
      </c>
      <c r="B27" s="6" t="s">
        <v>37</v>
      </c>
      <c r="C27" s="22">
        <v>568</v>
      </c>
      <c r="D27" s="22">
        <v>188</v>
      </c>
      <c r="E27" s="22">
        <v>48</v>
      </c>
      <c r="F27" s="22">
        <v>140</v>
      </c>
      <c r="G27" s="17">
        <v>6720.19</v>
      </c>
      <c r="H27" s="17">
        <v>2034.09</v>
      </c>
      <c r="I27" s="17">
        <v>4686.1000000000004</v>
      </c>
      <c r="J27" s="17">
        <v>613650018.38999999</v>
      </c>
      <c r="K27" s="17">
        <v>587846016.01999998</v>
      </c>
      <c r="L27" s="17">
        <v>25804002.370000001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</row>
    <row r="28" spans="1:19" ht="80.099999999999994" customHeight="1" x14ac:dyDescent="0.35">
      <c r="A28" s="1">
        <v>4</v>
      </c>
      <c r="B28" s="6" t="s">
        <v>47</v>
      </c>
      <c r="C28" s="22">
        <v>5</v>
      </c>
      <c r="D28" s="22">
        <v>3</v>
      </c>
      <c r="E28" s="22">
        <v>3</v>
      </c>
      <c r="F28" s="22">
        <v>0</v>
      </c>
      <c r="G28" s="17">
        <v>102.3</v>
      </c>
      <c r="H28" s="17">
        <v>102.3</v>
      </c>
      <c r="I28" s="17">
        <v>0</v>
      </c>
      <c r="J28" s="17">
        <v>9624285.5</v>
      </c>
      <c r="K28" s="17">
        <v>9624285.5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</row>
    <row r="29" spans="1:19" ht="80.099999999999994" customHeight="1" x14ac:dyDescent="0.35">
      <c r="A29" s="1">
        <v>5</v>
      </c>
      <c r="B29" s="6" t="s">
        <v>49</v>
      </c>
      <c r="C29" s="22">
        <v>23</v>
      </c>
      <c r="D29" s="22">
        <v>9</v>
      </c>
      <c r="E29" s="22">
        <v>9</v>
      </c>
      <c r="F29" s="22">
        <v>0</v>
      </c>
      <c r="G29" s="17">
        <v>450.1</v>
      </c>
      <c r="H29" s="17">
        <v>450.1</v>
      </c>
      <c r="I29" s="17">
        <v>0</v>
      </c>
      <c r="J29" s="17">
        <v>36119827.5</v>
      </c>
      <c r="K29" s="17">
        <v>25637504</v>
      </c>
      <c r="L29" s="17">
        <v>10482323.5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</row>
    <row r="30" spans="1:19" s="5" customFormat="1" ht="80.099999999999994" customHeight="1" x14ac:dyDescent="0.3">
      <c r="A30" s="3"/>
      <c r="B30" s="4" t="s">
        <v>30</v>
      </c>
      <c r="C30" s="23">
        <f>SUM(C31:C38)</f>
        <v>1079</v>
      </c>
      <c r="D30" s="23">
        <f>SUM(D31:D38)</f>
        <v>401</v>
      </c>
      <c r="E30" s="23">
        <f t="shared" ref="E30:I30" si="14">SUM(E31:E38)</f>
        <v>95</v>
      </c>
      <c r="F30" s="23">
        <f t="shared" si="14"/>
        <v>306</v>
      </c>
      <c r="G30" s="12">
        <f>SUM(G31:G38)</f>
        <v>17472.13</v>
      </c>
      <c r="H30" s="12">
        <f t="shared" si="14"/>
        <v>8370.9700000000012</v>
      </c>
      <c r="I30" s="12">
        <f t="shared" si="14"/>
        <v>9101.16</v>
      </c>
      <c r="J30" s="12">
        <f>SUM(J31:J38)</f>
        <v>1516431470.98</v>
      </c>
      <c r="K30" s="12">
        <f>SUM(K31:K38)</f>
        <v>1434069143.71</v>
      </c>
      <c r="L30" s="12">
        <v>82362327.269999996</v>
      </c>
      <c r="M30" s="12">
        <v>0</v>
      </c>
      <c r="N30" s="12">
        <f>M30/G30</f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</row>
    <row r="31" spans="1:19" ht="80.099999999999994" customHeight="1" x14ac:dyDescent="0.35">
      <c r="A31" s="1">
        <v>1</v>
      </c>
      <c r="B31" s="6" t="s">
        <v>37</v>
      </c>
      <c r="C31" s="24">
        <v>830</v>
      </c>
      <c r="D31" s="24">
        <f>356-32-1-8</f>
        <v>315</v>
      </c>
      <c r="E31" s="24">
        <f>54-9</f>
        <v>45</v>
      </c>
      <c r="F31" s="24">
        <f>302-32</f>
        <v>270</v>
      </c>
      <c r="G31" s="17">
        <f>13756.1+38.9</f>
        <v>13795</v>
      </c>
      <c r="H31" s="17">
        <v>6209.97</v>
      </c>
      <c r="I31" s="17">
        <v>7585.03</v>
      </c>
      <c r="J31" s="13">
        <f>K31+L31</f>
        <v>1203303147.49</v>
      </c>
      <c r="K31" s="13">
        <v>1140092169.75</v>
      </c>
      <c r="L31" s="13">
        <f>67688828.46-L32</f>
        <v>63210977.739999995</v>
      </c>
      <c r="M31" s="17">
        <f>G31*N34</f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</row>
    <row r="32" spans="1:19" ht="80.099999999999994" customHeight="1" x14ac:dyDescent="0.35">
      <c r="A32" s="1">
        <v>2</v>
      </c>
      <c r="B32" s="6" t="s">
        <v>43</v>
      </c>
      <c r="C32" s="24">
        <v>5</v>
      </c>
      <c r="D32" s="24">
        <v>1</v>
      </c>
      <c r="E32" s="24">
        <v>0</v>
      </c>
      <c r="F32" s="24">
        <v>1</v>
      </c>
      <c r="G32" s="17">
        <v>49.6</v>
      </c>
      <c r="H32" s="17">
        <v>0</v>
      </c>
      <c r="I32" s="17">
        <v>49.6</v>
      </c>
      <c r="J32" s="13">
        <f>L32</f>
        <v>4477850.72</v>
      </c>
      <c r="K32" s="13">
        <v>0</v>
      </c>
      <c r="L32" s="14">
        <v>4477850.72</v>
      </c>
      <c r="M32" s="17">
        <f>G32*N35</f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</row>
    <row r="33" spans="1:24" ht="80.099999999999994" customHeight="1" x14ac:dyDescent="0.35">
      <c r="A33" s="1">
        <v>3</v>
      </c>
      <c r="B33" s="6" t="s">
        <v>50</v>
      </c>
      <c r="C33" s="25">
        <v>62</v>
      </c>
      <c r="D33" s="25">
        <v>20</v>
      </c>
      <c r="E33" s="25">
        <v>18</v>
      </c>
      <c r="F33" s="25">
        <v>2</v>
      </c>
      <c r="G33" s="17">
        <v>812.6</v>
      </c>
      <c r="H33" s="17">
        <v>718</v>
      </c>
      <c r="I33" s="17">
        <v>94.6</v>
      </c>
      <c r="J33" s="13">
        <v>71346009.340000004</v>
      </c>
      <c r="K33" s="13">
        <v>67347496.540000007</v>
      </c>
      <c r="L33" s="13">
        <f t="shared" ref="L33:L38" si="15">J33-K33</f>
        <v>3998512.799999997</v>
      </c>
      <c r="M33" s="17">
        <f>G33*N34</f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</row>
    <row r="34" spans="1:24" ht="80.099999999999994" customHeight="1" x14ac:dyDescent="0.35">
      <c r="A34" s="1">
        <v>4</v>
      </c>
      <c r="B34" s="35" t="s">
        <v>64</v>
      </c>
      <c r="C34" s="22">
        <v>38</v>
      </c>
      <c r="D34" s="22">
        <v>16</v>
      </c>
      <c r="E34" s="22">
        <v>9</v>
      </c>
      <c r="F34" s="22">
        <v>7</v>
      </c>
      <c r="G34" s="17">
        <v>840.9</v>
      </c>
      <c r="H34" s="17">
        <v>459.4</v>
      </c>
      <c r="I34" s="17">
        <v>381.5</v>
      </c>
      <c r="J34" s="13">
        <v>73830739.920000002</v>
      </c>
      <c r="K34" s="13">
        <v>69692972.980000004</v>
      </c>
      <c r="L34" s="13">
        <f t="shared" si="15"/>
        <v>4137766.9399999976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</row>
    <row r="35" spans="1:24" ht="80.099999999999994" customHeight="1" x14ac:dyDescent="0.35">
      <c r="A35" s="1">
        <v>5</v>
      </c>
      <c r="B35" s="6" t="s">
        <v>40</v>
      </c>
      <c r="C35" s="22">
        <v>26</v>
      </c>
      <c r="D35" s="22">
        <v>11</v>
      </c>
      <c r="E35" s="22">
        <v>9</v>
      </c>
      <c r="F35" s="22">
        <v>2</v>
      </c>
      <c r="G35" s="17">
        <v>415.1</v>
      </c>
      <c r="H35" s="17">
        <v>338.1</v>
      </c>
      <c r="I35" s="17">
        <v>77</v>
      </c>
      <c r="J35" s="13">
        <v>36445641.740000002</v>
      </c>
      <c r="K35" s="13">
        <v>34403083.700000003</v>
      </c>
      <c r="L35" s="13">
        <f t="shared" si="15"/>
        <v>2042558.0399999991</v>
      </c>
      <c r="M35" s="17">
        <f>G35*N34</f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U35" s="39">
        <f>207250329.65+253321470.52+150808813.25</f>
        <v>611380613.42000008</v>
      </c>
    </row>
    <row r="36" spans="1:24" ht="80.099999999999994" customHeight="1" x14ac:dyDescent="0.35">
      <c r="A36" s="1">
        <v>6</v>
      </c>
      <c r="B36" s="6" t="s">
        <v>47</v>
      </c>
      <c r="C36" s="22">
        <v>12</v>
      </c>
      <c r="D36" s="22">
        <v>4</v>
      </c>
      <c r="E36" s="22">
        <v>4</v>
      </c>
      <c r="F36" s="22">
        <v>0</v>
      </c>
      <c r="G36" s="17">
        <v>146.5</v>
      </c>
      <c r="H36" s="17">
        <v>146.5</v>
      </c>
      <c r="I36" s="17">
        <v>0</v>
      </c>
      <c r="J36" s="13">
        <v>12613797</v>
      </c>
      <c r="K36" s="13">
        <v>12613797</v>
      </c>
      <c r="L36" s="13">
        <f t="shared" si="15"/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</row>
    <row r="37" spans="1:24" ht="80.099999999999994" customHeight="1" x14ac:dyDescent="0.35">
      <c r="A37" s="1">
        <v>7</v>
      </c>
      <c r="B37" s="6" t="s">
        <v>48</v>
      </c>
      <c r="C37" s="22">
        <v>33</v>
      </c>
      <c r="D37" s="22">
        <v>10</v>
      </c>
      <c r="E37" s="22">
        <v>10</v>
      </c>
      <c r="F37" s="22">
        <v>0</v>
      </c>
      <c r="G37" s="17">
        <v>499</v>
      </c>
      <c r="H37" s="17">
        <v>499</v>
      </c>
      <c r="I37" s="17">
        <v>0</v>
      </c>
      <c r="J37" s="13">
        <v>34215435.009999998</v>
      </c>
      <c r="K37" s="13">
        <v>34215435.009999998</v>
      </c>
      <c r="L37" s="13">
        <f t="shared" si="15"/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V37" s="5" t="s">
        <v>61</v>
      </c>
      <c r="W37" s="5" t="s">
        <v>62</v>
      </c>
      <c r="X37" s="5" t="s">
        <v>63</v>
      </c>
    </row>
    <row r="38" spans="1:24" ht="79.5" customHeight="1" x14ac:dyDescent="0.35">
      <c r="A38" s="1">
        <v>8</v>
      </c>
      <c r="B38" s="6" t="s">
        <v>49</v>
      </c>
      <c r="C38" s="22">
        <v>73</v>
      </c>
      <c r="D38" s="22">
        <v>24</v>
      </c>
      <c r="E38" s="22">
        <v>0</v>
      </c>
      <c r="F38" s="22">
        <v>24</v>
      </c>
      <c r="G38" s="17">
        <v>913.43</v>
      </c>
      <c r="H38" s="17">
        <v>0</v>
      </c>
      <c r="I38" s="17">
        <v>913.43</v>
      </c>
      <c r="J38" s="13">
        <v>80198849.760000005</v>
      </c>
      <c r="K38" s="13">
        <v>75704188.730000004</v>
      </c>
      <c r="L38" s="13">
        <f t="shared" si="15"/>
        <v>4494661.0300000012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</row>
    <row r="39" spans="1:24" s="5" customFormat="1" ht="80.099999999999994" customHeight="1" x14ac:dyDescent="0.3">
      <c r="A39" s="3"/>
      <c r="B39" s="4" t="s">
        <v>31</v>
      </c>
      <c r="C39" s="21">
        <f>SUM(C40:C64)</f>
        <v>3178</v>
      </c>
      <c r="D39" s="21">
        <f t="shared" ref="D39:F39" si="16">SUM(D40:D64)</f>
        <v>1365</v>
      </c>
      <c r="E39" s="21">
        <f t="shared" si="16"/>
        <v>653</v>
      </c>
      <c r="F39" s="21">
        <f t="shared" si="16"/>
        <v>712</v>
      </c>
      <c r="G39" s="12">
        <f>SUM(G40:G64)</f>
        <v>59603.479999999989</v>
      </c>
      <c r="H39" s="12">
        <f>SUM(H40:H64)</f>
        <v>30344.91</v>
      </c>
      <c r="I39" s="12">
        <f>SUM(I40:I64)</f>
        <v>29258.569999999996</v>
      </c>
      <c r="J39" s="12">
        <f t="shared" ref="J39:O39" si="17">SUM(J40:J64)</f>
        <v>7276916655.9599991</v>
      </c>
      <c r="K39" s="12">
        <f t="shared" si="17"/>
        <v>611380613.42000008</v>
      </c>
      <c r="L39" s="12">
        <f t="shared" si="17"/>
        <v>6665536042.54</v>
      </c>
      <c r="M39" s="12">
        <f t="shared" ref="M39" si="18">SUM(M40:M64)</f>
        <v>0</v>
      </c>
      <c r="N39" s="12">
        <f t="shared" si="17"/>
        <v>0</v>
      </c>
      <c r="O39" s="12">
        <f t="shared" si="17"/>
        <v>0</v>
      </c>
      <c r="P39" s="12">
        <f t="shared" ref="P39" si="19">J39*Q35</f>
        <v>0</v>
      </c>
      <c r="Q39" s="12">
        <v>0</v>
      </c>
      <c r="R39" s="12">
        <v>0</v>
      </c>
      <c r="S39" s="12">
        <v>0</v>
      </c>
      <c r="V39" s="31">
        <f>SUM(V40:V64)</f>
        <v>7307505854.9599991</v>
      </c>
      <c r="W39" s="31">
        <f>SUM(W40:W64)</f>
        <v>611380613.41999996</v>
      </c>
      <c r="X39" s="31">
        <f t="shared" ref="X39" si="20">SUM(X40:X64)</f>
        <v>6696125241.5399981</v>
      </c>
    </row>
    <row r="40" spans="1:24" ht="80.099999999999994" customHeight="1" x14ac:dyDescent="0.35">
      <c r="A40" s="1">
        <v>1</v>
      </c>
      <c r="B40" s="6" t="s">
        <v>48</v>
      </c>
      <c r="C40" s="22">
        <f>109-33</f>
        <v>76</v>
      </c>
      <c r="D40" s="22">
        <v>41</v>
      </c>
      <c r="E40" s="22">
        <v>14</v>
      </c>
      <c r="F40" s="22">
        <v>27</v>
      </c>
      <c r="G40" s="17">
        <f>1899.3-G37</f>
        <v>1400.3</v>
      </c>
      <c r="H40" s="17">
        <f>1035.91-H37</f>
        <v>536.91000000000008</v>
      </c>
      <c r="I40" s="17">
        <v>863.39</v>
      </c>
      <c r="J40" s="17">
        <f>171679580.6</f>
        <v>171679580.59999999</v>
      </c>
      <c r="K40" s="13">
        <v>14423906.75</v>
      </c>
      <c r="L40" s="13">
        <f>J40-K40</f>
        <v>157255673.84999999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U40" s="32">
        <v>611380613.41999996</v>
      </c>
      <c r="V40" s="33">
        <f>G40*122602</f>
        <v>171679580.59999999</v>
      </c>
      <c r="W40" s="33">
        <f>U41*$G$40</f>
        <v>14363528.320360256</v>
      </c>
      <c r="X40" s="34">
        <f>V40-W40</f>
        <v>157316052.27963975</v>
      </c>
    </row>
    <row r="41" spans="1:24" ht="80.099999999999994" customHeight="1" x14ac:dyDescent="0.35">
      <c r="A41" s="1">
        <v>2</v>
      </c>
      <c r="B41" s="6" t="s">
        <v>37</v>
      </c>
      <c r="C41" s="22">
        <f>540+586+21+23+1</f>
        <v>1171</v>
      </c>
      <c r="D41" s="24">
        <f>E41+F41</f>
        <v>489</v>
      </c>
      <c r="E41" s="24">
        <f>60+53+9+107+1+2</f>
        <v>232</v>
      </c>
      <c r="F41" s="24">
        <f>108+3+10+129+1+5+1</f>
        <v>257</v>
      </c>
      <c r="G41" s="17">
        <f>12879.16+6809.34+560.6+217.2+32.3</f>
        <v>20498.599999999999</v>
      </c>
      <c r="H41" s="17">
        <f>7377.5+3609.5+21.8+54.3</f>
        <v>11063.099999999999</v>
      </c>
      <c r="I41" s="17">
        <f>G41-H41</f>
        <v>9435.5</v>
      </c>
      <c r="J41" s="17">
        <v>2482580158.1999998</v>
      </c>
      <c r="K41" s="13">
        <v>208577540.71000001</v>
      </c>
      <c r="L41" s="13">
        <v>2274002617.4899998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U41" s="2">
        <f>U40/G39</f>
        <v>10257.465057744952</v>
      </c>
      <c r="V41" s="33">
        <f t="shared" ref="V41:V64" si="21">G41*122602</f>
        <v>2513169357.1999998</v>
      </c>
      <c r="W41" s="33">
        <f>G41*$U$41</f>
        <v>210263673.23269066</v>
      </c>
      <c r="X41" s="34">
        <f t="shared" ref="X41:X64" si="22">V41-W41</f>
        <v>2302905683.967309</v>
      </c>
    </row>
    <row r="42" spans="1:24" s="5" customFormat="1" ht="80.099999999999994" customHeight="1" x14ac:dyDescent="0.35">
      <c r="A42" s="1">
        <v>3</v>
      </c>
      <c r="B42" s="35" t="s">
        <v>57</v>
      </c>
      <c r="C42" s="22">
        <v>329</v>
      </c>
      <c r="D42" s="22">
        <v>158</v>
      </c>
      <c r="E42" s="22">
        <v>59</v>
      </c>
      <c r="F42" s="22">
        <v>99</v>
      </c>
      <c r="G42" s="17">
        <v>6513.1</v>
      </c>
      <c r="H42" s="17">
        <v>2909.8</v>
      </c>
      <c r="I42" s="17">
        <v>3603.3</v>
      </c>
      <c r="J42" s="32">
        <v>798519086.20000005</v>
      </c>
      <c r="K42" s="36">
        <v>67088728.899999999</v>
      </c>
      <c r="L42" s="13">
        <f t="shared" ref="L42:L64" si="23">J42-K42</f>
        <v>731430357.30000007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U42" s="40">
        <f>J39/G39</f>
        <v>122088.78837208835</v>
      </c>
      <c r="V42" s="33">
        <f t="shared" si="21"/>
        <v>798519086.20000005</v>
      </c>
      <c r="W42" s="33">
        <f t="shared" ref="W42:W63" si="24">G42*$U$41</f>
        <v>66807895.66759865</v>
      </c>
      <c r="X42" s="34">
        <f t="shared" si="22"/>
        <v>731711190.53240144</v>
      </c>
    </row>
    <row r="43" spans="1:24" ht="80.099999999999994" customHeight="1" x14ac:dyDescent="0.35">
      <c r="A43" s="1">
        <v>4</v>
      </c>
      <c r="B43" s="6" t="s">
        <v>36</v>
      </c>
      <c r="C43" s="22">
        <v>123</v>
      </c>
      <c r="D43" s="22">
        <v>87</v>
      </c>
      <c r="E43" s="22">
        <v>53</v>
      </c>
      <c r="F43" s="22">
        <v>34</v>
      </c>
      <c r="G43" s="17">
        <v>3220.11</v>
      </c>
      <c r="H43" s="17">
        <v>1969.77</v>
      </c>
      <c r="I43" s="17">
        <v>1250.3399999999999</v>
      </c>
      <c r="J43" s="32">
        <v>394791926.22000003</v>
      </c>
      <c r="K43" s="36">
        <v>33169011.190000001</v>
      </c>
      <c r="L43" s="13">
        <f t="shared" si="23"/>
        <v>361622915.03000003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V43" s="33">
        <f t="shared" si="21"/>
        <v>394791926.22000003</v>
      </c>
      <c r="W43" s="33">
        <f t="shared" si="24"/>
        <v>33030165.807095099</v>
      </c>
      <c r="X43" s="34">
        <f t="shared" si="22"/>
        <v>361761760.41290492</v>
      </c>
    </row>
    <row r="44" spans="1:24" ht="80.099999999999994" customHeight="1" x14ac:dyDescent="0.35">
      <c r="A44" s="1">
        <v>5</v>
      </c>
      <c r="B44" s="6" t="s">
        <v>56</v>
      </c>
      <c r="C44" s="25">
        <v>39</v>
      </c>
      <c r="D44" s="25">
        <v>16</v>
      </c>
      <c r="E44" s="25">
        <v>0</v>
      </c>
      <c r="F44" s="25">
        <v>16</v>
      </c>
      <c r="G44" s="37">
        <v>583.22</v>
      </c>
      <c r="H44" s="37">
        <v>0</v>
      </c>
      <c r="I44" s="37">
        <v>583.22</v>
      </c>
      <c r="J44" s="17">
        <v>71503938.439999998</v>
      </c>
      <c r="K44" s="17">
        <v>6007506.1699999999</v>
      </c>
      <c r="L44" s="13">
        <f t="shared" si="23"/>
        <v>65496432.269999996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V44" s="33">
        <f t="shared" si="21"/>
        <v>71503938.439999998</v>
      </c>
      <c r="W44" s="33">
        <f t="shared" si="24"/>
        <v>5982358.7709780112</v>
      </c>
      <c r="X44" s="34">
        <f t="shared" si="22"/>
        <v>65521579.669021986</v>
      </c>
    </row>
    <row r="45" spans="1:24" ht="80.099999999999994" customHeight="1" x14ac:dyDescent="0.35">
      <c r="A45" s="1">
        <v>6</v>
      </c>
      <c r="B45" s="35" t="s">
        <v>58</v>
      </c>
      <c r="C45" s="22">
        <f>122+196</f>
        <v>318</v>
      </c>
      <c r="D45" s="22">
        <f>7+113</f>
        <v>120</v>
      </c>
      <c r="E45" s="22">
        <f>2+57</f>
        <v>59</v>
      </c>
      <c r="F45" s="22">
        <f>5+56</f>
        <v>61</v>
      </c>
      <c r="G45" s="17">
        <f>818.5+5685.6</f>
        <v>6504.1</v>
      </c>
      <c r="H45" s="17">
        <f>552+2764.2</f>
        <v>3316.2</v>
      </c>
      <c r="I45" s="17">
        <f>266.5+2921.4</f>
        <v>3187.9</v>
      </c>
      <c r="J45" s="32">
        <v>797415668.20000005</v>
      </c>
      <c r="K45" s="36">
        <v>66996023.649999999</v>
      </c>
      <c r="L45" s="13">
        <f t="shared" si="23"/>
        <v>730419644.55000007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V45" s="33">
        <f t="shared" si="21"/>
        <v>797415668.20000005</v>
      </c>
      <c r="W45" s="33">
        <f t="shared" si="24"/>
        <v>66715578.482078947</v>
      </c>
      <c r="X45" s="34">
        <f t="shared" si="22"/>
        <v>730700089.71792114</v>
      </c>
    </row>
    <row r="46" spans="1:24" ht="80.099999999999994" customHeight="1" x14ac:dyDescent="0.35">
      <c r="A46" s="1">
        <v>7</v>
      </c>
      <c r="B46" s="6" t="s">
        <v>38</v>
      </c>
      <c r="C46" s="22">
        <f>102+83</f>
        <v>185</v>
      </c>
      <c r="D46" s="22">
        <f>38+40</f>
        <v>78</v>
      </c>
      <c r="E46" s="22">
        <f>34+30</f>
        <v>64</v>
      </c>
      <c r="F46" s="22">
        <f>4+10</f>
        <v>14</v>
      </c>
      <c r="G46" s="17">
        <f>1873.62+1783.08</f>
        <v>3656.7</v>
      </c>
      <c r="H46" s="17">
        <f>1684.02+1226.68</f>
        <v>2910.7</v>
      </c>
      <c r="I46" s="17">
        <f>189.6+556.4</f>
        <v>746</v>
      </c>
      <c r="J46" s="32">
        <v>448318733.39999998</v>
      </c>
      <c r="K46" s="36">
        <v>37666142.840000004</v>
      </c>
      <c r="L46" s="13">
        <f t="shared" si="23"/>
        <v>410652590.55999994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V46" s="33">
        <f t="shared" si="21"/>
        <v>448318733.39999998</v>
      </c>
      <c r="W46" s="33">
        <f t="shared" si="24"/>
        <v>37508472.476655968</v>
      </c>
      <c r="X46" s="34">
        <f t="shared" si="22"/>
        <v>410810260.92334402</v>
      </c>
    </row>
    <row r="47" spans="1:24" ht="80.099999999999994" customHeight="1" x14ac:dyDescent="0.35">
      <c r="A47" s="1">
        <v>8</v>
      </c>
      <c r="B47" s="35" t="s">
        <v>64</v>
      </c>
      <c r="C47" s="22">
        <v>28</v>
      </c>
      <c r="D47" s="22">
        <v>14</v>
      </c>
      <c r="E47" s="22">
        <v>11</v>
      </c>
      <c r="F47" s="22">
        <v>3</v>
      </c>
      <c r="G47" s="17">
        <v>545.1</v>
      </c>
      <c r="H47" s="17">
        <v>420</v>
      </c>
      <c r="I47" s="17">
        <v>125.1</v>
      </c>
      <c r="J47" s="17">
        <v>66830350.200000003</v>
      </c>
      <c r="K47" s="17">
        <v>5614847.9400000004</v>
      </c>
      <c r="L47" s="13">
        <f t="shared" si="23"/>
        <v>61215502.260000005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V47" s="33">
        <f t="shared" si="21"/>
        <v>66830350.200000003</v>
      </c>
      <c r="W47" s="33">
        <f t="shared" si="24"/>
        <v>5591344.2029767735</v>
      </c>
      <c r="X47" s="34">
        <f t="shared" si="22"/>
        <v>61239005.997023232</v>
      </c>
    </row>
    <row r="48" spans="1:24" ht="80.099999999999994" customHeight="1" x14ac:dyDescent="0.35">
      <c r="A48" s="1">
        <v>9</v>
      </c>
      <c r="B48" s="6" t="s">
        <v>51</v>
      </c>
      <c r="C48" s="22">
        <v>99</v>
      </c>
      <c r="D48" s="22">
        <v>43</v>
      </c>
      <c r="E48" s="22">
        <v>18</v>
      </c>
      <c r="F48" s="22">
        <v>25</v>
      </c>
      <c r="G48" s="17">
        <v>1593.49</v>
      </c>
      <c r="H48" s="17">
        <v>719.86</v>
      </c>
      <c r="I48" s="17">
        <v>873.63</v>
      </c>
      <c r="J48" s="17">
        <v>195365060.97999999</v>
      </c>
      <c r="K48" s="17">
        <v>16413876.439999999</v>
      </c>
      <c r="L48" s="13">
        <f t="shared" si="23"/>
        <v>178951184.53999999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V48" s="33">
        <f t="shared" si="21"/>
        <v>195365060.97999999</v>
      </c>
      <c r="W48" s="33">
        <f t="shared" si="24"/>
        <v>16345167.994866004</v>
      </c>
      <c r="X48" s="34">
        <f t="shared" si="22"/>
        <v>179019892.98513398</v>
      </c>
    </row>
    <row r="49" spans="1:24" ht="80.099999999999994" customHeight="1" x14ac:dyDescent="0.35">
      <c r="A49" s="1">
        <v>10</v>
      </c>
      <c r="B49" s="6" t="s">
        <v>52</v>
      </c>
      <c r="C49" s="22">
        <v>18</v>
      </c>
      <c r="D49" s="22">
        <v>9</v>
      </c>
      <c r="E49" s="22">
        <v>2</v>
      </c>
      <c r="F49" s="22">
        <v>7</v>
      </c>
      <c r="G49" s="17">
        <v>268.26</v>
      </c>
      <c r="H49" s="17">
        <v>53.67</v>
      </c>
      <c r="I49" s="17">
        <v>214.59</v>
      </c>
      <c r="J49" s="17">
        <v>32889212.52</v>
      </c>
      <c r="K49" s="17">
        <v>2763234.47</v>
      </c>
      <c r="L49" s="13">
        <f t="shared" si="23"/>
        <v>30125978.050000001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V49" s="33">
        <f t="shared" si="21"/>
        <v>32889212.52</v>
      </c>
      <c r="W49" s="33">
        <f t="shared" si="24"/>
        <v>2751667.5763906608</v>
      </c>
      <c r="X49" s="34">
        <f t="shared" si="22"/>
        <v>30137544.943609338</v>
      </c>
    </row>
    <row r="50" spans="1:24" ht="80.099999999999994" customHeight="1" x14ac:dyDescent="0.35">
      <c r="A50" s="1">
        <v>11</v>
      </c>
      <c r="B50" s="6" t="s">
        <v>39</v>
      </c>
      <c r="C50" s="22">
        <v>25</v>
      </c>
      <c r="D50" s="22">
        <v>8</v>
      </c>
      <c r="E50" s="22">
        <v>6</v>
      </c>
      <c r="F50" s="22">
        <v>2</v>
      </c>
      <c r="G50" s="17">
        <v>360.3</v>
      </c>
      <c r="H50" s="17">
        <v>282.39999999999998</v>
      </c>
      <c r="I50" s="17">
        <v>77.900000000000006</v>
      </c>
      <c r="J50" s="17">
        <v>44173500.600000001</v>
      </c>
      <c r="K50" s="17">
        <v>3711300.15</v>
      </c>
      <c r="L50" s="13">
        <f t="shared" si="23"/>
        <v>40462200.450000003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V50" s="33">
        <f t="shared" si="21"/>
        <v>44173500.600000001</v>
      </c>
      <c r="W50" s="33">
        <f t="shared" si="24"/>
        <v>3695764.6603055065</v>
      </c>
      <c r="X50" s="34">
        <f t="shared" si="22"/>
        <v>40477735.939694494</v>
      </c>
    </row>
    <row r="51" spans="1:24" ht="80.099999999999994" customHeight="1" x14ac:dyDescent="0.35">
      <c r="A51" s="1">
        <v>12</v>
      </c>
      <c r="B51" s="6" t="s">
        <v>47</v>
      </c>
      <c r="C51" s="22">
        <f>51-12</f>
        <v>39</v>
      </c>
      <c r="D51" s="22">
        <v>9</v>
      </c>
      <c r="E51" s="22">
        <v>4</v>
      </c>
      <c r="F51" s="22">
        <v>5</v>
      </c>
      <c r="G51" s="17">
        <v>381.1</v>
      </c>
      <c r="H51" s="17">
        <v>91.9</v>
      </c>
      <c r="I51" s="17">
        <v>289.2</v>
      </c>
      <c r="J51" s="17">
        <v>46723622.200000003</v>
      </c>
      <c r="K51" s="17">
        <v>3925552.28</v>
      </c>
      <c r="L51" s="13">
        <f t="shared" si="23"/>
        <v>42798069.920000002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V51" s="33">
        <f t="shared" si="21"/>
        <v>46723622.200000003</v>
      </c>
      <c r="W51" s="33">
        <f t="shared" si="24"/>
        <v>3909119.9335066015</v>
      </c>
      <c r="X51" s="34">
        <f t="shared" si="22"/>
        <v>42814502.266493402</v>
      </c>
    </row>
    <row r="52" spans="1:24" ht="80.099999999999994" customHeight="1" x14ac:dyDescent="0.35">
      <c r="A52" s="1">
        <v>13</v>
      </c>
      <c r="B52" s="6" t="s">
        <v>40</v>
      </c>
      <c r="C52" s="22">
        <v>19</v>
      </c>
      <c r="D52" s="22">
        <v>12</v>
      </c>
      <c r="E52" s="22">
        <v>9</v>
      </c>
      <c r="F52" s="22">
        <v>3</v>
      </c>
      <c r="G52" s="17">
        <v>467.2</v>
      </c>
      <c r="H52" s="17">
        <v>349.2</v>
      </c>
      <c r="I52" s="17">
        <v>118</v>
      </c>
      <c r="J52" s="32">
        <v>57279654.399999999</v>
      </c>
      <c r="K52" s="36">
        <v>4812432.5</v>
      </c>
      <c r="L52" s="13">
        <f t="shared" si="23"/>
        <v>52467221.899999999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V52" s="33">
        <f t="shared" si="21"/>
        <v>57279654.399999999</v>
      </c>
      <c r="W52" s="33">
        <f t="shared" si="24"/>
        <v>4792287.6749784416</v>
      </c>
      <c r="X52" s="34">
        <f t="shared" si="22"/>
        <v>52487366.725021556</v>
      </c>
    </row>
    <row r="53" spans="1:24" ht="80.099999999999994" customHeight="1" x14ac:dyDescent="0.35">
      <c r="A53" s="1">
        <v>14</v>
      </c>
      <c r="B53" s="35" t="s">
        <v>59</v>
      </c>
      <c r="C53" s="22">
        <v>18</v>
      </c>
      <c r="D53" s="22">
        <v>11</v>
      </c>
      <c r="E53" s="22">
        <v>2</v>
      </c>
      <c r="F53" s="22">
        <v>9</v>
      </c>
      <c r="G53" s="17">
        <v>552.6</v>
      </c>
      <c r="H53" s="17">
        <v>115.3</v>
      </c>
      <c r="I53" s="17">
        <v>437.3</v>
      </c>
      <c r="J53" s="32">
        <v>67749865.200000003</v>
      </c>
      <c r="K53" s="36">
        <v>5692102.3200000003</v>
      </c>
      <c r="L53" s="13">
        <f t="shared" si="23"/>
        <v>62057762.880000003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V53" s="33">
        <f t="shared" si="21"/>
        <v>67749865.200000003</v>
      </c>
      <c r="W53" s="33">
        <f t="shared" si="24"/>
        <v>5668275.1909098607</v>
      </c>
      <c r="X53" s="34">
        <f t="shared" si="22"/>
        <v>62081590.00909014</v>
      </c>
    </row>
    <row r="54" spans="1:24" ht="80.099999999999994" customHeight="1" x14ac:dyDescent="0.35">
      <c r="A54" s="1">
        <v>15</v>
      </c>
      <c r="B54" s="6" t="s">
        <v>53</v>
      </c>
      <c r="C54" s="22">
        <f>25+41</f>
        <v>66</v>
      </c>
      <c r="D54" s="22">
        <f>9+14</f>
        <v>23</v>
      </c>
      <c r="E54" s="22">
        <v>8</v>
      </c>
      <c r="F54" s="22">
        <v>15</v>
      </c>
      <c r="G54" s="17">
        <f>233.7+448</f>
        <v>681.7</v>
      </c>
      <c r="H54" s="17">
        <f>45.2+223.2</f>
        <v>268.39999999999998</v>
      </c>
      <c r="I54" s="17">
        <f>188.5+224.8</f>
        <v>413.3</v>
      </c>
      <c r="J54" s="17">
        <v>83577783.400000006</v>
      </c>
      <c r="K54" s="17">
        <v>7021907.6200000001</v>
      </c>
      <c r="L54" s="13">
        <f t="shared" si="23"/>
        <v>76555875.780000001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V54" s="33">
        <f t="shared" si="21"/>
        <v>83577783.400000006</v>
      </c>
      <c r="W54" s="33">
        <f t="shared" si="24"/>
        <v>6992513.9298647344</v>
      </c>
      <c r="X54" s="34">
        <f t="shared" si="22"/>
        <v>76585269.470135272</v>
      </c>
    </row>
    <row r="55" spans="1:24" ht="80.099999999999994" customHeight="1" x14ac:dyDescent="0.35">
      <c r="A55" s="1">
        <v>16</v>
      </c>
      <c r="B55" s="35" t="s">
        <v>60</v>
      </c>
      <c r="C55" s="22">
        <v>19</v>
      </c>
      <c r="D55" s="22">
        <v>9</v>
      </c>
      <c r="E55" s="22">
        <v>7</v>
      </c>
      <c r="F55" s="22">
        <v>2</v>
      </c>
      <c r="G55" s="17">
        <v>443.7</v>
      </c>
      <c r="H55" s="17">
        <v>350.7</v>
      </c>
      <c r="I55" s="17">
        <v>93</v>
      </c>
      <c r="J55" s="32">
        <v>54398507.399999999</v>
      </c>
      <c r="K55" s="36">
        <v>4570368.8</v>
      </c>
      <c r="L55" s="13">
        <f t="shared" si="23"/>
        <v>49828138.600000001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V55" s="33">
        <f t="shared" si="21"/>
        <v>54398507.399999999</v>
      </c>
      <c r="W55" s="33">
        <f t="shared" si="24"/>
        <v>4551237.2461214354</v>
      </c>
      <c r="X55" s="34">
        <f t="shared" si="22"/>
        <v>49847270.153878562</v>
      </c>
    </row>
    <row r="56" spans="1:24" ht="80.099999999999994" customHeight="1" x14ac:dyDescent="0.35">
      <c r="A56" s="1">
        <v>17</v>
      </c>
      <c r="B56" s="35" t="s">
        <v>67</v>
      </c>
      <c r="C56" s="22">
        <v>179</v>
      </c>
      <c r="D56" s="22">
        <v>82</v>
      </c>
      <c r="E56" s="22">
        <v>14</v>
      </c>
      <c r="F56" s="22">
        <v>68</v>
      </c>
      <c r="G56" s="17">
        <v>4509.8999999999996</v>
      </c>
      <c r="H56" s="17">
        <v>725.8</v>
      </c>
      <c r="I56" s="17">
        <v>3784.1</v>
      </c>
      <c r="J56" s="32">
        <v>552922759.79999995</v>
      </c>
      <c r="K56" s="36">
        <v>46454600.490000002</v>
      </c>
      <c r="L56" s="13">
        <f t="shared" si="23"/>
        <v>506468159.30999994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V56" s="33">
        <f t="shared" si="21"/>
        <v>552922759.79999995</v>
      </c>
      <c r="W56" s="33">
        <f t="shared" si="24"/>
        <v>46260141.663923956</v>
      </c>
      <c r="X56" s="34">
        <f t="shared" si="22"/>
        <v>506662618.13607597</v>
      </c>
    </row>
    <row r="57" spans="1:24" ht="80.099999999999994" customHeight="1" x14ac:dyDescent="0.35">
      <c r="A57" s="1">
        <v>18</v>
      </c>
      <c r="B57" s="6" t="s">
        <v>41</v>
      </c>
      <c r="C57" s="22">
        <v>75</v>
      </c>
      <c r="D57" s="22">
        <v>21</v>
      </c>
      <c r="E57" s="22">
        <v>14</v>
      </c>
      <c r="F57" s="22">
        <v>7</v>
      </c>
      <c r="G57" s="17">
        <v>1263</v>
      </c>
      <c r="H57" s="17">
        <v>863.2</v>
      </c>
      <c r="I57" s="17">
        <v>399.8</v>
      </c>
      <c r="J57" s="32">
        <v>154846326</v>
      </c>
      <c r="K57" s="36">
        <v>13009636.67</v>
      </c>
      <c r="L57" s="13">
        <f t="shared" si="23"/>
        <v>141836689.33000001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V57" s="33">
        <f t="shared" si="21"/>
        <v>154846326</v>
      </c>
      <c r="W57" s="33">
        <f t="shared" si="24"/>
        <v>12955178.367931874</v>
      </c>
      <c r="X57" s="34">
        <f t="shared" si="22"/>
        <v>141891147.63206813</v>
      </c>
    </row>
    <row r="58" spans="1:24" ht="80.099999999999994" customHeight="1" x14ac:dyDescent="0.35">
      <c r="A58" s="1">
        <v>19</v>
      </c>
      <c r="B58" s="6" t="s">
        <v>42</v>
      </c>
      <c r="C58" s="22">
        <v>3</v>
      </c>
      <c r="D58" s="22">
        <v>2</v>
      </c>
      <c r="E58" s="22">
        <v>1</v>
      </c>
      <c r="F58" s="22">
        <v>1</v>
      </c>
      <c r="G58" s="17">
        <v>108.9</v>
      </c>
      <c r="H58" s="17">
        <v>52.5</v>
      </c>
      <c r="I58" s="17">
        <v>56.4</v>
      </c>
      <c r="J58" s="32">
        <v>13351357.800000001</v>
      </c>
      <c r="K58" s="36">
        <v>1121733.52</v>
      </c>
      <c r="L58" s="13">
        <f t="shared" si="23"/>
        <v>12229624.280000001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V58" s="33">
        <f t="shared" si="21"/>
        <v>13351357.800000001</v>
      </c>
      <c r="W58" s="33">
        <f t="shared" si="24"/>
        <v>1117037.9447884252</v>
      </c>
      <c r="X58" s="34">
        <f t="shared" si="22"/>
        <v>12234319.855211575</v>
      </c>
    </row>
    <row r="59" spans="1:24" ht="80.099999999999994" customHeight="1" x14ac:dyDescent="0.35">
      <c r="A59" s="1">
        <v>20</v>
      </c>
      <c r="B59" s="6" t="s">
        <v>43</v>
      </c>
      <c r="C59" s="22">
        <f>43+15</f>
        <v>58</v>
      </c>
      <c r="D59" s="22">
        <f>16+4</f>
        <v>20</v>
      </c>
      <c r="E59" s="22">
        <v>0</v>
      </c>
      <c r="F59" s="22">
        <v>20</v>
      </c>
      <c r="G59" s="17">
        <f>529+282.3</f>
        <v>811.3</v>
      </c>
      <c r="H59" s="17">
        <v>0</v>
      </c>
      <c r="I59" s="17">
        <f>529+282.3</f>
        <v>811.3</v>
      </c>
      <c r="J59" s="32">
        <v>99467002.599999994</v>
      </c>
      <c r="K59" s="36">
        <v>8356863.21</v>
      </c>
      <c r="L59" s="13">
        <f t="shared" si="23"/>
        <v>91110139.390000001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V59" s="33">
        <f t="shared" si="21"/>
        <v>99467002.599999994</v>
      </c>
      <c r="W59" s="33">
        <f t="shared" si="24"/>
        <v>8321881.4013484791</v>
      </c>
      <c r="X59" s="34">
        <f t="shared" si="22"/>
        <v>91145121.198651522</v>
      </c>
    </row>
    <row r="60" spans="1:24" ht="80.099999999999994" customHeight="1" x14ac:dyDescent="0.35">
      <c r="A60" s="1">
        <v>21</v>
      </c>
      <c r="B60" s="6" t="s">
        <v>44</v>
      </c>
      <c r="C60" s="22">
        <v>21</v>
      </c>
      <c r="D60" s="22">
        <v>6</v>
      </c>
      <c r="E60" s="22">
        <v>0</v>
      </c>
      <c r="F60" s="22">
        <v>6</v>
      </c>
      <c r="G60" s="17">
        <v>235</v>
      </c>
      <c r="H60" s="17">
        <v>0</v>
      </c>
      <c r="I60" s="17">
        <v>235</v>
      </c>
      <c r="J60" s="32">
        <v>28811470</v>
      </c>
      <c r="K60" s="36">
        <v>2420637.0699999998</v>
      </c>
      <c r="L60" s="13">
        <f t="shared" si="23"/>
        <v>26390832.93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V60" s="33">
        <f t="shared" si="21"/>
        <v>28811470</v>
      </c>
      <c r="W60" s="33">
        <f t="shared" si="24"/>
        <v>2410504.2885700637</v>
      </c>
      <c r="X60" s="34">
        <f t="shared" si="22"/>
        <v>26400965.711429935</v>
      </c>
    </row>
    <row r="61" spans="1:24" ht="67.5" customHeight="1" x14ac:dyDescent="0.35">
      <c r="A61" s="1">
        <v>22</v>
      </c>
      <c r="B61" s="6" t="s">
        <v>45</v>
      </c>
      <c r="C61" s="22">
        <v>18</v>
      </c>
      <c r="D61" s="22">
        <v>6</v>
      </c>
      <c r="E61" s="22">
        <v>2</v>
      </c>
      <c r="F61" s="22">
        <v>4</v>
      </c>
      <c r="G61" s="17">
        <v>245.6</v>
      </c>
      <c r="H61" s="17">
        <v>83.6</v>
      </c>
      <c r="I61" s="17">
        <v>162</v>
      </c>
      <c r="J61" s="32">
        <v>30111051.199999999</v>
      </c>
      <c r="K61" s="36">
        <v>2529823.25</v>
      </c>
      <c r="L61" s="13">
        <f t="shared" si="23"/>
        <v>27581227.949999999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V61" s="33">
        <f t="shared" si="21"/>
        <v>30111051.199999999</v>
      </c>
      <c r="W61" s="33">
        <f t="shared" si="24"/>
        <v>2519233.4181821602</v>
      </c>
      <c r="X61" s="34">
        <f t="shared" si="22"/>
        <v>27591817.781817839</v>
      </c>
    </row>
    <row r="62" spans="1:24" ht="80.099999999999994" customHeight="1" x14ac:dyDescent="0.35">
      <c r="A62" s="1">
        <v>23</v>
      </c>
      <c r="B62" s="6" t="s">
        <v>54</v>
      </c>
      <c r="C62" s="22">
        <v>6</v>
      </c>
      <c r="D62" s="22">
        <v>2</v>
      </c>
      <c r="E62" s="22">
        <v>0</v>
      </c>
      <c r="F62" s="22">
        <v>2</v>
      </c>
      <c r="G62" s="17">
        <v>115.2</v>
      </c>
      <c r="H62" s="17">
        <v>0</v>
      </c>
      <c r="I62" s="17">
        <v>115.2</v>
      </c>
      <c r="J62" s="17">
        <v>14123750.4</v>
      </c>
      <c r="K62" s="17">
        <v>1186627.19</v>
      </c>
      <c r="L62" s="13">
        <f t="shared" si="23"/>
        <v>12937123.210000001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V62" s="33">
        <f t="shared" si="21"/>
        <v>14123750.4</v>
      </c>
      <c r="W62" s="33">
        <f t="shared" si="24"/>
        <v>1181659.9746522184</v>
      </c>
      <c r="X62" s="34">
        <f t="shared" si="22"/>
        <v>12942090.425347783</v>
      </c>
    </row>
    <row r="63" spans="1:24" ht="80.099999999999994" customHeight="1" x14ac:dyDescent="0.35">
      <c r="A63" s="1">
        <v>24</v>
      </c>
      <c r="B63" s="6" t="s">
        <v>55</v>
      </c>
      <c r="C63" s="22">
        <v>24</v>
      </c>
      <c r="D63" s="22">
        <v>11</v>
      </c>
      <c r="E63" s="22">
        <v>11</v>
      </c>
      <c r="F63" s="22">
        <v>0</v>
      </c>
      <c r="G63" s="17">
        <v>388.6</v>
      </c>
      <c r="H63" s="17">
        <v>388.6</v>
      </c>
      <c r="I63" s="17">
        <v>0</v>
      </c>
      <c r="J63" s="17">
        <v>47643137.200000003</v>
      </c>
      <c r="K63" s="17">
        <v>4002806.66</v>
      </c>
      <c r="L63" s="13">
        <f t="shared" si="23"/>
        <v>43640330.540000007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V63" s="33">
        <f t="shared" si="21"/>
        <v>47643137.200000003</v>
      </c>
      <c r="W63" s="33">
        <f t="shared" si="24"/>
        <v>3986050.9214396887</v>
      </c>
      <c r="X63" s="34">
        <f t="shared" si="22"/>
        <v>43657086.278560311</v>
      </c>
    </row>
    <row r="64" spans="1:24" ht="63" customHeight="1" x14ac:dyDescent="0.35">
      <c r="A64" s="1">
        <v>25</v>
      </c>
      <c r="B64" s="6" t="s">
        <v>46</v>
      </c>
      <c r="C64" s="22">
        <v>222</v>
      </c>
      <c r="D64" s="22">
        <v>88</v>
      </c>
      <c r="E64" s="22">
        <v>63</v>
      </c>
      <c r="F64" s="22">
        <v>25</v>
      </c>
      <c r="G64" s="17">
        <v>4256.3999999999996</v>
      </c>
      <c r="H64" s="17">
        <v>2873.3</v>
      </c>
      <c r="I64" s="17">
        <v>1383.1</v>
      </c>
      <c r="J64" s="32">
        <v>521843152.80000001</v>
      </c>
      <c r="K64" s="36">
        <v>43843402.630000003</v>
      </c>
      <c r="L64" s="13">
        <f t="shared" si="23"/>
        <v>477999750.17000002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V64" s="33">
        <f t="shared" si="21"/>
        <v>521843152.79999995</v>
      </c>
      <c r="W64" s="33">
        <f>G64*$U$41</f>
        <v>43659874.271785609</v>
      </c>
      <c r="X64" s="34">
        <f t="shared" si="22"/>
        <v>478183278.52821434</v>
      </c>
    </row>
    <row r="75" spans="1:20" ht="15" customHeight="1" x14ac:dyDescent="0.35">
      <c r="A75" s="48"/>
      <c r="B75" s="48"/>
      <c r="C75" s="48"/>
      <c r="D75" s="48"/>
      <c r="E75" s="48"/>
      <c r="F75" s="48"/>
      <c r="G75" s="48"/>
      <c r="H75" s="48"/>
      <c r="I75" s="18"/>
      <c r="J75" s="18"/>
      <c r="K75" s="18"/>
      <c r="L75" s="18"/>
    </row>
    <row r="76" spans="1:20" ht="15" customHeight="1" x14ac:dyDescent="0.35">
      <c r="A76" s="48"/>
      <c r="B76" s="48"/>
      <c r="C76" s="48"/>
      <c r="D76" s="48"/>
      <c r="E76" s="48"/>
      <c r="F76" s="48"/>
      <c r="G76" s="48"/>
      <c r="H76" s="48"/>
      <c r="I76" s="18"/>
      <c r="J76" s="18"/>
      <c r="K76" s="18"/>
      <c r="L76" s="19"/>
      <c r="M76" s="18"/>
      <c r="N76" s="18"/>
      <c r="T76" s="9"/>
    </row>
    <row r="77" spans="1:20" ht="23.25" customHeight="1" x14ac:dyDescent="0.35">
      <c r="A77" s="48"/>
      <c r="B77" s="48"/>
      <c r="C77" s="48"/>
      <c r="D77" s="48"/>
      <c r="E77" s="48"/>
      <c r="F77" s="48"/>
      <c r="G77" s="48"/>
      <c r="H77" s="48"/>
      <c r="I77" s="18"/>
      <c r="J77" s="18"/>
      <c r="K77" s="18"/>
      <c r="L77" s="18"/>
      <c r="M77" s="18"/>
      <c r="O77" s="46"/>
      <c r="P77" s="46"/>
      <c r="Q77" s="46"/>
      <c r="R77" s="46"/>
      <c r="S77" s="46"/>
    </row>
    <row r="78" spans="1:20" ht="19.5" customHeight="1" x14ac:dyDescent="0.35">
      <c r="A78" s="29"/>
      <c r="B78" s="29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O78" s="49"/>
      <c r="P78" s="49"/>
      <c r="Q78" s="49"/>
      <c r="R78" s="49"/>
      <c r="S78" s="49"/>
    </row>
    <row r="79" spans="1:20" ht="15" customHeight="1" x14ac:dyDescent="0.35">
      <c r="A79" s="29"/>
      <c r="B79" s="29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O79" s="28"/>
      <c r="P79" s="28"/>
      <c r="Q79" s="28"/>
      <c r="R79" s="10"/>
      <c r="S79" s="10"/>
    </row>
    <row r="80" spans="1:20" ht="15" customHeight="1" x14ac:dyDescent="0.35">
      <c r="A80" s="29"/>
      <c r="B80" s="29"/>
      <c r="C80" s="18"/>
      <c r="D80" s="18"/>
      <c r="E80" s="18"/>
      <c r="F80" s="18"/>
      <c r="G80" s="18"/>
      <c r="H80" s="30"/>
      <c r="I80" s="20"/>
      <c r="J80" s="20"/>
      <c r="K80" s="20"/>
      <c r="L80" s="20"/>
      <c r="M80" s="18"/>
      <c r="O80" s="46"/>
      <c r="P80" s="46"/>
      <c r="Q80" s="46"/>
      <c r="R80" s="47"/>
      <c r="S80" s="47"/>
    </row>
    <row r="81" spans="1:19" ht="15" customHeight="1" x14ac:dyDescent="0.35">
      <c r="A81" s="29"/>
      <c r="B81" s="29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O81" s="28"/>
      <c r="P81" s="10"/>
      <c r="Q81" s="10"/>
      <c r="R81" s="10"/>
      <c r="S81" s="10"/>
    </row>
    <row r="82" spans="1:19" x14ac:dyDescent="0.35">
      <c r="B82" s="2"/>
      <c r="O82" s="28"/>
      <c r="P82" s="28"/>
      <c r="Q82" s="28"/>
      <c r="R82" s="28"/>
      <c r="S82" s="28"/>
    </row>
    <row r="83" spans="1:19" x14ac:dyDescent="0.35">
      <c r="B83" s="2"/>
      <c r="K83" s="38"/>
    </row>
    <row r="84" spans="1:19" x14ac:dyDescent="0.35">
      <c r="B84" s="2"/>
    </row>
    <row r="85" spans="1:19" x14ac:dyDescent="0.35">
      <c r="B85" s="2"/>
    </row>
    <row r="86" spans="1:19" x14ac:dyDescent="0.35">
      <c r="B86" s="2"/>
    </row>
    <row r="87" spans="1:19" x14ac:dyDescent="0.35">
      <c r="B87" s="11"/>
    </row>
  </sheetData>
  <sheetProtection formatCells="0" formatColumns="0" formatRows="0" insertColumns="0" insertRows="0" insertHyperlinks="0" deleteColumns="0" deleteRows="0" sort="0" autoFilter="0" pivotTables="0"/>
  <mergeCells count="29">
    <mergeCell ref="G8:K8"/>
    <mergeCell ref="Q1:S1"/>
    <mergeCell ref="B9:S9"/>
    <mergeCell ref="O80:Q80"/>
    <mergeCell ref="R80:S80"/>
    <mergeCell ref="C11:C13"/>
    <mergeCell ref="B11:B14"/>
    <mergeCell ref="A75:H77"/>
    <mergeCell ref="O3:S5"/>
    <mergeCell ref="Q78:S78"/>
    <mergeCell ref="Q77:S77"/>
    <mergeCell ref="O78:P78"/>
    <mergeCell ref="O77:P77"/>
    <mergeCell ref="A11:A14"/>
    <mergeCell ref="D12:D13"/>
    <mergeCell ref="G12:G13"/>
    <mergeCell ref="E12:F12"/>
    <mergeCell ref="R12:S12"/>
    <mergeCell ref="J11:M11"/>
    <mergeCell ref="J12:J13"/>
    <mergeCell ref="D11:F11"/>
    <mergeCell ref="G11:I11"/>
    <mergeCell ref="N12:N13"/>
    <mergeCell ref="Q12:Q13"/>
    <mergeCell ref="K12:M12"/>
    <mergeCell ref="O12:P12"/>
    <mergeCell ref="N11:P11"/>
    <mergeCell ref="Q11:S11"/>
    <mergeCell ref="H12:I12"/>
  </mergeCells>
  <printOptions horizontalCentered="1"/>
  <pageMargins left="0.31496062992125984" right="0.31496062992125984" top="0.78740157480314965" bottom="0.31496062992125984" header="0.51181102362204722" footer="0.51181102362204722"/>
  <pageSetup paperSize="9" scale="29" firstPageNumber="21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3</vt:lpstr>
      <vt:lpstr>'Форма 3'!Заголовки_для_печати</vt:lpstr>
      <vt:lpstr>'Форма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 И. Серебрянникова</dc:creator>
  <cp:lastModifiedBy>Марина Петухова</cp:lastModifiedBy>
  <cp:lastPrinted>2023-10-10T06:34:53Z</cp:lastPrinted>
  <dcterms:created xsi:type="dcterms:W3CDTF">2006-09-16T00:00:00Z</dcterms:created>
  <dcterms:modified xsi:type="dcterms:W3CDTF">2023-10-10T06:35:01Z</dcterms:modified>
</cp:coreProperties>
</file>