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Таблица 1" sheetId="1" state="visible" r:id="rId1"/>
    <sheet name="Таблица 2" sheetId="2" state="visible" r:id="rId2"/>
    <sheet name="Таблица 3 " sheetId="3" state="visible" r:id="rId3"/>
  </sheets>
  <definedNames>
    <definedName name="_xlnm._FilterDatabase" localSheetId="0" hidden="1">'Таблица 1'!$A$18:$V$959</definedName>
    <definedName name="_xlnm.Print_Area" localSheetId="0" hidden="0">'Таблица 1'!$A$1:$V$1040</definedName>
    <definedName name="_xlnm.Print_Area" localSheetId="1" hidden="0">'Таблица 2'!$A$1:$N$106</definedName>
    <definedName name="_xlnm._FilterDatabase" localSheetId="2" hidden="1">'Таблица 3 '!$A$4:$T$705</definedName>
    <definedName name="_xlnm.Print_Area" localSheetId="2" hidden="0">'Таблица 3 '!$A$1:$T$1053</definedName>
    <definedName name="JR_PAGE_ANCHOR_0_1">#REF!</definedName>
    <definedName name="а">#REF!</definedName>
  </definedNames>
  <calcPr/>
</workbook>
</file>

<file path=xl/sharedStrings.xml><?xml version="1.0" encoding="utf-8"?>
<sst xmlns="http://schemas.openxmlformats.org/spreadsheetml/2006/main" count="1417" uniqueCount="1417">
  <si>
    <t xml:space="preserve">«УТВЕРЖДЕН                                                                                            </t>
  </si>
  <si>
    <t xml:space="preserve">постановлением Правительства</t>
  </si>
  <si>
    <t xml:space="preserve">Забайкальского края</t>
  </si>
  <si>
    <t xml:space="preserve">от 17 декабря 2025 года № 756</t>
  </si>
  <si>
    <t xml:space="preserve">(в редакции постановления Правительства</t>
  </si>
  <si>
    <t xml:space="preserve">                             от ____________ № ____)</t>
  </si>
  <si>
    <t xml:space="preserve">Региональный краткосрочный план реализации Региональной программы капитального ремонта общего имущества в многоквартирных домах, расположенных на территории Забайкальского края, на период 2026-2028 годов </t>
  </si>
  <si>
    <t xml:space="preserve">Таблица 1. Адресный перечень и характеристика многоквартирных домов, расположенных на территории Забайкальского края, в отношении которых на период 2026-2028 годов планируется проведение капитального ремонта общего имущества в многоквартирных домах</t>
  </si>
  <si>
    <t xml:space="preserve">№ п/п</t>
  </si>
  <si>
    <t xml:space="preserve">Адрес МКД</t>
  </si>
  <si>
    <t xml:space="preserve">Способ формирования фонда капитального ремонта</t>
  </si>
  <si>
    <t>Год</t>
  </si>
  <si>
    <t xml:space="preserve">Материал стен</t>
  </si>
  <si>
    <t xml:space="preserve">Количество этажей</t>
  </si>
  <si>
    <t xml:space="preserve">Количество подъездов</t>
  </si>
  <si>
    <t xml:space="preserve">общая площадь МКД, всего</t>
  </si>
  <si>
    <t xml:space="preserve">Площадь помещений МКД:</t>
  </si>
  <si>
    <t xml:space="preserve">Количество жителей, зарегистрированных в МКД на дату утверждения краткосрочного плана</t>
  </si>
  <si>
    <t xml:space="preserve">Стоимость капитального ремонта</t>
  </si>
  <si>
    <t xml:space="preserve">Удельная стоимость капитального ремонта 1 кв. м общей площади помещений МКД</t>
  </si>
  <si>
    <t xml:space="preserve">Предельная стоимость капитального ремонта 1 кв. м общей площади помещений МКД</t>
  </si>
  <si>
    <t xml:space="preserve">Плановая дата завершения работ</t>
  </si>
  <si>
    <t xml:space="preserve">ввода в эксплуатацию</t>
  </si>
  <si>
    <t xml:space="preserve">завершение последнего капитального ремонта</t>
  </si>
  <si>
    <t>всего:</t>
  </si>
  <si>
    <t xml:space="preserve">в том числе жилых помещений, находящихся в собственности граждан</t>
  </si>
  <si>
    <t xml:space="preserve">в том числе:</t>
  </si>
  <si>
    <t xml:space="preserve">за счет средств бюджета Российской Федерации</t>
  </si>
  <si>
    <t xml:space="preserve">за счет средств бюджета субъекта Российской Федерации</t>
  </si>
  <si>
    <t xml:space="preserve">за счет средств местного бюджета</t>
  </si>
  <si>
    <t xml:space="preserve">за счет средств собственников помещений в МКД</t>
  </si>
  <si>
    <t xml:space="preserve">за счет взносов собственников помещений в МКД, уплачиваемых исходя из установленного минимального размера взноса</t>
  </si>
  <si>
    <t xml:space="preserve">за счет взносов собственников помещений в МКД, уплачиваемых в  размере, превышающем установленный  минимальный размер взноса</t>
  </si>
  <si>
    <t>кв.м</t>
  </si>
  <si>
    <t>чел.</t>
  </si>
  <si>
    <t>руб.</t>
  </si>
  <si>
    <t>руб./кв.м</t>
  </si>
  <si>
    <t xml:space="preserve">2026 год</t>
  </si>
  <si>
    <t xml:space="preserve">Итого по Забайкальскому краю:</t>
  </si>
  <si>
    <t>Х</t>
  </si>
  <si>
    <t>X</t>
  </si>
  <si>
    <t xml:space="preserve">Итого по городскому округу "Город Чита":</t>
  </si>
  <si>
    <t xml:space="preserve">г. Чита, б-р Украинский, д. 1</t>
  </si>
  <si>
    <t xml:space="preserve">общий счет регионального оператора</t>
  </si>
  <si>
    <t xml:space="preserve">Каменные, кирпичные</t>
  </si>
  <si>
    <t>12.2026</t>
  </si>
  <si>
    <t xml:space="preserve">г. Чита, б-р Украинский, д. 10</t>
  </si>
  <si>
    <t>2019</t>
  </si>
  <si>
    <t>Панельные</t>
  </si>
  <si>
    <t xml:space="preserve">г. Чита, б-р. Украинский, д. 14</t>
  </si>
  <si>
    <t>2023</t>
  </si>
  <si>
    <t xml:space="preserve">г. Чита, б-р Украинский, д. 18</t>
  </si>
  <si>
    <t xml:space="preserve">г. Чита, б-р Украинский, д. 22</t>
  </si>
  <si>
    <t xml:space="preserve">г. Чита, б-р Украинский, д. 24</t>
  </si>
  <si>
    <t xml:space="preserve">г. Чита, б-р Украинский, д. 28</t>
  </si>
  <si>
    <t xml:space="preserve">г. Чита, б-р Украинский, д. 3</t>
  </si>
  <si>
    <t xml:space="preserve">г. Чита, б-р. Украинский, д. 7</t>
  </si>
  <si>
    <t>2024</t>
  </si>
  <si>
    <t xml:space="preserve">г. Чита, б-р Украинский, д. 8</t>
  </si>
  <si>
    <t xml:space="preserve">г. Чита, мкр. 1-й, д. 28</t>
  </si>
  <si>
    <t>2021</t>
  </si>
  <si>
    <t xml:space="preserve">г. Чита, мкр. 1-й, д. 6</t>
  </si>
  <si>
    <t xml:space="preserve">г. Чита, мкр. 4-й, д. 14</t>
  </si>
  <si>
    <t>2020</t>
  </si>
  <si>
    <t xml:space="preserve">г. Чита, мкр. 4-й, д. 9</t>
  </si>
  <si>
    <t xml:space="preserve">г. Чита, мкр. 5-й, д. 29</t>
  </si>
  <si>
    <t xml:space="preserve">г. Чита, мкр. 6-й, д. 15</t>
  </si>
  <si>
    <t xml:space="preserve">г. Чита, мкр. Агрогородок Опытный, д. 3</t>
  </si>
  <si>
    <t xml:space="preserve">г. Чита, мкр. Батарейный, д. 11</t>
  </si>
  <si>
    <t xml:space="preserve">г. Чита, мкр. Батарейный, д. 4</t>
  </si>
  <si>
    <t>2022</t>
  </si>
  <si>
    <t xml:space="preserve">г. Чита, мкр. Батарейный, д. 5</t>
  </si>
  <si>
    <t xml:space="preserve">г. Чита, мкр. Батарейный, д. 7</t>
  </si>
  <si>
    <t xml:space="preserve">г. Чита, мкр. Гвардейский, д. 12</t>
  </si>
  <si>
    <t xml:space="preserve">г. Чита, мкр. Гвардейский, д. 7</t>
  </si>
  <si>
    <t xml:space="preserve">г. Чита, мкр. Геофизический, д. 5</t>
  </si>
  <si>
    <t xml:space="preserve">г. Чита, мкр. Геофизический, д. 7</t>
  </si>
  <si>
    <t xml:space="preserve">Кирпичные, каменные</t>
  </si>
  <si>
    <t xml:space="preserve">г. Чита, мкр. Геофизический, д. 8</t>
  </si>
  <si>
    <t>1987</t>
  </si>
  <si>
    <t xml:space="preserve">г. Чита, мкр. Осетровка, д. 12</t>
  </si>
  <si>
    <t xml:space="preserve">г. Чита, мкр. Осетровка, д. 19</t>
  </si>
  <si>
    <t xml:space="preserve">г. Чита, мкр. Северный, д. 13</t>
  </si>
  <si>
    <t>1977</t>
  </si>
  <si>
    <t xml:space="preserve">г. Чита, мкр. Северный, д. 40</t>
  </si>
  <si>
    <t xml:space="preserve">специальный счет регионального оператора</t>
  </si>
  <si>
    <t>1985</t>
  </si>
  <si>
    <t xml:space="preserve">г. Чита, мкр. Северный, д. 60</t>
  </si>
  <si>
    <t>1994</t>
  </si>
  <si>
    <t xml:space="preserve">г. Чита, мкр. Северный, д. 61</t>
  </si>
  <si>
    <t xml:space="preserve">специальный счет управляющей организации</t>
  </si>
  <si>
    <t>1991</t>
  </si>
  <si>
    <t xml:space="preserve">г. Чита, мкр. ТУСМ-4, д. 1</t>
  </si>
  <si>
    <t>1963</t>
  </si>
  <si>
    <t xml:space="preserve">г. Чита, п. Ясный, д. 1</t>
  </si>
  <si>
    <t xml:space="preserve">г. Чита, п. Ясный, д. 17</t>
  </si>
  <si>
    <t xml:space="preserve">г. Чита, п. Ясный, д. 3</t>
  </si>
  <si>
    <t xml:space="preserve">г. Чита, п. Ясный, д. 4</t>
  </si>
  <si>
    <t xml:space="preserve">г. Чита, п. Ясный, д. 5</t>
  </si>
  <si>
    <t xml:space="preserve">г. Чита, п. Ясный, д. 6</t>
  </si>
  <si>
    <t xml:space="preserve">г. Чита, п. Ясный, д. 7</t>
  </si>
  <si>
    <t xml:space="preserve">г. Чита, п. Ясный, д. 8</t>
  </si>
  <si>
    <t xml:space="preserve">г. Чита, п. Ясный, д. 9</t>
  </si>
  <si>
    <t xml:space="preserve">г. Чита, пер. Железобетонный, д. 14</t>
  </si>
  <si>
    <t>1989</t>
  </si>
  <si>
    <t xml:space="preserve">г. Чита, пер. Парковый, д. 18</t>
  </si>
  <si>
    <t>1974</t>
  </si>
  <si>
    <t xml:space="preserve">г. Чита, пер. Промышленный, д. 5</t>
  </si>
  <si>
    <t xml:space="preserve">г. Чита, пр-кт. Советов, д. 5</t>
  </si>
  <si>
    <t>1986</t>
  </si>
  <si>
    <t xml:space="preserve">г. Чита, пр-кт. Фадеева, д. 24</t>
  </si>
  <si>
    <t xml:space="preserve">г. Чита, проезд Александра Булгакова, д. 50</t>
  </si>
  <si>
    <t xml:space="preserve">г. Чита, тр-кт. Молоковский, д. 114</t>
  </si>
  <si>
    <t xml:space="preserve">г. Чита, ул. 1-я Московская, д. 56</t>
  </si>
  <si>
    <t>1976</t>
  </si>
  <si>
    <t xml:space="preserve">г. Чита, ул. 2-я Коммунальная, д. 39</t>
  </si>
  <si>
    <t xml:space="preserve">г. Чита, ул. 2-я Коммунальная, д. 45</t>
  </si>
  <si>
    <t xml:space="preserve">г. Чита, ул. 2-я Малая, д. 10</t>
  </si>
  <si>
    <t xml:space="preserve">г. Чита, ул. 5-я Малая, д. 1а</t>
  </si>
  <si>
    <t xml:space="preserve">г. Чита, ул. 5-я Малая, д. 1б</t>
  </si>
  <si>
    <t xml:space="preserve">г. Чита, ул. 9 Января, д. 55</t>
  </si>
  <si>
    <t xml:space="preserve">г. Чита, ул. 40 лет Октября, д. 13</t>
  </si>
  <si>
    <t xml:space="preserve">г. Чита, ул. Автогенная, д. 19</t>
  </si>
  <si>
    <t xml:space="preserve">г. Чита, ул. Автогенная, д. 5</t>
  </si>
  <si>
    <t xml:space="preserve">г. Чита, ул. Автозаводская, д. 7</t>
  </si>
  <si>
    <t xml:space="preserve">г. Чита, ул. Александро-Заводская, д. 13</t>
  </si>
  <si>
    <t>1961</t>
  </si>
  <si>
    <t xml:space="preserve">г. Чита, ул. Амурская, д. 48</t>
  </si>
  <si>
    <t xml:space="preserve">г. Чита, ул. Амурская, д. 82</t>
  </si>
  <si>
    <t>1940</t>
  </si>
  <si>
    <t>2016</t>
  </si>
  <si>
    <t xml:space="preserve">г. Чита, ул. Анохина, д. 3</t>
  </si>
  <si>
    <t>1971</t>
  </si>
  <si>
    <t xml:space="preserve">г. Чита, ул. Анохина, д. 43</t>
  </si>
  <si>
    <t xml:space="preserve">г. Чита, ул. Анохина, д. 96</t>
  </si>
  <si>
    <t>1972</t>
  </si>
  <si>
    <t xml:space="preserve">г. Чита, ул. Бабушкина, д. 11</t>
  </si>
  <si>
    <t>1978</t>
  </si>
  <si>
    <t xml:space="preserve">г. Чита, ул. Бабушкина, д. 30</t>
  </si>
  <si>
    <t xml:space="preserve">г. Чита, ул. Бабушкина, д. 32</t>
  </si>
  <si>
    <t>2018</t>
  </si>
  <si>
    <t xml:space="preserve">г. Чита, ул. Бабушкина, д. 34</t>
  </si>
  <si>
    <t xml:space="preserve">г. Чита, ул. Бабушкина, д. 36</t>
  </si>
  <si>
    <t xml:space="preserve">г. Чита, ул. Бабушкина, д. 5</t>
  </si>
  <si>
    <t xml:space="preserve">г. Чита, ул. Байкальская, д. 15</t>
  </si>
  <si>
    <t>1983</t>
  </si>
  <si>
    <t xml:space="preserve">г. Чита, ул. Балябина, д. 45</t>
  </si>
  <si>
    <t>1967</t>
  </si>
  <si>
    <t xml:space="preserve">г. Чита, ул. Баргузинская, д. 12</t>
  </si>
  <si>
    <t xml:space="preserve">г. Чита, ул. Бекетова, д. 38</t>
  </si>
  <si>
    <t xml:space="preserve">г. Чита, ул. Бекетова, д. 46</t>
  </si>
  <si>
    <t xml:space="preserve">г. Чита, ул. Белорусская, д. 11а</t>
  </si>
  <si>
    <t>1966</t>
  </si>
  <si>
    <t xml:space="preserve">г. Чита, ул. Белорусская, д. 48</t>
  </si>
  <si>
    <t>1979</t>
  </si>
  <si>
    <t>2025</t>
  </si>
  <si>
    <t xml:space="preserve">г. Чита, ул. Богдана Хмельницкого, д. 24, корп. 3</t>
  </si>
  <si>
    <t xml:space="preserve">г. Чита, ул. Боровая, д. 4</t>
  </si>
  <si>
    <t>1984</t>
  </si>
  <si>
    <t xml:space="preserve">г. Чита, ул. Бутина, д. 101</t>
  </si>
  <si>
    <t>2015</t>
  </si>
  <si>
    <t xml:space="preserve">г. Чита, ул. Бутина, д. 73</t>
  </si>
  <si>
    <t xml:space="preserve">г. Чита, ул. Бутина, д. 82</t>
  </si>
  <si>
    <t>1962</t>
  </si>
  <si>
    <t xml:space="preserve">г. Чита, ул. Весенняя, д. 4</t>
  </si>
  <si>
    <t xml:space="preserve">г. Чита, ул. Весенняя, д. 40</t>
  </si>
  <si>
    <t xml:space="preserve">г. Чита, ул. Весенняя, д. 8</t>
  </si>
  <si>
    <t xml:space="preserve">г. Чита, ул. Гагарина, д. 17</t>
  </si>
  <si>
    <t>1969</t>
  </si>
  <si>
    <t xml:space="preserve">г. Чита, ул. Гагарина, д. 5</t>
  </si>
  <si>
    <t>1970</t>
  </si>
  <si>
    <t xml:space="preserve">г. Чита, ул. Гагарина, д. 8</t>
  </si>
  <si>
    <t xml:space="preserve">г. Чита, ул. Гагарина, д. 9</t>
  </si>
  <si>
    <t>1968</t>
  </si>
  <si>
    <t xml:space="preserve">г. Чита, ул. Горького, д. 38</t>
  </si>
  <si>
    <t xml:space="preserve">г. Чита, ул. Дивизионная, д. 4</t>
  </si>
  <si>
    <t>1995</t>
  </si>
  <si>
    <t xml:space="preserve">г. Чита, ул. Дивизионная, д. 8а</t>
  </si>
  <si>
    <t xml:space="preserve">г. Чита, ул. Евгения Гаюсана, д. 28</t>
  </si>
  <si>
    <t xml:space="preserve">г. Чита, ул. Евгения Гаюсана, д. 30</t>
  </si>
  <si>
    <t xml:space="preserve">г. Чита, ул. Железобетонная, д. 16</t>
  </si>
  <si>
    <t xml:space="preserve">г. Чита, ул. Железобетонная, д. 22</t>
  </si>
  <si>
    <t>1993</t>
  </si>
  <si>
    <t xml:space="preserve">г. Чита, ул. Журавлева, д. 112</t>
  </si>
  <si>
    <t xml:space="preserve">г. Чита, ул. Забайкальская, д. 10</t>
  </si>
  <si>
    <t xml:space="preserve">г. Чита, ул. Забайкальская, д. 5</t>
  </si>
  <si>
    <t xml:space="preserve">г. Чита, ул. Забайкальского Рабочего, д. 34</t>
  </si>
  <si>
    <t xml:space="preserve">г. Чита, ул. Забайкальского Рабочего, д. 38</t>
  </si>
  <si>
    <t xml:space="preserve">г. Чита, ул. Забайкальского Рабочего, д. 4</t>
  </si>
  <si>
    <t xml:space="preserve">г. Чита, ул. Кайдаловская, д. 10</t>
  </si>
  <si>
    <t xml:space="preserve">г. Чита, ул. Кайдаловская, д. 19</t>
  </si>
  <si>
    <t xml:space="preserve">г. Чита, ул. Калангуйская, д. 38а</t>
  </si>
  <si>
    <t xml:space="preserve">г. Чита, ул. Каларская, д. 4</t>
  </si>
  <si>
    <t xml:space="preserve">г. Чита, ул. Карла Маркса, д. 14</t>
  </si>
  <si>
    <t xml:space="preserve">г. Чита, ул. Кирова, д. 2а</t>
  </si>
  <si>
    <t>1960</t>
  </si>
  <si>
    <t xml:space="preserve">г. Чита, ул. Кирова, д. 4а</t>
  </si>
  <si>
    <t xml:space="preserve">г. Чита, ул. Ковыльная, д. 22</t>
  </si>
  <si>
    <t xml:space="preserve">г. Чита, ул. Космонавтов, д. 12</t>
  </si>
  <si>
    <t xml:space="preserve">г. Чита, ул. Космонавтов, д. 6</t>
  </si>
  <si>
    <t>1965</t>
  </si>
  <si>
    <t xml:space="preserve">г. Чита, ул. Красноармейская, д. 68</t>
  </si>
  <si>
    <t xml:space="preserve">г. Чита, ул. Красного Восстания, д. 17</t>
  </si>
  <si>
    <t>1999</t>
  </si>
  <si>
    <t xml:space="preserve">г. Чита, ул. Красного Восстания, д. 18</t>
  </si>
  <si>
    <t>1980</t>
  </si>
  <si>
    <t xml:space="preserve">г. Чита, ул. Красной Звезды, д. 12</t>
  </si>
  <si>
    <t xml:space="preserve">г. Чита, ул. Красноярская, д. 11</t>
  </si>
  <si>
    <t xml:space="preserve">г. Чита, ул. Красноярская, д. 24</t>
  </si>
  <si>
    <t xml:space="preserve">г. Чита, ул. Красноярская, д. 32</t>
  </si>
  <si>
    <t xml:space="preserve">г. Чита, ул. Крымская, д. 21</t>
  </si>
  <si>
    <t xml:space="preserve">г. Чита, ул. Курнатовского, д. 76</t>
  </si>
  <si>
    <t xml:space="preserve">г. Чита, ул. Лазо, д. 36</t>
  </si>
  <si>
    <t>1981</t>
  </si>
  <si>
    <t xml:space="preserve">г. Чита, ул. Ленина, д. 54</t>
  </si>
  <si>
    <t>1948</t>
  </si>
  <si>
    <t xml:space="preserve">г. Чита, ул. Ленина, д. 56</t>
  </si>
  <si>
    <t>1945</t>
  </si>
  <si>
    <t xml:space="preserve">г. Чита, ул. Ленина, д. 58</t>
  </si>
  <si>
    <t>1957</t>
  </si>
  <si>
    <t xml:space="preserve">г. Чита, ул. Ленина, д. 97</t>
  </si>
  <si>
    <t>1950</t>
  </si>
  <si>
    <t xml:space="preserve">г. Чита, ул. Ленинградская, д. 27</t>
  </si>
  <si>
    <t xml:space="preserve">г. Чита, ул. Ленинградская, д. 47а</t>
  </si>
  <si>
    <t xml:space="preserve">г. Чита, ул. Ленинградская, д. 77б</t>
  </si>
  <si>
    <t>1959</t>
  </si>
  <si>
    <t xml:space="preserve">г. Чита, ул. Ленинградская, д. 78</t>
  </si>
  <si>
    <t>1956</t>
  </si>
  <si>
    <t>2017</t>
  </si>
  <si>
    <t xml:space="preserve">г. Чита, ул. Ленинградская, д. 80</t>
  </si>
  <si>
    <t>1958</t>
  </si>
  <si>
    <t xml:space="preserve">г. Чита, ул. Лермонтова, д. 14</t>
  </si>
  <si>
    <t xml:space="preserve">г. Чита, ул. Лермонтова, д. 15</t>
  </si>
  <si>
    <t xml:space="preserve">г. Чита, ул. Лермонтова, д. 9</t>
  </si>
  <si>
    <t xml:space="preserve">г. Чита, ул. Ломоносова, д. 42</t>
  </si>
  <si>
    <t xml:space="preserve">г. Чита, ул. Магистральная, д. 13</t>
  </si>
  <si>
    <t xml:space="preserve">г. Чита, ул. Майская, д. 24</t>
  </si>
  <si>
    <t xml:space="preserve">г. Чита, ул. Малая, д. 2б</t>
  </si>
  <si>
    <t xml:space="preserve">г. Чита, ул. Набережная, д. 46</t>
  </si>
  <si>
    <t xml:space="preserve">г. Чита, ул. Набережная, д. 64</t>
  </si>
  <si>
    <t xml:space="preserve">г. Чита, ул. Набережная, д. 66</t>
  </si>
  <si>
    <t xml:space="preserve">г. Чита, ул. Нагорная, д. 19</t>
  </si>
  <si>
    <t xml:space="preserve">Брусовые, деревянные</t>
  </si>
  <si>
    <t xml:space="preserve">г. Чита, ул. Нагорная, д. 26</t>
  </si>
  <si>
    <t>2004</t>
  </si>
  <si>
    <t xml:space="preserve">г. Чита, ул. Назара Губина, д. 33</t>
  </si>
  <si>
    <t xml:space="preserve">г. Чита, ул. Недорезова, д. 28</t>
  </si>
  <si>
    <t xml:space="preserve">г. Чита, ул. Нечаева, д. 58</t>
  </si>
  <si>
    <t xml:space="preserve">г. Чита, ул. Николая Островского, д. 28</t>
  </si>
  <si>
    <t xml:space="preserve">г. Чита, ул. Новобульварная, д. 129</t>
  </si>
  <si>
    <t xml:space="preserve">г. Чита, ул. Новобульварная, д. 42 </t>
  </si>
  <si>
    <t xml:space="preserve">г. Чита, ул. Новобульварная, д. 42а</t>
  </si>
  <si>
    <t xml:space="preserve">г. Чита, ул. Новобульварная, д. 42б</t>
  </si>
  <si>
    <t xml:space="preserve">г. Чита, ул. Новобульварная, д. 42в</t>
  </si>
  <si>
    <t xml:space="preserve">г. Чита, ул. Новобульварная, д. 90</t>
  </si>
  <si>
    <t xml:space="preserve">г. Чита, ул. Онискевича, д. 14</t>
  </si>
  <si>
    <t xml:space="preserve">г. Чита, ул. Офицерская, д. 22</t>
  </si>
  <si>
    <t xml:space="preserve">г. Чита, ул. Петровско-Заводская, д. 31</t>
  </si>
  <si>
    <t xml:space="preserve">г. Чита, ул. Петровско-Заводская, д. 52</t>
  </si>
  <si>
    <t xml:space="preserve">г. Чита, ул. Печорская, д. 1</t>
  </si>
  <si>
    <t xml:space="preserve">г. Чита, ул. Подгорбунского, д. 1</t>
  </si>
  <si>
    <t xml:space="preserve">г. Чита, ул. Подгорбунского, д. 41в</t>
  </si>
  <si>
    <t xml:space="preserve">г. Чита, ул. Подгорбунского, д. 84</t>
  </si>
  <si>
    <t xml:space="preserve">г. Чита, ул. Подгорбунского, д. 9</t>
  </si>
  <si>
    <t>1997</t>
  </si>
  <si>
    <t xml:space="preserve">г. Чита, ул. Ползунова, д. 26</t>
  </si>
  <si>
    <t>1973</t>
  </si>
  <si>
    <t xml:space="preserve">г. Чита, ул. Полины Осипенко, д. 38</t>
  </si>
  <si>
    <t xml:space="preserve">г. Чита, ул. Прибрежная, д. 4</t>
  </si>
  <si>
    <t xml:space="preserve"> 2005</t>
  </si>
  <si>
    <t xml:space="preserve">г. Чита, ул. Пригородная, д. 1б</t>
  </si>
  <si>
    <t xml:space="preserve">г. Чита, ул. Промышленная, д. 56</t>
  </si>
  <si>
    <t xml:space="preserve">г. Чита, ул. Пушкина, д. 7</t>
  </si>
  <si>
    <t xml:space="preserve">г. Чита, ул. Селенгинская, д. 13</t>
  </si>
  <si>
    <t xml:space="preserve">г. Чита, ул. Селенгинская, д. 17</t>
  </si>
  <si>
    <t xml:space="preserve">г. Чита, ул. Серова, д. 1</t>
  </si>
  <si>
    <t xml:space="preserve">г. Чита, ул. Силикатная, д. 11</t>
  </si>
  <si>
    <t xml:space="preserve">г. Чита, ул. Смоленская, д. 47</t>
  </si>
  <si>
    <t xml:space="preserve">г. Чита, ул. Советская, д. 25</t>
  </si>
  <si>
    <t xml:space="preserve">г. Чита, ул. Столярова, д. 19</t>
  </si>
  <si>
    <t xml:space="preserve">г. Чита, ул. Столярова, д. 42</t>
  </si>
  <si>
    <t xml:space="preserve">г. Чита, ул. Столярова, д. 65</t>
  </si>
  <si>
    <t xml:space="preserve">г. Чита, ул. Строителей, д. 86</t>
  </si>
  <si>
    <t xml:space="preserve">г. Чита, ул. Строителей, д. 92</t>
  </si>
  <si>
    <t xml:space="preserve">г. Чита, ул. Таежная, д. 20</t>
  </si>
  <si>
    <t xml:space="preserve">г. Чита, ул. Текстильщиков, д. 12</t>
  </si>
  <si>
    <t>1992</t>
  </si>
  <si>
    <t xml:space="preserve">г. Чита, ул. Токмакова, д. 18</t>
  </si>
  <si>
    <t xml:space="preserve">г. Чита, ул. Токмакова, д. 20</t>
  </si>
  <si>
    <t xml:space="preserve">г. Чита, ул. Токмакова, д. 23а</t>
  </si>
  <si>
    <t xml:space="preserve">г. Чита, ул. Токмакова, д. 27а</t>
  </si>
  <si>
    <t xml:space="preserve">г. Чита, ул. Токмакова, д. 31</t>
  </si>
  <si>
    <t xml:space="preserve">г. Чита, ул. Угданская, д. 10</t>
  </si>
  <si>
    <t xml:space="preserve">г. Чита, ул. Угданская, д. 29</t>
  </si>
  <si>
    <t xml:space="preserve">г. Чита, ул. Хабаровская, д. 25</t>
  </si>
  <si>
    <t xml:space="preserve">г. Чита, ул. Центральная, д. 16</t>
  </si>
  <si>
    <t xml:space="preserve">г. Чита, ул. Чкалова, д. 6</t>
  </si>
  <si>
    <t xml:space="preserve">г. Чита, ул. Шилова, д. 29</t>
  </si>
  <si>
    <t xml:space="preserve">г. Чита, ул. Шилова, д. 85</t>
  </si>
  <si>
    <t xml:space="preserve">г. Чита, ул. Шилова, д. 87</t>
  </si>
  <si>
    <t xml:space="preserve">г. Чита, ул. Юности, д. 23</t>
  </si>
  <si>
    <t xml:space="preserve">г. Чита, ул. Юности, д. 25</t>
  </si>
  <si>
    <t xml:space="preserve">г. Чита, ул. Юности, д. 8</t>
  </si>
  <si>
    <t xml:space="preserve">Итого по городскому округу "Посёлок Агинское":</t>
  </si>
  <si>
    <t xml:space="preserve">пгт. Агинское, ул. Клименко, д. 11</t>
  </si>
  <si>
    <t xml:space="preserve">пгт. Агинское, ул. Клименко, д. 16</t>
  </si>
  <si>
    <t xml:space="preserve">пгт. Агинское, ул. Ленина, д. 122</t>
  </si>
  <si>
    <t xml:space="preserve">пгт. Агинское, ул. Ленина, д. 42</t>
  </si>
  <si>
    <t xml:space="preserve">Итого по Агинскому муниципальному округу:</t>
  </si>
  <si>
    <t xml:space="preserve">пгт. Новоорловск, д. 1</t>
  </si>
  <si>
    <t xml:space="preserve">пгт. Новоорловск, д. 2</t>
  </si>
  <si>
    <t xml:space="preserve">пгт. Новоорловск, д. 21</t>
  </si>
  <si>
    <t xml:space="preserve">пгт. Новоорловск, д. 22</t>
  </si>
  <si>
    <t xml:space="preserve">пгт. Новоорловск, д. 24</t>
  </si>
  <si>
    <t xml:space="preserve">пгт. Новоорловск, д. 25</t>
  </si>
  <si>
    <t xml:space="preserve">пгт. Новоорловск, д. 6</t>
  </si>
  <si>
    <t xml:space="preserve">пгт. Новоорловск, д. 7</t>
  </si>
  <si>
    <t xml:space="preserve">Итого по Балейскому муниципальному округу:</t>
  </si>
  <si>
    <t xml:space="preserve">г. Балей, ул. Ленина, д. 23</t>
  </si>
  <si>
    <t>Блочные</t>
  </si>
  <si>
    <t xml:space="preserve">г. Балей, ул. Ленина, д. 27</t>
  </si>
  <si>
    <t xml:space="preserve">г. Балей, ул. Ленина, д. 4</t>
  </si>
  <si>
    <t xml:space="preserve">г. Балей, ул. Октябрьская, д. 113</t>
  </si>
  <si>
    <t xml:space="preserve">г. Балей, ул. Октябрьская, д. 98</t>
  </si>
  <si>
    <t xml:space="preserve">Итого по Борзинскому муниципальному округу:</t>
  </si>
  <si>
    <t xml:space="preserve">г. Борзя, мкр. Борзя-2, д. 33</t>
  </si>
  <si>
    <t xml:space="preserve"> г. Борзя, пер. Переездный, д. 2</t>
  </si>
  <si>
    <t xml:space="preserve">г. Борзя, ул. Богдана Хмельницкого, д. 2</t>
  </si>
  <si>
    <t xml:space="preserve">г. Борзя, ул. Гурьева 79 квартал, д. 1</t>
  </si>
  <si>
    <t xml:space="preserve">г. Борзя, ул. Гурьева 79 квартал, д. 14</t>
  </si>
  <si>
    <t xml:space="preserve">г. Борзя, ул. Гурьева 80 квартал, д. 13</t>
  </si>
  <si>
    <t xml:space="preserve">г. Борзя, ул. Карла Маркса, д. 96</t>
  </si>
  <si>
    <t xml:space="preserve">г. Борзя, ул. Лазо, д. 63</t>
  </si>
  <si>
    <t xml:space="preserve">г. Борзя, ул. Ленина, д. 1</t>
  </si>
  <si>
    <t xml:space="preserve">г. Борзя, ул. Ленина, д. 2</t>
  </si>
  <si>
    <t xml:space="preserve">г. Борзя, ул. Ленина, д. 24</t>
  </si>
  <si>
    <t xml:space="preserve">г. Борзя, ул. Ломоносова, д. 2</t>
  </si>
  <si>
    <t xml:space="preserve">г. Борзя, ул. Матросова, д. 18</t>
  </si>
  <si>
    <t xml:space="preserve">г. Борзя, ул. Матросова, д. 24а</t>
  </si>
  <si>
    <t xml:space="preserve">г. Борзя, ул. Савватеевская, д. 15</t>
  </si>
  <si>
    <t xml:space="preserve">г. Борзя, ул. Савватеевская, д. 80</t>
  </si>
  <si>
    <t xml:space="preserve">г. Борзя, ул. Смирнова, д. 51</t>
  </si>
  <si>
    <t xml:space="preserve">г. Борзя, ул. Промышленная, д. 39</t>
  </si>
  <si>
    <t xml:space="preserve">г. Борзя, ул. Чайковского, д. 3</t>
  </si>
  <si>
    <t xml:space="preserve">г. Борзя, ул. Чайковского, д. 5</t>
  </si>
  <si>
    <t xml:space="preserve">пгт Шерловая Гора, мкр. 2-й, д. 11</t>
  </si>
  <si>
    <t xml:space="preserve">пгт. Шерловая гора, ул. Торговая, д. 26</t>
  </si>
  <si>
    <t xml:space="preserve">пгт. Шерловая Гора, ул. Шахтерская, д. 3</t>
  </si>
  <si>
    <t xml:space="preserve">Итого по Газимуро-Заводскому муниципальному округу:</t>
  </si>
  <si>
    <t xml:space="preserve">нп. Рудник Солонечный, ул. Мира, д. 34</t>
  </si>
  <si>
    <t xml:space="preserve">Итого по Забайкальскому муниципальному округу:</t>
  </si>
  <si>
    <t xml:space="preserve">пгт. Забайкальск, ул. Комсомольская, д. 1</t>
  </si>
  <si>
    <t>2022(ЧС)</t>
  </si>
  <si>
    <t xml:space="preserve">пгт. Забайкальск, ул. Комсомольская, д. 21</t>
  </si>
  <si>
    <t xml:space="preserve">пгт. Забайкальск, ул. Комсомольская, д. 3</t>
  </si>
  <si>
    <t xml:space="preserve">пгт. Забайкальск, ул. Комсомольская, д. 36</t>
  </si>
  <si>
    <t xml:space="preserve">пгт. Забайкальск, ул. Нагорная, д. 7</t>
  </si>
  <si>
    <t xml:space="preserve">пгт. Забайкальск, ул. Пограничная, д. 24а</t>
  </si>
  <si>
    <t xml:space="preserve">пгт. Забайкальск, ул. Пограничная, д. 36а</t>
  </si>
  <si>
    <t xml:space="preserve">Итого по Каларскому муниципальному округу:</t>
  </si>
  <si>
    <t xml:space="preserve">пгт. Новая Чара, ул. Магистральная, д. 28</t>
  </si>
  <si>
    <t xml:space="preserve">п/ст Куанда, ул. Энтузиастов, д. 10</t>
  </si>
  <si>
    <t xml:space="preserve">Итого по Карымскому муниципальному округу:</t>
  </si>
  <si>
    <t xml:space="preserve">пгт. Дарасун, ул. Калинина, д. 12</t>
  </si>
  <si>
    <t xml:space="preserve">пгт. Дарасун, ул. Калинина, д. 14</t>
  </si>
  <si>
    <t>1964</t>
  </si>
  <si>
    <t xml:space="preserve">пгт. Дарасун, ул. Калинина, д. 8</t>
  </si>
  <si>
    <t xml:space="preserve"> пгт. Дарасун, ул. Сосновая, д. 1</t>
  </si>
  <si>
    <t xml:space="preserve">пгт. Дарасун, ул. Сосняк, д. 1</t>
  </si>
  <si>
    <t>1990</t>
  </si>
  <si>
    <t xml:space="preserve">пгт. Карымское, пер. Дивизионный, д. 2</t>
  </si>
  <si>
    <t xml:space="preserve">пгт. Карымское, ул. Братьев Васильевых, д. 17</t>
  </si>
  <si>
    <t xml:space="preserve">пгт. Карымское, ул. Братьев Васильевых, д. 21</t>
  </si>
  <si>
    <t xml:space="preserve">пгт. Карымское, ул. Ленинградская, д. 14</t>
  </si>
  <si>
    <t xml:space="preserve">пгт. Карымское, ул. Ленинградская, д. 15</t>
  </si>
  <si>
    <t xml:space="preserve">пгт. Карымское, ул. Ленинградская, д. 16</t>
  </si>
  <si>
    <t xml:space="preserve">пгт. Карымское, ул. Ленинградская, д. 24</t>
  </si>
  <si>
    <t>1988</t>
  </si>
  <si>
    <t xml:space="preserve">пгт. Карымское, ул. Ленинградская, д. 32</t>
  </si>
  <si>
    <t xml:space="preserve">пгт. Карымское, ул. Ленинградская, д. 52</t>
  </si>
  <si>
    <t xml:space="preserve">пгт. Курорт-Дарасун, ул. Верхняя, д. 14</t>
  </si>
  <si>
    <t xml:space="preserve">Итого по Краснокаменскому муниципальному округу:</t>
  </si>
  <si>
    <t xml:space="preserve">г. Краснокаменск, мкр. 1-й, д. 116</t>
  </si>
  <si>
    <t xml:space="preserve">Панельные </t>
  </si>
  <si>
    <t xml:space="preserve">г. Краснокаменск, мкр. 2-й, д. 203</t>
  </si>
  <si>
    <t xml:space="preserve">г. Краснокаменск, мкр. 2-й, д. 205</t>
  </si>
  <si>
    <t xml:space="preserve">г. Краснокаменск, мкр. 2-й, д. 206</t>
  </si>
  <si>
    <t xml:space="preserve">г. Краснокаменск, мкр. 2-й, д. 239</t>
  </si>
  <si>
    <t xml:space="preserve">г. Краснокаменск, мкр. 3-й, д. 307</t>
  </si>
  <si>
    <t xml:space="preserve">г. Краснокаменск, мкр. 3-й, д. 308</t>
  </si>
  <si>
    <t xml:space="preserve">г. Краснокаменск, мкр. 3-й, д. 309</t>
  </si>
  <si>
    <t xml:space="preserve">г. Краснокаменск, мкр. 4-й,  д. 404</t>
  </si>
  <si>
    <t xml:space="preserve">г. Краснокаменск, мкр. 4-й, д. 439</t>
  </si>
  <si>
    <t xml:space="preserve">г. Краснокаменск, пр-кт Строителей, д. 5, корп.2</t>
  </si>
  <si>
    <t xml:space="preserve">п. Целинный, ул. Железнодорожная, д. 4</t>
  </si>
  <si>
    <t xml:space="preserve">п. Целинный, ул. Железнодорожная, д. 6</t>
  </si>
  <si>
    <t xml:space="preserve">с. Маргуцек, ул. Губина, д. 48</t>
  </si>
  <si>
    <t xml:space="preserve">с. Маргуцек, ул. Губина, д. 52</t>
  </si>
  <si>
    <t xml:space="preserve">с. Маргуцек, ул. Губина, д. 54</t>
  </si>
  <si>
    <t xml:space="preserve">Итого по Красночикойскому муниципальному округу:</t>
  </si>
  <si>
    <t xml:space="preserve">с. Красный Чикой, ул. Первомайская, д. 86а</t>
  </si>
  <si>
    <t xml:space="preserve">с. Красный Чикой, ул. Первомайская, д. 86б</t>
  </si>
  <si>
    <t xml:space="preserve">Итого по Кыринскому муниципальному округу:</t>
  </si>
  <si>
    <t xml:space="preserve">с. Кыра, мкр. Северный, д. 5</t>
  </si>
  <si>
    <t xml:space="preserve"> с. Кыра, ул. Пионерская, д. 32</t>
  </si>
  <si>
    <t xml:space="preserve">Итого по Могойтуйскому муниципальному округу:</t>
  </si>
  <si>
    <t xml:space="preserve">с. Бильчиртуй, ул. ДОС, д. 175</t>
  </si>
  <si>
    <t xml:space="preserve">с. Бильчиртуй, ул. ДОС, д. 198</t>
  </si>
  <si>
    <t xml:space="preserve">с. Бильчиртуй, ул. ДОС, д. 217</t>
  </si>
  <si>
    <t xml:space="preserve">с. Цугол, ул. Школьная, д. 311</t>
  </si>
  <si>
    <t xml:space="preserve">с. Цугол, ул. Школьная, д. 312</t>
  </si>
  <si>
    <t xml:space="preserve">Итого по Могочинскому муниципальному округу:</t>
  </si>
  <si>
    <t xml:space="preserve">г. Могоча, ул. Аникинская, д. 3</t>
  </si>
  <si>
    <t>5</t>
  </si>
  <si>
    <t>4</t>
  </si>
  <si>
    <t xml:space="preserve">г. Могоча, ул. Аникинская, д. 9</t>
  </si>
  <si>
    <t xml:space="preserve">г. Могоча, ул. Березовая, д. 16</t>
  </si>
  <si>
    <t xml:space="preserve">г. Могоча, ул. Высотная, д. 18</t>
  </si>
  <si>
    <t xml:space="preserve">г. Могоча, ул. Интернациональная, д. 28а</t>
  </si>
  <si>
    <t>2</t>
  </si>
  <si>
    <t xml:space="preserve">г. Могоча, ул. Клубная, д. 3</t>
  </si>
  <si>
    <t>6</t>
  </si>
  <si>
    <t xml:space="preserve">г. Могоча, ул. Комсомольская, д. 3</t>
  </si>
  <si>
    <t xml:space="preserve">г. Могоча, ул. Комсомольская, д. 6</t>
  </si>
  <si>
    <t xml:space="preserve">г. Могоча, ул. Комсомольская, д. 7</t>
  </si>
  <si>
    <t xml:space="preserve">г. Могоча, ул. Комсомольская, д. 8</t>
  </si>
  <si>
    <t xml:space="preserve">г. Могоча, ул. Комсомольская, д. 9</t>
  </si>
  <si>
    <t xml:space="preserve">г. Могоча, ул. Садовая, д. 16</t>
  </si>
  <si>
    <t xml:space="preserve">г. Могоча, ул. Садовая д. 4</t>
  </si>
  <si>
    <t xml:space="preserve">Итого по Нерчинскому муниципальному округу:</t>
  </si>
  <si>
    <t xml:space="preserve">г. Нерчинск, ул. Декабристов, д. 7</t>
  </si>
  <si>
    <t xml:space="preserve">г. Нерчинск, ул. Красноармейская, д. 84</t>
  </si>
  <si>
    <t xml:space="preserve">г. Нерчинск, ул. Красноармейская, д. 88</t>
  </si>
  <si>
    <t xml:space="preserve">г. Нерчинск, ул. Первомайская, д. 80</t>
  </si>
  <si>
    <t xml:space="preserve">г. Нерчинск, ул. Первомайская, д. 94</t>
  </si>
  <si>
    <t xml:space="preserve">Итого по Оловяннинскому муниципальному округу:</t>
  </si>
  <si>
    <t xml:space="preserve">пгт. Оловянная, ул. Машиностроительная, д. 4</t>
  </si>
  <si>
    <t xml:space="preserve">пгт. Оловянная, ул. Машиностроительная, д. 6</t>
  </si>
  <si>
    <t xml:space="preserve">пгт. Оловянная, ул. Московская, д. 75</t>
  </si>
  <si>
    <t>Кирпичные</t>
  </si>
  <si>
    <t xml:space="preserve">пгт. Ясногорск, мкр. Луговой, д. 9</t>
  </si>
  <si>
    <t xml:space="preserve">пгт. Ясногорск, мкр. Советский, д. 2</t>
  </si>
  <si>
    <t xml:space="preserve">пгт. Ясногорск, мкр. Советский, д. 3</t>
  </si>
  <si>
    <t xml:space="preserve">пгт. Ясногорск, мкр. Солнечный, д. 1</t>
  </si>
  <si>
    <t xml:space="preserve">пгт. Ясногорск, мкр. Солнечный, д. 9</t>
  </si>
  <si>
    <t xml:space="preserve">пгт. Ясногорск, мкр. Степной, д. 1</t>
  </si>
  <si>
    <t xml:space="preserve">пгт. Ясногорск, ул. Молодежная, д. 4</t>
  </si>
  <si>
    <t xml:space="preserve">пгт. Ясногорск, ул. Молодежная, д. 5</t>
  </si>
  <si>
    <t xml:space="preserve">п/ст. Ясная, ул. Ленина, д. 20</t>
  </si>
  <si>
    <t xml:space="preserve">п/ст. Ясная, ул. Мира, д. 12</t>
  </si>
  <si>
    <t xml:space="preserve">п/ст. Ясная, ул. Мира, д. 16</t>
  </si>
  <si>
    <t xml:space="preserve">Итого по Петровск-Забайкальскому муниципальному округу:</t>
  </si>
  <si>
    <t xml:space="preserve">г. Петровск-Забайкальский, кв-л МЖК, д. 1</t>
  </si>
  <si>
    <t xml:space="preserve">г. Петровск-Забайкальский, мкр. 1-й, д. 15</t>
  </si>
  <si>
    <t xml:space="preserve">г. Петровск-Забайкальский, ул. 50 лет ВЛКСМ, д. 37</t>
  </si>
  <si>
    <t>Шлакоблочные</t>
  </si>
  <si>
    <t xml:space="preserve">г. Петровск-Забайкальский, ул. 50 лет ВЛКСМ, д. 38</t>
  </si>
  <si>
    <t xml:space="preserve">г. Петровск-Забайкальский, ул. Карла Маркса, д. 15а</t>
  </si>
  <si>
    <t xml:space="preserve">г. Петровск-Забайкальский, ул. Карла Маркса, д. 17</t>
  </si>
  <si>
    <t xml:space="preserve">г. Петровск-Забайкальский, ул. Мысовая, д. 60</t>
  </si>
  <si>
    <t>3</t>
  </si>
  <si>
    <t xml:space="preserve">г. Петровск-Забайкальский, ул. Спортивная, д. 13</t>
  </si>
  <si>
    <t xml:space="preserve">г. Петровск-Забайкальский, ул. Театральная, д. 1</t>
  </si>
  <si>
    <t xml:space="preserve">г. Петровск-Забайкальский, ул. Театральная, д. 2</t>
  </si>
  <si>
    <t xml:space="preserve">Итого по Приаргунскому муниципальному округу:</t>
  </si>
  <si>
    <t xml:space="preserve">пгт. Приаргунск, мкр. 2-й, д. 3</t>
  </si>
  <si>
    <t xml:space="preserve">пгт. Приаргунск, мкр. МЖК, д. 1</t>
  </si>
  <si>
    <t xml:space="preserve">пгт. Приаргунск, мкр. МЖК, д. 2</t>
  </si>
  <si>
    <t xml:space="preserve">пгт. Приаргунск, ул. Воинов Интернационалистов, д. 1</t>
  </si>
  <si>
    <t xml:space="preserve">пгт. Приаргунск, ул. Ленина, д. 12</t>
  </si>
  <si>
    <t xml:space="preserve">пгт. Приаргунск, ул. Октябрьская, д. 5</t>
  </si>
  <si>
    <t xml:space="preserve">пгт. Приаргунск, ул. Чернышевского, д. 4а</t>
  </si>
  <si>
    <t xml:space="preserve">п. Досатуй, ул. Привокзальная, д. 2а</t>
  </si>
  <si>
    <t xml:space="preserve">п. Досатуй, ул. Привокзальная, д. 2б</t>
  </si>
  <si>
    <t xml:space="preserve">Итого по муниципальному району "Сретенский район":</t>
  </si>
  <si>
    <t xml:space="preserve">в том числе по городскому поселению "Сретенское":</t>
  </si>
  <si>
    <t xml:space="preserve">г. Сретенск, мкр. Восточный, д. 20</t>
  </si>
  <si>
    <t>198</t>
  </si>
  <si>
    <t xml:space="preserve">в том числе по городскому поселению "Кокуйское":</t>
  </si>
  <si>
    <t xml:space="preserve">пгт. Кокуй, ул. Заводская, д. 25</t>
  </si>
  <si>
    <t xml:space="preserve">пгт. Кокуй, ул. Заводская, д. 27</t>
  </si>
  <si>
    <t xml:space="preserve">в том числе по сельскому поселению "Дунаевское":</t>
  </si>
  <si>
    <t xml:space="preserve">с. Дунаево, ул. Нагорная, д. 8</t>
  </si>
  <si>
    <t xml:space="preserve">с. Дунаево, ул. Нагорная, д. 30</t>
  </si>
  <si>
    <t xml:space="preserve">Итого по Тунгокоченскому муниципальному округу:</t>
  </si>
  <si>
    <t xml:space="preserve">пгт. Вершино-Дарасунский, ул. Лесная, д. 28</t>
  </si>
  <si>
    <t xml:space="preserve">с. Верх-Усугли, ул. Первомайская, д. 11а</t>
  </si>
  <si>
    <t xml:space="preserve">Итого по Улётовскому муниципального округу:</t>
  </si>
  <si>
    <t xml:space="preserve">пгт. Дровяная, мкр. 1-й, д. 1</t>
  </si>
  <si>
    <t xml:space="preserve">с. Улёты, ул. Горького, д. 1</t>
  </si>
  <si>
    <t xml:space="preserve">с. Улёты, ул. Горького, д. 5</t>
  </si>
  <si>
    <t xml:space="preserve">с. Улёты, ул. Дорожная, д. 10</t>
  </si>
  <si>
    <t xml:space="preserve">с. Улёты, ул. Дорожная, д. 12</t>
  </si>
  <si>
    <t xml:space="preserve">Итого по Хилокскому муниципального округу:</t>
  </si>
  <si>
    <t xml:space="preserve">г. Хилок, ул. Дзержинского, д. 15</t>
  </si>
  <si>
    <t xml:space="preserve">г. Хилок, ул. Ленина, д. 23а</t>
  </si>
  <si>
    <t xml:space="preserve">г. Хилок, ул. Новая, д. 20</t>
  </si>
  <si>
    <t xml:space="preserve">п/ст Жипхеген, ул. Таежная, д. 11</t>
  </si>
  <si>
    <t xml:space="preserve">п/ст Жипхеген, ул. Таежная, д. 15</t>
  </si>
  <si>
    <t xml:space="preserve">п/ст. Жипхеген, ул. Таежная, д. 16</t>
  </si>
  <si>
    <t xml:space="preserve">с. Бада, ул. Привокзальная, д. 25</t>
  </si>
  <si>
    <t xml:space="preserve">Итого по Чернышевскому муниципальному округу:</t>
  </si>
  <si>
    <t xml:space="preserve">пгт. Чернышевск, ул. Журавлева, д. 61</t>
  </si>
  <si>
    <t xml:space="preserve">пгт. Чернышевск, ул. Карла Маркса, д. 18</t>
  </si>
  <si>
    <t xml:space="preserve">пгт. Чернышевск, ул. Комсомольская, д. 28</t>
  </si>
  <si>
    <t xml:space="preserve">пгт. Чернышевск, ул. Северная, д. 2д</t>
  </si>
  <si>
    <t xml:space="preserve">Итого по Читинскому муниципальному округу:</t>
  </si>
  <si>
    <t xml:space="preserve">пгт Атамановка, ул. Гагарина, д. 10</t>
  </si>
  <si>
    <t xml:space="preserve">пгт Атамановка, ул. Гагарина, д. 16</t>
  </si>
  <si>
    <t xml:space="preserve">пгт Атамановка, ул. Матюгина, д. 129</t>
  </si>
  <si>
    <t xml:space="preserve">пгт Атамановка, ул. Матюгина, д. 158б</t>
  </si>
  <si>
    <t xml:space="preserve">пгт. Атамановка, ул. Новая, д. 7</t>
  </si>
  <si>
    <t xml:space="preserve">пгт. Новокручининский, ул. Заводская, д. 10</t>
  </si>
  <si>
    <t xml:space="preserve">пгт. Новокручининский, ул. Площадка-2, д. 4</t>
  </si>
  <si>
    <t xml:space="preserve">пгт. Новокручининский, ул. Российская, д. 3</t>
  </si>
  <si>
    <t xml:space="preserve">п/ст. Ингода, ул. Нагорная, д. 14</t>
  </si>
  <si>
    <t xml:space="preserve">с. Домна, ул. Мебельная, д. 15</t>
  </si>
  <si>
    <t xml:space="preserve">Бревно (брус)</t>
  </si>
  <si>
    <t xml:space="preserve">с. Засопка, ул. Пионерская, д. 5</t>
  </si>
  <si>
    <t xml:space="preserve">Итого по Шилкинскому муниципальному округу:</t>
  </si>
  <si>
    <t xml:space="preserve">в том числе по городскому поселению "Шилкинское":</t>
  </si>
  <si>
    <t xml:space="preserve">г. Шилка, мкр. Аргунь, д. 2</t>
  </si>
  <si>
    <t xml:space="preserve">г. Шилка, мкр. Аргунь, д. 3</t>
  </si>
  <si>
    <t xml:space="preserve">г. Шилка, мкр. Аргунь, д. 4</t>
  </si>
  <si>
    <t xml:space="preserve">г. Шилка, ул. Балябина, д. 131</t>
  </si>
  <si>
    <t>1975</t>
  </si>
  <si>
    <t xml:space="preserve">г. Шилка, ул. Балябина, д. 133</t>
  </si>
  <si>
    <t xml:space="preserve">г. Шилка, ул. Балябина, д. 134</t>
  </si>
  <si>
    <t xml:space="preserve">г. Шилка, ул. Балябина, д. 134а</t>
  </si>
  <si>
    <t>1982</t>
  </si>
  <si>
    <t xml:space="preserve">г. Шилка, ул. Балябина, д. 136</t>
  </si>
  <si>
    <t xml:space="preserve">г. Шилка, ул. Котовского, д. 2</t>
  </si>
  <si>
    <t xml:space="preserve">г. Шилка, ул. Ленина, д. 88</t>
  </si>
  <si>
    <t xml:space="preserve">г. Шилка, ул. Партизанская, д. 3</t>
  </si>
  <si>
    <t xml:space="preserve">г. Шилка, ул. Партизанская, д. 5</t>
  </si>
  <si>
    <t xml:space="preserve">г. Шилка, ул. Погодаева, д. 13</t>
  </si>
  <si>
    <t xml:space="preserve">г. Шилка, ул. Пролетарская, д. 42</t>
  </si>
  <si>
    <t xml:space="preserve">г. Шилка, ул. им. Пузырева, д. 4</t>
  </si>
  <si>
    <t xml:space="preserve">г. Шилка, ул. Соболева, д. 13</t>
  </si>
  <si>
    <t xml:space="preserve">г. Шилка, ул. Соболева, д. 9</t>
  </si>
  <si>
    <t xml:space="preserve">в том числе по городскому поселению "Первомайское":</t>
  </si>
  <si>
    <t xml:space="preserve">пгт. Первомайский, нп. Микрорайон д. 12</t>
  </si>
  <si>
    <t xml:space="preserve">пгт. Первомайский, нп. Микрорайон, д. 2</t>
  </si>
  <si>
    <t xml:space="preserve">пгт. Первомайский, нп. Микрорайон, д. 4</t>
  </si>
  <si>
    <t xml:space="preserve">пгт. Первомайский, ул. 8 Марта, д. 1</t>
  </si>
  <si>
    <t xml:space="preserve">пгт. Первомайский, ул. Забайкальская, д. 18</t>
  </si>
  <si>
    <t>1</t>
  </si>
  <si>
    <t xml:space="preserve">пгт. Первомайский, ул. Ингодинская, д. 11</t>
  </si>
  <si>
    <t xml:space="preserve">пгт. Первомайский, ул. Мира, д. 21</t>
  </si>
  <si>
    <t xml:space="preserve">пгт. Первомайский, ул. Мира, д. 26</t>
  </si>
  <si>
    <t xml:space="preserve">пгт. Первомайский, ул. Ленина, д. 16</t>
  </si>
  <si>
    <t xml:space="preserve">пгт. Первомайский, ул. Пролетарская, д. 12а</t>
  </si>
  <si>
    <t xml:space="preserve">пгт. Первомайский, ул. Пролетарская, д. 24</t>
  </si>
  <si>
    <t xml:space="preserve">пгт. Первомайский, ул. Пролетарская, д. 26</t>
  </si>
  <si>
    <t xml:space="preserve">пгт. Первомайский, ул. Строительная, д. 5, блок А</t>
  </si>
  <si>
    <t xml:space="preserve">пгт. Первомайский, ул. Строительная, д. 9 а</t>
  </si>
  <si>
    <t>х</t>
  </si>
  <si>
    <t xml:space="preserve">пгт. Первомайский, ул. Чернышевского, д. 5</t>
  </si>
  <si>
    <t xml:space="preserve">пгт. Первомайский, ул. Чернышевского, д. 9а</t>
  </si>
  <si>
    <t xml:space="preserve">с. Солнцево, ул. Станционная, д. 7</t>
  </si>
  <si>
    <t xml:space="preserve">2022 (ЧС)</t>
  </si>
  <si>
    <t xml:space="preserve">в том числе по городскому поселению "Холобонское":</t>
  </si>
  <si>
    <t xml:space="preserve">пгт. Холбон, ул. Больничная, д. 1</t>
  </si>
  <si>
    <t xml:space="preserve">пгт. Холбон, ул. Просвещенская, д. 14</t>
  </si>
  <si>
    <t xml:space="preserve">пгт. Холбон, ул. Садовая, д. 13</t>
  </si>
  <si>
    <t>1939</t>
  </si>
  <si>
    <t xml:space="preserve">Деревянные, брусовые</t>
  </si>
  <si>
    <t xml:space="preserve">в том числе по сельскому поселению "Размахнинское":</t>
  </si>
  <si>
    <t xml:space="preserve">с. Размахнино, ул. Энергетиков, д. 4</t>
  </si>
  <si>
    <t xml:space="preserve">с. Размахнино, ул. Энергетиков, д. 6</t>
  </si>
  <si>
    <t xml:space="preserve">2027 год </t>
  </si>
  <si>
    <t xml:space="preserve">г. Чита, б-р. Украинский, д. 1</t>
  </si>
  <si>
    <t>12.2027</t>
  </si>
  <si>
    <t xml:space="preserve">г. Чита, б-р. Украинский, д. 12</t>
  </si>
  <si>
    <t xml:space="preserve">г. Чита, б-р. Украинский, д. 22</t>
  </si>
  <si>
    <t xml:space="preserve">г. Чита, мкр. 5-й, д. 19</t>
  </si>
  <si>
    <t xml:space="preserve">г. Чита, мкр. Батарейный, д. 3</t>
  </si>
  <si>
    <t xml:space="preserve">г. Чита, мкр. Гвардейский, д. 6</t>
  </si>
  <si>
    <t xml:space="preserve">г. Чита, мкр. Осетровка, д. 30</t>
  </si>
  <si>
    <t xml:space="preserve">г. Чита, мкр. Северный, д. 58</t>
  </si>
  <si>
    <t xml:space="preserve">г. Чита, мкр. Северный, д. 62</t>
  </si>
  <si>
    <t>2001</t>
  </si>
  <si>
    <t>93,50,9</t>
  </si>
  <si>
    <t xml:space="preserve">г. Чита, мкр. Северный, д. 63</t>
  </si>
  <si>
    <t xml:space="preserve">г. Чита, мкр. ТУСМ-4, д. 6</t>
  </si>
  <si>
    <t xml:space="preserve">г. Чита, пер. Железобетонный, д. 4а</t>
  </si>
  <si>
    <t xml:space="preserve">г. Чита, пр-кт. Советов, д. 7</t>
  </si>
  <si>
    <t xml:space="preserve">г. Чита, пр-кт. Фадеева, д. 5</t>
  </si>
  <si>
    <t xml:space="preserve">г. Чита, проезд Авиаторов, д. 23</t>
  </si>
  <si>
    <t xml:space="preserve">г. Чита, проезд Новодевичий, д. 16</t>
  </si>
  <si>
    <t xml:space="preserve">г. Чита, проезд Полковой, д. 6а</t>
  </si>
  <si>
    <t xml:space="preserve">г. Чита, ул. 2-я Верхневокзальная, д. 16</t>
  </si>
  <si>
    <t xml:space="preserve">г. Чита, ул. 5-я Малая, д. 1в</t>
  </si>
  <si>
    <t xml:space="preserve">г. Чита, ул. 5-я Малая, д. 3а</t>
  </si>
  <si>
    <t xml:space="preserve">г. Чита, ул. 9 Января, д. 50</t>
  </si>
  <si>
    <t xml:space="preserve">г. Чита, ул. Амурская, д. 23</t>
  </si>
  <si>
    <t xml:space="preserve">г. Чита, ул. Амурская, д. 84</t>
  </si>
  <si>
    <t xml:space="preserve">г. Чита, ул. Амурская, д. 98</t>
  </si>
  <si>
    <t xml:space="preserve">г. Чита, ул. Анохина, д. 4</t>
  </si>
  <si>
    <t xml:space="preserve">г. Чита, ул. Бекетова, д. 20в</t>
  </si>
  <si>
    <t xml:space="preserve">г. Чита, ул. Богомягкова, д. 24</t>
  </si>
  <si>
    <t xml:space="preserve">г. Чита, ул. Гагарина, д. 11</t>
  </si>
  <si>
    <t xml:space="preserve">г. Чита, ул. Гагарина, д. 4</t>
  </si>
  <si>
    <t xml:space="preserve">г. Чита, ул. Георгия Костина, д. 49</t>
  </si>
  <si>
    <t xml:space="preserve">г. Чита, ул. Горбунова, д. 19</t>
  </si>
  <si>
    <t>2013</t>
  </si>
  <si>
    <t xml:space="preserve">г. Чита, ул. Журавлева, д. 61</t>
  </si>
  <si>
    <t xml:space="preserve">г. Чита, ул. Журавлева, д. 74</t>
  </si>
  <si>
    <t>1996</t>
  </si>
  <si>
    <t xml:space="preserve">г. Чита, ул. Ингодинская, д. 4</t>
  </si>
  <si>
    <t xml:space="preserve">г. Чита, ул. Казачья, д. 24</t>
  </si>
  <si>
    <t xml:space="preserve">г. Чита, ул. Казачья, д. 3г</t>
  </si>
  <si>
    <t xml:space="preserve">г. Чита, ул. Каларская, д. 2б</t>
  </si>
  <si>
    <t xml:space="preserve">г. Чита, ул. Космонавтов, д. 1</t>
  </si>
  <si>
    <t xml:space="preserve">г. Чита, ул. Космонавтов, д. 22</t>
  </si>
  <si>
    <t xml:space="preserve">г. Чита, ул. Красной Звезды, д. 8</t>
  </si>
  <si>
    <t xml:space="preserve">г. Чита, ул. Крымская, д. 10</t>
  </si>
  <si>
    <t xml:space="preserve">г. Чита, ул. Крымская, д. 8</t>
  </si>
  <si>
    <t xml:space="preserve">г. Чита, ул. Лазо, д. 65</t>
  </si>
  <si>
    <t xml:space="preserve">г. Чита, ул. Ленина, д. 21а</t>
  </si>
  <si>
    <t xml:space="preserve">г. Чита, ул. Ленина, д. 25</t>
  </si>
  <si>
    <t xml:space="preserve">г. Чита, ул. Ленина, д. 52</t>
  </si>
  <si>
    <t xml:space="preserve">г. Чита, ул. Ленина, д. 9</t>
  </si>
  <si>
    <t>2009</t>
  </si>
  <si>
    <t xml:space="preserve">г. Чита, ул. Ленинградская, д. 77а</t>
  </si>
  <si>
    <t>2026</t>
  </si>
  <si>
    <t xml:space="preserve">г. Чита, ул. Мостовая, д. 7</t>
  </si>
  <si>
    <t xml:space="preserve">г. Чита, ул. Набережная, д. 56</t>
  </si>
  <si>
    <t xml:space="preserve">г. Чита, ул. Набережная, д. 66а</t>
  </si>
  <si>
    <t xml:space="preserve">г. Чита, ул. Нерчинская, д. 1</t>
  </si>
  <si>
    <t xml:space="preserve">г. Чита, ул. Николая Островского, д. 20</t>
  </si>
  <si>
    <t xml:space="preserve">г. Чита, ул. Новобульварная, д. 113</t>
  </si>
  <si>
    <t xml:space="preserve">г. Чита, ул. Пригородная, д. 2</t>
  </si>
  <si>
    <t xml:space="preserve">г. Чита, ул. Промышленная, д. 51а</t>
  </si>
  <si>
    <t xml:space="preserve">г. Чита, ул. Смоленская, д. 119</t>
  </si>
  <si>
    <t xml:space="preserve">г. Чита, ул. Смоленская, д. 123</t>
  </si>
  <si>
    <t xml:space="preserve">г. Чита, ул. Столярова, д. 23</t>
  </si>
  <si>
    <t xml:space="preserve">г. Чита, ул. Столярова, д. 44</t>
  </si>
  <si>
    <t xml:space="preserve">г. Чита, ул. Тобольская, д. 2а, корп. 1</t>
  </si>
  <si>
    <t xml:space="preserve">г. Чита, ул. Тобольская, д. 2а, корп. 2</t>
  </si>
  <si>
    <t xml:space="preserve">г. Чита, ул. Токмакова, д. 23</t>
  </si>
  <si>
    <t xml:space="preserve">г. Чита, ул. Угданская, д. 59</t>
  </si>
  <si>
    <t xml:space="preserve">г. Чита, ул. Хабаровская, д. 4</t>
  </si>
  <si>
    <t xml:space="preserve">г. Чита, ул. Чкалова, д. 1</t>
  </si>
  <si>
    <t xml:space="preserve">г. Чита, ул. Чкалова, д. 126</t>
  </si>
  <si>
    <t xml:space="preserve">г. Чита, ул. Чкалова, д. 25</t>
  </si>
  <si>
    <t xml:space="preserve">г. Чита, ул. Энтузиастов, д. 11</t>
  </si>
  <si>
    <t xml:space="preserve">пгт. Агинское, ул. Комсомольская, д. 61</t>
  </si>
  <si>
    <r>
      <rPr>
        <sz val="11"/>
        <rFont val="Times New Roman"/>
      </rPr>
      <t xml:space="preserve">пгт. Новоорловск, д. 21</t>
    </r>
    <r>
      <rPr>
        <vertAlign val="superscript"/>
        <sz val="11"/>
        <rFont val="Times New Roman"/>
      </rPr>
      <t xml:space="preserve"> </t>
    </r>
  </si>
  <si>
    <t xml:space="preserve">г. Балей, кв-л А, д. 3</t>
  </si>
  <si>
    <t xml:space="preserve">г. Балей, ул. Больничная, д. 1</t>
  </si>
  <si>
    <t xml:space="preserve">г. Балей, ул. Комбинатская, д. 6</t>
  </si>
  <si>
    <t xml:space="preserve">г. Балей, ул. Октябрьская, д. 100</t>
  </si>
  <si>
    <t xml:space="preserve">г. Балей, ул. Октябрьская, д. 102</t>
  </si>
  <si>
    <t xml:space="preserve">г. Балей, ул. Октябрьская, д. 117</t>
  </si>
  <si>
    <t xml:space="preserve">г. Борзя, ул. Ленина, д. 3</t>
  </si>
  <si>
    <t xml:space="preserve"> г. Борзя, ул. Ломоносова, д. 7</t>
  </si>
  <si>
    <t xml:space="preserve">г. Борзя, ул. Матросова, д. 25</t>
  </si>
  <si>
    <t xml:space="preserve">г. Борзя, ул. Метелицы, д. 30</t>
  </si>
  <si>
    <t xml:space="preserve">г. Борзя, ул. Нагорная, д. 12</t>
  </si>
  <si>
    <t xml:space="preserve">г. Борзя, ул. Советская, д. 30</t>
  </si>
  <si>
    <t xml:space="preserve">г. Борзя, ул. Чайковского, д. 9</t>
  </si>
  <si>
    <t xml:space="preserve">пгт. Шерловая Гора, мкр. 2-й, д. 3</t>
  </si>
  <si>
    <t xml:space="preserve">пгт. Шерловая Гора, ул. Калинина, д. 1</t>
  </si>
  <si>
    <t xml:space="preserve">пгт. Шерловая Гора, ул. Учанина, д. 3</t>
  </si>
  <si>
    <t xml:space="preserve">п. Новоширокинский, д. 2</t>
  </si>
  <si>
    <t xml:space="preserve">п. Новоширокинский, д. 10</t>
  </si>
  <si>
    <t xml:space="preserve">п. Новоширокинский, д. 12</t>
  </si>
  <si>
    <t xml:space="preserve">п. Новоширокинский, д. 9</t>
  </si>
  <si>
    <t xml:space="preserve">пгт. Забайкальск, ул. Комсомольская, д. 19</t>
  </si>
  <si>
    <t xml:space="preserve">п/ст Куанда, ул. 8 Марта, д. 7</t>
  </si>
  <si>
    <t xml:space="preserve">п/ст Куанда, ул. Советская, д. 12а</t>
  </si>
  <si>
    <t xml:space="preserve">Итого по Калганскому муниципальному округу:</t>
  </si>
  <si>
    <t xml:space="preserve">с. Калга, ул. 60 лет Октября, д. 13</t>
  </si>
  <si>
    <t xml:space="preserve">с. Калга, ул. 60 лет Октября, д. 19</t>
  </si>
  <si>
    <t xml:space="preserve">пгт Дарасун, ул. Калинина, д. 12</t>
  </si>
  <si>
    <t xml:space="preserve">пгт Дарасун, ул. Калинина, д. 16</t>
  </si>
  <si>
    <t xml:space="preserve">пгт. Дарасун, ул. Молодежная, д. 2</t>
  </si>
  <si>
    <t xml:space="preserve">пгт. Дарасун, ул. Молодежная, д. 6</t>
  </si>
  <si>
    <t xml:space="preserve">пгт. Дарасун, ул. Советская, д. 2</t>
  </si>
  <si>
    <t>1952</t>
  </si>
  <si>
    <t xml:space="preserve">пгт. Карымское, ул. Верхняя, д. 7</t>
  </si>
  <si>
    <t xml:space="preserve">пгт. Карымское, ул. Шемелина, д. 1</t>
  </si>
  <si>
    <t xml:space="preserve">пгт. Курорт-Дарасун, ул. Военный санаторий, д. 3</t>
  </si>
  <si>
    <t xml:space="preserve">пгт. Курорт-Дарасун, ул. Военный санаторий, д. 4</t>
  </si>
  <si>
    <t xml:space="preserve">с. Большая Тура, ул. Железнодорожная, д. 119</t>
  </si>
  <si>
    <t xml:space="preserve">с. Большая Тура, ул. Железнодорожная, д. 120</t>
  </si>
  <si>
    <t xml:space="preserve">с. Большая Тура, ул. Трактовая, д. 113</t>
  </si>
  <si>
    <t xml:space="preserve">г. Краснокаменск, мкр. Центральный, д. 3ц</t>
  </si>
  <si>
    <t xml:space="preserve">г. Краснокаменск, мкр. Центральный, д. 4ц</t>
  </si>
  <si>
    <t xml:space="preserve">с. Маргуцек, ул. Губина, д. 44</t>
  </si>
  <si>
    <t xml:space="preserve">с. Красный Чикой, ул. Первомайская, д. 76а</t>
  </si>
  <si>
    <t xml:space="preserve">г. Могоча, ул. Малокрестьянская д. 38</t>
  </si>
  <si>
    <t xml:space="preserve">г. Нерчинск, ул. Строительная, д. 2</t>
  </si>
  <si>
    <t xml:space="preserve">г. Нерчинск, ул. Студгородок, д. 3</t>
  </si>
  <si>
    <t xml:space="preserve">г. Нерчинск, ул. Студгородок, д. 4</t>
  </si>
  <si>
    <t xml:space="preserve">пгт. Оловянная, ул. Гагарина, д. 17</t>
  </si>
  <si>
    <t xml:space="preserve">пгт. Оловянная, ул. Гагарина, д. 23</t>
  </si>
  <si>
    <t xml:space="preserve">пгт. Оловянная, ул. Гагарина, д. 25</t>
  </si>
  <si>
    <t xml:space="preserve">пгт. Оловянная, ул. Гагарина, д. 27</t>
  </si>
  <si>
    <t xml:space="preserve">пгт. Оловянная, ул. Машиностроительная, д. 5</t>
  </si>
  <si>
    <t xml:space="preserve">пгт. Оловянная, ул. Московская, д. 38</t>
  </si>
  <si>
    <t xml:space="preserve">пгт. Ясногорск, мкр. Луговой, д. 5</t>
  </si>
  <si>
    <t xml:space="preserve">п/ст. Ясная, пер. Солнечный, д. 2</t>
  </si>
  <si>
    <t xml:space="preserve">п/ст. Ясная, ул. 50 лет Октября, д. 1</t>
  </si>
  <si>
    <t xml:space="preserve">п/ст. Ясная, ул. 50 лет Октября, д. 2</t>
  </si>
  <si>
    <t xml:space="preserve">п/ст. Ясная, ул. 50 лет Октября, д. 3</t>
  </si>
  <si>
    <t xml:space="preserve">п/ст. Ясная, ул. 50 лет Октября, д. 5</t>
  </si>
  <si>
    <t xml:space="preserve">п/ст. Ясная, ул. 50 лет Октября, д. 7</t>
  </si>
  <si>
    <t xml:space="preserve">п/ст. Ясная, ул. Комсомольская, д. 1</t>
  </si>
  <si>
    <t xml:space="preserve">п/ст. Ясная, ул. Комсомольская, д. 3</t>
  </si>
  <si>
    <t xml:space="preserve">п/ст. Ясная, ул. Комсомольская, д. 5</t>
  </si>
  <si>
    <t xml:space="preserve">п/ст. Ясная, ул. Мира, д. 4</t>
  </si>
  <si>
    <t xml:space="preserve">г. Петровск-Забайкальский, ул.Ленина, д.19 а</t>
  </si>
  <si>
    <t xml:space="preserve">г. Петровск-Забайкальский, ул. Ленина, д. 24</t>
  </si>
  <si>
    <t xml:space="preserve">г. Петровск-Забайкальский, ул. Мысовая, д. 57</t>
  </si>
  <si>
    <t xml:space="preserve">г. Петровск-Забайкальский, ул. Островского, д. 32г</t>
  </si>
  <si>
    <t xml:space="preserve">г. Петровск-Забайкальский, ул. Спортивная, д. 8</t>
  </si>
  <si>
    <t xml:space="preserve">г. Петровск-Забайкальский, Спортивная, д. 23</t>
  </si>
  <si>
    <t xml:space="preserve">пгт. Приаргунск, ул. Декабристов, д. 12</t>
  </si>
  <si>
    <t xml:space="preserve">пгт. Приаргунск, ул. Комсомольская, д. 10</t>
  </si>
  <si>
    <t xml:space="preserve">пгт. Приаргунск, ул. Чернышевского, д. 6</t>
  </si>
  <si>
    <t xml:space="preserve">Итого по Сретенскому муниципальному округу:</t>
  </si>
  <si>
    <t xml:space="preserve">г. Сретенск, ул. Гагарина, д. 19</t>
  </si>
  <si>
    <t xml:space="preserve">г. Сретенск, ул. Карелина, д. 58</t>
  </si>
  <si>
    <t xml:space="preserve">с. Верх-Усугли, ул. Первомайская, д. 11</t>
  </si>
  <si>
    <t xml:space="preserve"> г. Хилок, ул. Ленина, д. 23а</t>
  </si>
  <si>
    <t xml:space="preserve">с. Бада, г-к Северный, д. 2</t>
  </si>
  <si>
    <t xml:space="preserve">с. Бада, г-к Северный, д. 3</t>
  </si>
  <si>
    <t xml:space="preserve">пгт. Аксёново-Зиловское, ул. Энергетиков, д. 5</t>
  </si>
  <si>
    <t xml:space="preserve">пгт. Чернышевск, ул. Журавлева, д. 53</t>
  </si>
  <si>
    <t xml:space="preserve">пгт. Чернышевск, ул. Журавлева, д. 73</t>
  </si>
  <si>
    <t xml:space="preserve">пгт. Чернышевск, ул. Комсомольская, д. 26</t>
  </si>
  <si>
    <t xml:space="preserve">пгт. Чернышевск, ул. Первомайская, д. 29</t>
  </si>
  <si>
    <t xml:space="preserve">пгт. Чернышевск, ул. Первомайская, д. 33</t>
  </si>
  <si>
    <t xml:space="preserve">пгт. Атамановка, ул. Заводская, д. 12</t>
  </si>
  <si>
    <t xml:space="preserve">пгт. Атамановка, ул. Заводская, д. 3</t>
  </si>
  <si>
    <t xml:space="preserve">пгт Атамановка, ул. Связи, д. 42</t>
  </si>
  <si>
    <t xml:space="preserve">пгт. Новокручининский, ул. Заводская, д. 5</t>
  </si>
  <si>
    <t xml:space="preserve">пгт. Новокручининский, ул. Подлесная, д. 18</t>
  </si>
  <si>
    <t xml:space="preserve">пгт. Новокручининский, ул. Российская, д. 1</t>
  </si>
  <si>
    <t xml:space="preserve">п/ст. Гонгота, ул. ДОС, д. 5</t>
  </si>
  <si>
    <t xml:space="preserve">с. Лесной городок, ул. Трактовая, д. 2</t>
  </si>
  <si>
    <t xml:space="preserve">с. Лесной городок, ул. Трактовая, д. 3</t>
  </si>
  <si>
    <t xml:space="preserve">с. Лесной городок, ул. Центральная, д. 3</t>
  </si>
  <si>
    <t xml:space="preserve">с. Лесной городок, ул. Центральная, д. 4</t>
  </si>
  <si>
    <t xml:space="preserve">с. Маккавеево, ул. Молодежная, д. 65</t>
  </si>
  <si>
    <t xml:space="preserve">с. Смоленка, Военный городок 31, д. 2</t>
  </si>
  <si>
    <t xml:space="preserve">с. Смоленка, Военный городок 31, д. 3</t>
  </si>
  <si>
    <t xml:space="preserve">Итого по Шелопугинскому муниципальному округу:</t>
  </si>
  <si>
    <r>
      <rPr>
        <sz val="11"/>
        <rFont val="Times New Roman"/>
      </rPr>
      <t xml:space="preserve">с. Шелопугино, ул. Лазо, д. 8</t>
    </r>
    <r>
      <rPr>
        <vertAlign val="superscript"/>
        <sz val="11"/>
        <rFont val="Times New Roman"/>
      </rPr>
      <t>(1,4)</t>
    </r>
  </si>
  <si>
    <t xml:space="preserve">г. Шилка, мкр. Северный, д. 3</t>
  </si>
  <si>
    <t xml:space="preserve">пгт. Первомайский, ул. Ингодинская, д. 9а</t>
  </si>
  <si>
    <t xml:space="preserve">пгт. Первомайский, ул. Ленина, д. 14</t>
  </si>
  <si>
    <t xml:space="preserve">пгт. Первомайский, ул. Пролетарская, д. 16</t>
  </si>
  <si>
    <t xml:space="preserve">пгт. Первомайский, ул. Строительная, д. 5, блок Б</t>
  </si>
  <si>
    <t xml:space="preserve">пгт. Первомайский, ул. Строительная, д. 20</t>
  </si>
  <si>
    <t xml:space="preserve">пгт. Холбон, ул. Советская, д. 6</t>
  </si>
  <si>
    <t>1936</t>
  </si>
  <si>
    <t xml:space="preserve">2028 год</t>
  </si>
  <si>
    <t xml:space="preserve">Итого по Забайкальскому краю</t>
  </si>
  <si>
    <t>12.2028</t>
  </si>
  <si>
    <t xml:space="preserve">г. Чита, ул. Донская, д. 4</t>
  </si>
  <si>
    <t xml:space="preserve">г. Чита, ул. Ленинградская, д. 76</t>
  </si>
  <si>
    <t xml:space="preserve">г. Чита, ул. Малая, д. 4</t>
  </si>
  <si>
    <t xml:space="preserve">пгт. Агинское, ул. ДСУ, д. 14</t>
  </si>
  <si>
    <t xml:space="preserve">г. Борзя, ул. Дзержинского, д. 7</t>
  </si>
  <si>
    <t xml:space="preserve">пгт. Шерловая Гора, мкр. 2-й, д. 11</t>
  </si>
  <si>
    <t xml:space="preserve">пгт. Шерловая Гора, ул. Дзержинского, д. 5</t>
  </si>
  <si>
    <t xml:space="preserve">пгт. Шерловая Гора, ул. Шахтерская, д. 2</t>
  </si>
  <si>
    <t xml:space="preserve">пгт. Шерловая Гора, ул. Шахтерская, д. 6</t>
  </si>
  <si>
    <t xml:space="preserve">п. Новоширокинский, д. 3</t>
  </si>
  <si>
    <t xml:space="preserve">пгт. Новая Чара, ул. Магистральная, д. 16</t>
  </si>
  <si>
    <t xml:space="preserve">2018, 2025</t>
  </si>
  <si>
    <t xml:space="preserve">пгт. Новая Чара, ул. Магистральная, д. 18</t>
  </si>
  <si>
    <t xml:space="preserve">пгт. Новая Чара, ул. Магистральная, д. 28б</t>
  </si>
  <si>
    <t xml:space="preserve">пгт. Новая Чара, ул. Магистральная, д. 30</t>
  </si>
  <si>
    <t xml:space="preserve">п/ст. Куанда, ул. 8 Марта, д. 8</t>
  </si>
  <si>
    <t xml:space="preserve">п/ст. Куанда, ул. Советская, д. 10 а</t>
  </si>
  <si>
    <t xml:space="preserve">п/ст. Куанда, ул. Энтузиастов, д. 10</t>
  </si>
  <si>
    <t xml:space="preserve">с. Калга, ул. 60 лет Октября, д. 11</t>
  </si>
  <si>
    <t xml:space="preserve">п/ст. Семиозёрный, ул. Энергетиков, д. 1</t>
  </si>
  <si>
    <t xml:space="preserve">г. Нерчинск, ул. Декабристов, д. 37</t>
  </si>
  <si>
    <t xml:space="preserve">г. Нерчинск, ул. Сибирская, д. 8</t>
  </si>
  <si>
    <t xml:space="preserve">г. Нерчинск, ул. Шилова, д. 36</t>
  </si>
  <si>
    <t xml:space="preserve">п/ст. Ясная, ул. Мира, д. 3</t>
  </si>
  <si>
    <t xml:space="preserve">г. Петровск-Забайкальский, ул.Спортивная, д. 16</t>
  </si>
  <si>
    <t xml:space="preserve">п/ст. Жипхеген, ул. Таежная, д. 14</t>
  </si>
  <si>
    <t xml:space="preserve">п/ст. Жипхеген, ул. Таежная, д. 18</t>
  </si>
  <si>
    <t xml:space="preserve">пгт. Аксёново-Зиловское, ул. Энергетиков, д. 3</t>
  </si>
  <si>
    <t xml:space="preserve">пгт. Атамановка, ул. Матюгина, д. 154</t>
  </si>
  <si>
    <t xml:space="preserve">пгт Атамановка, ул. Связи, д. 24а</t>
  </si>
  <si>
    <t xml:space="preserve">с. Маккавеево, ул. Бутина, д. 49а</t>
  </si>
  <si>
    <t xml:space="preserve">с. Маккавеево, ул. Бутина, д. 54</t>
  </si>
  <si>
    <t xml:space="preserve">пгт. Первомайский, нп Микрорайон, д. 4</t>
  </si>
  <si>
    <t xml:space="preserve">пгт. Первомайский, нп. Микрорайон д.12</t>
  </si>
  <si>
    <t xml:space="preserve">пгт. Первомайский, ул. Белинского, д. 4</t>
  </si>
  <si>
    <t>СПРАВОЧНО:</t>
  </si>
  <si>
    <t xml:space="preserve">Перечень многоквартирных домов, сменивших способ формирования фонда капитального ремонта, в которых в период 2017-2025 годов выполнены работы по капитальному ремонту, и многоквартирных домов, в которых работы выполнены, но не учтены ранее</t>
  </si>
  <si>
    <t xml:space="preserve">г. Чита, мкр. Агрогородок Опытный, д. 4</t>
  </si>
  <si>
    <t xml:space="preserve">г. Чита, мкр. 5-й, д. 28</t>
  </si>
  <si>
    <t xml:space="preserve">г. Чита, мкр. 6-й, д. 1</t>
  </si>
  <si>
    <t xml:space="preserve">г. Чита, мкр. Северный, д. 43</t>
  </si>
  <si>
    <t xml:space="preserve">г. Чита, пр-кт. Советов, д. 13</t>
  </si>
  <si>
    <t xml:space="preserve">г. Чита, ул. Амурская, д. 57</t>
  </si>
  <si>
    <t xml:space="preserve">г. Чита, ул. Ангарская, д. 46</t>
  </si>
  <si>
    <t xml:space="preserve">г. Чита, ул. Бутина, д. 123</t>
  </si>
  <si>
    <t xml:space="preserve">г. Чита, ул. Ватутина, д. 25</t>
  </si>
  <si>
    <t xml:space="preserve">г. Чита, ул. Евгения Гаюсана, д. 4</t>
  </si>
  <si>
    <t xml:space="preserve">г. Чита, ул. Звездная, д. 12</t>
  </si>
  <si>
    <t xml:space="preserve">г. Чита, ул. Инструментальная, д. 2</t>
  </si>
  <si>
    <t xml:space="preserve">г. Чита, ул. Кайдаловская, д. 3</t>
  </si>
  <si>
    <t xml:space="preserve">г. Чита, ул. Кастринская, д. 4</t>
  </si>
  <si>
    <t xml:space="preserve">г. Чита, ул. Ленина, д. 42</t>
  </si>
  <si>
    <t xml:space="preserve">г. Чита, ул. Мысовская, д. 33</t>
  </si>
  <si>
    <t xml:space="preserve">г. Чита, ул. Петровская, д. 24</t>
  </si>
  <si>
    <t xml:space="preserve">г. Чита, ул. Текстильщиков, д. 36</t>
  </si>
  <si>
    <t xml:space="preserve">г. Чита, ул. Текстильщиков, д. 37</t>
  </si>
  <si>
    <t xml:space="preserve">г. Балей, ул. Советская, д. 30</t>
  </si>
  <si>
    <t>2014</t>
  </si>
  <si>
    <t xml:space="preserve">пгт. Забайкальск, ул. Железнодорожная, д. 1б</t>
  </si>
  <si>
    <t xml:space="preserve"> пгт. Курорт-Дарасун, ул. Верхняя, д. 10</t>
  </si>
  <si>
    <t xml:space="preserve">г. Краснокаменск, мкр. 2-й, д. 204</t>
  </si>
  <si>
    <t xml:space="preserve">г. Краснокаменск, мкр. 2-й, д. 251</t>
  </si>
  <si>
    <t xml:space="preserve">г. Краснокаменск, мкр. 6-й, д. 608</t>
  </si>
  <si>
    <t xml:space="preserve">г. Краснокаменск, мкр. 6-й, д. 611</t>
  </si>
  <si>
    <t xml:space="preserve">г. Краснокаменск, мкр. 6-й, д. 612</t>
  </si>
  <si>
    <t xml:space="preserve">г. Краснокаменск, мкр. 6-й, д. 613</t>
  </si>
  <si>
    <t xml:space="preserve">г. Краснокаменск, мкр. 6-й, д. 625</t>
  </si>
  <si>
    <t xml:space="preserve">г. Краснокаменск, мкр. 6-й, д. 626</t>
  </si>
  <si>
    <t xml:space="preserve">г. Краснокаменск, мкр. 6-й, д. 627</t>
  </si>
  <si>
    <t xml:space="preserve">г. Краснокаменск, мкр. 6-й, д. 630</t>
  </si>
  <si>
    <t xml:space="preserve">г. Краснокаменск, мкр. 6-й, д. 632</t>
  </si>
  <si>
    <t xml:space="preserve">г. Краснокаменск, мкр. Восточный, д. 2в</t>
  </si>
  <si>
    <t xml:space="preserve">г. Краснокаменск, пр-кт Строителей, д. 13, корп.1</t>
  </si>
  <si>
    <t xml:space="preserve"> г. Могоча, ул. Интернациональная, д. 31</t>
  </si>
  <si>
    <t xml:space="preserve">пгт. Кокуй, ул. Заводская, д. 11</t>
  </si>
  <si>
    <t xml:space="preserve">пгт. Кокуй, ул. Ленина, д. 1</t>
  </si>
  <si>
    <t xml:space="preserve">пгт. Кокуй, ул. Набережная 1-я, д. 14</t>
  </si>
  <si>
    <t xml:space="preserve">с. Верх-Усугли, ул. Первомайская, д. 6</t>
  </si>
  <si>
    <t xml:space="preserve">пгт. Новокручининский, ул. Фабричная, д. 1</t>
  </si>
  <si>
    <t xml:space="preserve">Таблица 2. Планируемые показатели выполнения Регионального краткосрочного плана реализации Региональной программы капитального ремонта общего имущества в многоквартирных домах, расположенных  на территории Забайкальского края, на период 2026-2028 годов </t>
  </si>
  <si>
    <t xml:space="preserve">Наименование МО</t>
  </si>
  <si>
    <t xml:space="preserve">общая
площадь
МКД, всего</t>
  </si>
  <si>
    <t xml:space="preserve">Количество
жителей,
зарегистрированных в МКД
на дату утверждения плана</t>
  </si>
  <si>
    <t xml:space="preserve">Количество МКД</t>
  </si>
  <si>
    <t xml:space="preserve">I квартал</t>
  </si>
  <si>
    <t xml:space="preserve">II квартал</t>
  </si>
  <si>
    <t xml:space="preserve">III квартал</t>
  </si>
  <si>
    <t xml:space="preserve">IV квартал</t>
  </si>
  <si>
    <t xml:space="preserve">Всего :</t>
  </si>
  <si>
    <t>ед.</t>
  </si>
  <si>
    <t xml:space="preserve">Городской округ "Город Чита"</t>
  </si>
  <si>
    <t xml:space="preserve">Городской округ "Посёлок Агинское"</t>
  </si>
  <si>
    <t xml:space="preserve">Агинский муниципальный округ</t>
  </si>
  <si>
    <t xml:space="preserve">Балейский муниципальный округ</t>
  </si>
  <si>
    <t xml:space="preserve">Борзинский муниципальный округ</t>
  </si>
  <si>
    <t xml:space="preserve">Газимуро-Заводский муниципальный округ</t>
  </si>
  <si>
    <t xml:space="preserve">Забайкальский муниципальный округ</t>
  </si>
  <si>
    <t xml:space="preserve">Каларский муниципальный округ</t>
  </si>
  <si>
    <t xml:space="preserve">Карымский муниципальный округ</t>
  </si>
  <si>
    <t xml:space="preserve">Краснокаменский муниципальный округ</t>
  </si>
  <si>
    <t xml:space="preserve">Красночикойский муниципальный округ</t>
  </si>
  <si>
    <t xml:space="preserve">Кыринский муниципальный округ</t>
  </si>
  <si>
    <t xml:space="preserve">Могойтуйский муниципальный округ</t>
  </si>
  <si>
    <t xml:space="preserve">Могочинский муниципальный округ</t>
  </si>
  <si>
    <t xml:space="preserve">Нерчинский муниципальный округ </t>
  </si>
  <si>
    <t xml:space="preserve">Оловяннинский муниципальный округ </t>
  </si>
  <si>
    <t xml:space="preserve">Петровск-Забайкальский муниципальный округ </t>
  </si>
  <si>
    <t xml:space="preserve">Приаргунский муниципальный округ</t>
  </si>
  <si>
    <t xml:space="preserve">Муниципальгый район "Сретенский район", в том числе:</t>
  </si>
  <si>
    <t xml:space="preserve">по городскому поселению "Сретенское"</t>
  </si>
  <si>
    <t xml:space="preserve">по городскому поселению "Кокуйское"</t>
  </si>
  <si>
    <t xml:space="preserve">по сельскому поселению "Дунаевское""</t>
  </si>
  <si>
    <t xml:space="preserve">Тунгокоченский муниципальный округ</t>
  </si>
  <si>
    <t xml:space="preserve">Улётовский муниципальный округ</t>
  </si>
  <si>
    <t xml:space="preserve">Хилокский муниципальный округ</t>
  </si>
  <si>
    <t xml:space="preserve">Чернышевский муниципальный округ</t>
  </si>
  <si>
    <t xml:space="preserve">Читинский муниципальный округ</t>
  </si>
  <si>
    <t xml:space="preserve">Миниципальный район "Шилкинский район",  том числе:</t>
  </si>
  <si>
    <t xml:space="preserve">по городскому поселению "Шилкинское"</t>
  </si>
  <si>
    <t xml:space="preserve">по городскому поселению "Первомайское"</t>
  </si>
  <si>
    <t xml:space="preserve">по городскому поселению "Холбонское"</t>
  </si>
  <si>
    <t xml:space="preserve">по сельскому поселению "Размахнинское""</t>
  </si>
  <si>
    <t xml:space="preserve">2027 год</t>
  </si>
  <si>
    <t xml:space="preserve">Борзинский муниципальный район</t>
  </si>
  <si>
    <t xml:space="preserve">Калганский муниципальный округ</t>
  </si>
  <si>
    <t xml:space="preserve">Нерчинский муниципальный округ</t>
  </si>
  <si>
    <t xml:space="preserve">Сретенский муниципальный округ</t>
  </si>
  <si>
    <t xml:space="preserve">Шелопугинский муниципальный округ</t>
  </si>
  <si>
    <t xml:space="preserve">Шилкинский муниципальный округ</t>
  </si>
  <si>
    <t xml:space="preserve">Оловяннинский муниципальный округ</t>
  </si>
  <si>
    <t xml:space="preserve">Таблица 3. Адресный перечень многоквартирных домов, расположенных на территории Забайкальского края, в отношении которых на период 2026-2028 годов планируется проведение капитального ремонта общего имущества, по видам работ по капитальному ремонту </t>
  </si>
  <si>
    <t xml:space="preserve">Стоимость капитального ремонта ВСЕГО</t>
  </si>
  <si>
    <t xml:space="preserve">Виды, установленные частью 1 статьи 166 Жилищного Кодекса Российской Федерации</t>
  </si>
  <si>
    <t xml:space="preserve">Виды, установленные нормативным правовым актом Забайкальского края</t>
  </si>
  <si>
    <t xml:space="preserve">Виды, установленные частью 3 статьи 166 Жилищного Кодекса Российской Федерации</t>
  </si>
  <si>
    <t xml:space="preserve">ремонт внутридомовых инженерных систем электро-, тепло-, газо-, водоснабжения, водоотведения</t>
  </si>
  <si>
    <t xml:space="preserve">Ремонт, замена, модернизация лифтов, ремонт лифтовых шахт, машинных и блочных помещений</t>
  </si>
  <si>
    <t xml:space="preserve">Ремонт крыши</t>
  </si>
  <si>
    <t xml:space="preserve">Ремонт подвальных помещений, относящихся к общему имуществу в многоквартирном доме</t>
  </si>
  <si>
    <t xml:space="preserve">Ремонт фасада</t>
  </si>
  <si>
    <t xml:space="preserve">Ремонт фундамента многоквартирного дома</t>
  </si>
  <si>
    <t xml:space="preserve">услуги и (или) работы по оценке технического состояния, разработке проектной документации на проведение капитального ремонта общего имущества многоквартирных домов</t>
  </si>
  <si>
    <t xml:space="preserve">услуги и (или) работы по оценке технического состояния,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выявленными объектами культурного наследия</t>
  </si>
  <si>
    <t xml:space="preserve">услуги по осуществлению строительного контроля</t>
  </si>
  <si>
    <t xml:space="preserve">услуги и (или) работы по переустройству невентилируемой крыши на вентилируемую крышу, устройству выходов на кровлю</t>
  </si>
  <si>
    <t>электроснабжения</t>
  </si>
  <si>
    <t xml:space="preserve"> теплоснабжения</t>
  </si>
  <si>
    <t xml:space="preserve">горячего водоснабжения</t>
  </si>
  <si>
    <t xml:space="preserve">холодного водоснабжения</t>
  </si>
  <si>
    <t>водоотведения</t>
  </si>
  <si>
    <r>
      <t xml:space="preserve">г. Чита, б-р. Украинский, д. 1</t>
    </r>
    <r>
      <rPr>
        <vertAlign val="superscript"/>
        <sz val="11"/>
        <rFont val="Times New Roman"/>
      </rPr>
      <t>(1)</t>
    </r>
  </si>
  <si>
    <r>
      <t xml:space="preserve">г. Чита, б-р. Украинский, д. 10</t>
    </r>
    <r>
      <rPr>
        <vertAlign val="superscript"/>
        <sz val="11"/>
        <rFont val="Times New Roman"/>
      </rPr>
      <t>(4)</t>
    </r>
  </si>
  <si>
    <r>
      <t xml:space="preserve">г. Чита, б-р. Украинский, д. 14</t>
    </r>
    <r>
      <rPr>
        <vertAlign val="superscript"/>
        <sz val="11"/>
        <rFont val="Times New Roman"/>
      </rPr>
      <t>(8)</t>
    </r>
  </si>
  <si>
    <r>
      <t xml:space="preserve">г. Чита, б-р. Украинский, д. 18</t>
    </r>
    <r>
      <rPr>
        <vertAlign val="superscript"/>
        <sz val="11"/>
        <rFont val="Times New Roman"/>
      </rPr>
      <t>(2)</t>
    </r>
  </si>
  <si>
    <r>
      <t xml:space="preserve">г. Чита, б-р. Украинский, д. 22</t>
    </r>
    <r>
      <rPr>
        <vertAlign val="superscript"/>
        <sz val="11"/>
        <rFont val="Times New Roman"/>
      </rPr>
      <t>(1,4)</t>
    </r>
  </si>
  <si>
    <r>
      <t xml:space="preserve">г. Чита, б-р. Украинский, д. 24</t>
    </r>
    <r>
      <rPr>
        <vertAlign val="superscript"/>
        <sz val="11"/>
        <rFont val="Times New Roman"/>
      </rPr>
      <t>(1)</t>
    </r>
  </si>
  <si>
    <r>
      <t xml:space="preserve">г. Чита, б-р. Украинский, д. 28</t>
    </r>
    <r>
      <rPr>
        <vertAlign val="superscript"/>
        <sz val="11"/>
        <rFont val="Times New Roman"/>
      </rPr>
      <t>(1,4)</t>
    </r>
  </si>
  <si>
    <r>
      <rPr>
        <sz val="11"/>
        <rFont val="Times New Roman"/>
      </rPr>
      <t xml:space="preserve">г. Чита, б-р. Украинский, д. 3</t>
    </r>
    <r>
      <rPr>
        <vertAlign val="superscript"/>
        <sz val="11"/>
        <rFont val="Times New Roman"/>
      </rPr>
      <t>(4)</t>
    </r>
  </si>
  <si>
    <t xml:space="preserve">г. Чита, б-р Украинский, д. 7</t>
  </si>
  <si>
    <r>
      <t xml:space="preserve">г. Чита, б-р. Украинский, д. 8</t>
    </r>
    <r>
      <rPr>
        <vertAlign val="superscript"/>
        <sz val="11"/>
        <rFont val="Times New Roman"/>
      </rPr>
      <t>(1)</t>
    </r>
  </si>
  <si>
    <r>
      <t xml:space="preserve">г. Чита, мкр. 1-й, д. 6</t>
    </r>
    <r>
      <rPr>
        <vertAlign val="superscript"/>
        <sz val="11"/>
        <rFont val="Times New Roman"/>
      </rPr>
      <t>(2)</t>
    </r>
  </si>
  <si>
    <r>
      <t xml:space="preserve">г. Чита, мкр. 4-й, д. 14</t>
    </r>
    <r>
      <rPr>
        <vertAlign val="superscript"/>
        <sz val="11"/>
        <rFont val="Times New Roman"/>
      </rPr>
      <t>(1)</t>
    </r>
  </si>
  <si>
    <r>
      <t xml:space="preserve">г. Чита, мкр. 4-й, д. 9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</si>
  <si>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мкр. 5-й, д. 29</t>
    </r>
    <r>
      <rPr>
        <vertAlign val="superscript"/>
        <sz val="11"/>
        <rFont val="Times New Roman"/>
      </rPr>
      <t>(2)</t>
    </r>
  </si>
  <si>
    <r>
      <t xml:space="preserve">г. Чита, мкр. 6-й, д. 15</t>
    </r>
    <r>
      <rPr>
        <vertAlign val="superscript"/>
        <sz val="11"/>
        <rFont val="Times New Roman"/>
      </rPr>
      <t>(2,8)</t>
    </r>
  </si>
  <si>
    <r>
      <t xml:space="preserve">г. Чита, мкр. Батарейный, д. 11</t>
    </r>
    <r>
      <rPr>
        <vertAlign val="superscript"/>
        <sz val="11"/>
        <rFont val="Times New Roman"/>
      </rPr>
      <t>(8)</t>
    </r>
  </si>
  <si>
    <r>
      <rPr>
        <sz val="11"/>
        <rFont val="Times New Roman"/>
      </rPr>
      <t xml:space="preserve">г. Чита, мкр. Батарейный, д. 5</t>
    </r>
    <r>
      <rPr>
        <vertAlign val="superscript"/>
        <sz val="11"/>
        <rFont val="Times New Roman"/>
      </rPr>
      <t>(2,6)</t>
    </r>
  </si>
  <si>
    <r>
      <t xml:space="preserve">г. Чита, мкр. Батарейный, д. 7</t>
    </r>
    <r>
      <rPr>
        <vertAlign val="superscript"/>
        <sz val="11"/>
        <rFont val="Times New Roman"/>
      </rPr>
      <t>(2,4)</t>
    </r>
  </si>
  <si>
    <r>
      <t xml:space="preserve">г. Чита, мкр. Гвардейский, д. 7</t>
    </r>
    <r>
      <rPr>
        <vertAlign val="superscript"/>
        <sz val="11"/>
        <rFont val="Times New Roman"/>
      </rPr>
      <t>(2)</t>
    </r>
  </si>
  <si>
    <r>
      <t xml:space="preserve">г. Чита, мкр. Геофизический, д. 5</t>
    </r>
    <r>
      <rPr>
        <vertAlign val="superscript"/>
        <sz val="11"/>
        <rFont val="Times New Roman"/>
      </rPr>
      <t>(1)</t>
    </r>
  </si>
  <si>
    <r>
      <t xml:space="preserve">г. Чита, мкр. Геофизический, д. 7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</si>
  <si>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г. Чита, мкр. Геофизический, д. 8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</si>
  <si>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г. Чита, мкр. Осетровка, д. 12</t>
    </r>
    <r>
      <rPr>
        <vertAlign val="superscript"/>
        <sz val="11"/>
        <rFont val="Times New Roman"/>
      </rPr>
      <t>(1,4)</t>
    </r>
  </si>
  <si>
    <r>
      <rPr>
        <sz val="11"/>
        <rFont val="Times New Roman"/>
      </rPr>
      <t xml:space="preserve">г. Чита, мкр. Осетровка, д. 19</t>
    </r>
    <r>
      <rPr>
        <vertAlign val="superscript"/>
        <sz val="11"/>
        <rFont val="Times New Roman"/>
      </rPr>
      <t>(1,4)</t>
    </r>
  </si>
  <si>
    <r>
      <t xml:space="preserve">г. Чита, мкр. Северный, д. 13</t>
    </r>
    <r>
      <rPr>
        <vertAlign val="superscript"/>
        <sz val="11"/>
        <rFont val="Times New Roman"/>
      </rPr>
      <t>(4)</t>
    </r>
  </si>
  <si>
    <r>
      <t xml:space="preserve">г. Чита, мкр. ТУСМ-4, д. 1</t>
    </r>
    <r>
      <rPr>
        <vertAlign val="superscript"/>
        <sz val="11"/>
        <rFont val="Times New Roman"/>
      </rPr>
      <t>(6)</t>
    </r>
  </si>
  <si>
    <r>
      <rPr>
        <sz val="11"/>
        <rFont val="Times New Roman"/>
      </rPr>
      <t xml:space="preserve">г. Чита, п. Ясный, д. 3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</si>
  <si>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п. Ясный, д. 4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</si>
  <si>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п. Ясный, д. 5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</si>
  <si>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п. Ясный, д. 6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</si>
  <si>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пер. Парковый, д. 18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</si>
  <si>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пер. Промышленный, д. 5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</si>
  <si>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пр-кт. Советов, д. 5</t>
    </r>
    <r>
      <rPr>
        <vertAlign val="superscript"/>
        <sz val="11"/>
        <rFont val="Times New Roman"/>
      </rPr>
      <t>(6)</t>
    </r>
  </si>
  <si>
    <r>
      <rPr>
        <sz val="11"/>
        <rFont val="Times New Roman"/>
      </rPr>
      <t xml:space="preserve">г. Чита, пр-кт. Фадеева, д. 24</t>
    </r>
    <r>
      <rPr>
        <vertAlign val="superscript"/>
        <sz val="11"/>
        <rFont val="Times New Roman"/>
      </rPr>
      <t>(7)</t>
    </r>
  </si>
  <si>
    <r>
      <t xml:space="preserve">г. Чита, тр-кт. Молоковский, д. 114</t>
    </r>
    <r>
      <rPr>
        <vertAlign val="superscript"/>
        <sz val="11"/>
        <rFont val="Times New Roman"/>
      </rPr>
      <t>(6)</t>
    </r>
  </si>
  <si>
    <r>
      <t xml:space="preserve">г. Чита, ул. 2-я Коммунальная, д. 39</t>
    </r>
    <r>
      <rPr>
        <vertAlign val="superscript"/>
        <sz val="11"/>
        <rFont val="Times New Roman"/>
      </rPr>
      <t>(2)</t>
    </r>
  </si>
  <si>
    <r>
      <t xml:space="preserve">г. Чита, ул. 2-я Малая, д. 10</t>
    </r>
    <r>
      <rPr>
        <vertAlign val="superscript"/>
        <sz val="11"/>
        <rFont val="Times New Roman"/>
      </rPr>
      <t>(1)</t>
    </r>
  </si>
  <si>
    <r>
      <t xml:space="preserve">г. Чита, ул. 5-я Малая, д. 1а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</si>
  <si>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5-я Малая, д. 1б</t>
    </r>
    <r>
      <rPr>
        <vertAlign val="superscript"/>
        <sz val="11"/>
        <rFont val="Times New Roman"/>
      </rPr>
      <t>(4)</t>
    </r>
  </si>
  <si>
    <r>
      <t xml:space="preserve">г. Чита, ул. 9 Января, д. 55</t>
    </r>
    <r>
      <rPr>
        <vertAlign val="superscript"/>
        <sz val="11"/>
        <rFont val="Times New Roman"/>
      </rPr>
      <t>(1)</t>
    </r>
  </si>
  <si>
    <r>
      <t xml:space="preserve">г. Чита, ул. Автозаводская, д. 7</t>
    </r>
    <r>
      <rPr>
        <vertAlign val="superscript"/>
        <sz val="11"/>
        <rFont val="Times New Roman"/>
      </rPr>
      <t>(6)</t>
    </r>
  </si>
  <si>
    <r>
      <t xml:space="preserve">г. Чита, ул. Александро-Заводская, д. 13</t>
    </r>
    <r>
      <rPr>
        <vertAlign val="superscript"/>
        <sz val="11"/>
        <rFont val="Times New Roman"/>
      </rPr>
      <t>(1)</t>
    </r>
  </si>
  <si>
    <r>
      <t xml:space="preserve">г. Чита, ул. Амурская, д. 82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</si>
  <si>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ул. Анохина, д. 3</t>
    </r>
    <r>
      <rPr>
        <vertAlign val="superscript"/>
        <sz val="11"/>
        <rFont val="Times New Roman"/>
      </rPr>
      <t>(1,6)</t>
    </r>
  </si>
  <si>
    <r>
      <rPr>
        <sz val="11"/>
        <rFont val="Times New Roman"/>
      </rPr>
      <t xml:space="preserve">г. Чита, ул. Анохина, д. 96</t>
    </r>
    <r>
      <rPr>
        <vertAlign val="superscript"/>
        <sz val="11"/>
        <rFont val="Times New Roman"/>
      </rPr>
      <t>(1/1)</t>
    </r>
  </si>
  <si>
    <r>
      <t xml:space="preserve">г. Чита, ул. Бабушкина, д. 11</t>
    </r>
    <r>
      <rPr>
        <vertAlign val="superscript"/>
        <sz val="11"/>
        <rFont val="Times New Roman"/>
      </rPr>
      <t>(4)</t>
    </r>
  </si>
  <si>
    <r>
      <t xml:space="preserve">г. Чита, ул. Бабушкина, д. 30</t>
    </r>
    <r>
      <rPr>
        <vertAlign val="superscript"/>
        <sz val="11"/>
        <rFont val="Times New Roman"/>
      </rPr>
      <t>(6)</t>
    </r>
  </si>
  <si>
    <r>
      <t xml:space="preserve">г. Чита, ул. Бабушкина, д. 32</t>
    </r>
    <r>
      <rPr>
        <vertAlign val="superscript"/>
        <sz val="11"/>
        <rFont val="Times New Roman"/>
      </rPr>
      <t>(</t>
    </r>
    <r>
      <rPr>
        <vertAlign val="superscript"/>
        <sz val="11"/>
        <rFont val="Times New Roman"/>
      </rPr>
      <t>2</t>
    </r>
    <r>
      <rPr>
        <vertAlign val="superscript"/>
        <sz val="11"/>
        <rFont val="Times New Roman"/>
      </rPr>
      <t>)</t>
    </r>
  </si>
  <si>
    <r>
      <t xml:space="preserve">г. Чита, ул. Бабушкина, д. 34</t>
    </r>
    <r>
      <rPr>
        <vertAlign val="superscript"/>
        <sz val="11"/>
        <rFont val="Times New Roman"/>
      </rPr>
      <t>(7)</t>
    </r>
  </si>
  <si>
    <r>
      <t xml:space="preserve">г. Чита, ул. Бабушкина, д. 36</t>
    </r>
    <r>
      <rPr>
        <vertAlign val="superscript"/>
        <sz val="11"/>
        <rFont val="Times New Roman"/>
      </rPr>
      <t>(8)</t>
    </r>
  </si>
  <si>
    <r>
      <t xml:space="preserve">г. Чита, ул. Бабушкина, д. 5</t>
    </r>
    <r>
      <rPr>
        <vertAlign val="superscript"/>
        <sz val="11"/>
        <rFont val="Times New Roman"/>
      </rPr>
      <t>(1,4)</t>
    </r>
  </si>
  <si>
    <r>
      <t xml:space="preserve">г. Чита, ул. Байкальская, д. 15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</si>
  <si>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ул. Балябина, д. 45</t>
    </r>
    <r>
      <rPr>
        <vertAlign val="superscript"/>
        <sz val="11"/>
        <rFont val="Times New Roman"/>
      </rPr>
      <t>(1)</t>
    </r>
  </si>
  <si>
    <r>
      <t xml:space="preserve">г. Чита, ул. Баргузинская, д. 12</t>
    </r>
    <r>
      <rPr>
        <vertAlign val="superscript"/>
        <sz val="11"/>
        <rFont val="Times New Roman"/>
      </rPr>
      <t>(1)</t>
    </r>
  </si>
  <si>
    <r>
      <t xml:space="preserve">г. Чита, ул. Бекетова, д. 46</t>
    </r>
    <r>
      <rPr>
        <vertAlign val="superscript"/>
        <sz val="11"/>
        <rFont val="Times New Roman"/>
      </rPr>
      <t>(4)</t>
    </r>
  </si>
  <si>
    <r>
      <t xml:space="preserve">г. Чита, ул. Белорусская, д. 11а</t>
    </r>
    <r>
      <rPr>
        <vertAlign val="superscript"/>
        <sz val="11"/>
        <rFont val="Times New Roman"/>
      </rPr>
      <t>(1,4)</t>
    </r>
  </si>
  <si>
    <r>
      <t xml:space="preserve">г. Чита, ул. Богдана Хмельницкого, д. 24 корп. 3</t>
    </r>
    <r>
      <rPr>
        <vertAlign val="superscript"/>
        <sz val="11"/>
        <rFont val="Times New Roman"/>
      </rPr>
      <t>(4)</t>
    </r>
  </si>
  <si>
    <r>
      <t xml:space="preserve">г. Чита, ул. Бутина, д. 101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</si>
  <si>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ул. Бутина, д. 73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</si>
  <si>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г. Чита, ул. Бутина, д. 82</t>
    </r>
    <r>
      <rPr>
        <vertAlign val="superscript"/>
        <sz val="11"/>
        <rFont val="Times New Roman"/>
      </rPr>
      <t>(1)</t>
    </r>
  </si>
  <si>
    <r>
      <t xml:space="preserve">г. Чита, ул. Весенняя, д. 40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</si>
  <si>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г. Чита, ул. Весенняя, д. 8</t>
    </r>
    <r>
      <rPr>
        <vertAlign val="superscript"/>
        <sz val="11"/>
        <rFont val="Times New Roman"/>
      </rPr>
      <t>(2)</t>
    </r>
  </si>
  <si>
    <r>
      <t xml:space="preserve">г. Чита, ул. Гагарина, д. 17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</si>
  <si>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г. Чита, ул. Гагарина, д. 5</t>
    </r>
    <r>
      <rPr>
        <vertAlign val="superscript"/>
        <sz val="11"/>
        <rFont val="Times New Roman"/>
      </rPr>
      <t>(2)</t>
    </r>
  </si>
  <si>
    <r>
      <t xml:space="preserve">г. Чита, ул. Горького, д. 38</t>
    </r>
    <r>
      <rPr>
        <vertAlign val="superscript"/>
        <sz val="11"/>
        <rFont val="Times New Roman"/>
      </rPr>
      <t>(6)</t>
    </r>
  </si>
  <si>
    <r>
      <t xml:space="preserve">г. Чита, ул. Дивизионная, д. 4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</si>
  <si>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г. Чита, ул. Дивизионная, д. 8а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</si>
  <si>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Евгения Гаюсана, д. 28</t>
    </r>
    <r>
      <rPr>
        <vertAlign val="superscript"/>
        <sz val="11"/>
        <rFont val="Times New Roman"/>
      </rPr>
      <t>(4)</t>
    </r>
  </si>
  <si>
    <r>
      <t xml:space="preserve">г. Чита, ул. Евгения Гаюсана, д. 30</t>
    </r>
    <r>
      <rPr>
        <vertAlign val="superscript"/>
        <sz val="11"/>
        <rFont val="Times New Roman"/>
      </rPr>
      <t>(1)</t>
    </r>
  </si>
  <si>
    <r>
      <t xml:space="preserve">г. Чита, ул. Железобетонная, д 16</t>
    </r>
    <r>
      <rPr>
        <vertAlign val="superscript"/>
        <sz val="11"/>
        <rFont val="Times New Roman"/>
      </rPr>
      <t>(4)</t>
    </r>
  </si>
  <si>
    <r>
      <t xml:space="preserve">г. Чита, ул. Журавлева, д. 112</t>
    </r>
    <r>
      <rPr>
        <vertAlign val="superscript"/>
        <sz val="11"/>
        <rFont val="Times New Roman"/>
      </rPr>
      <t>(1)</t>
    </r>
  </si>
  <si>
    <r>
      <t xml:space="preserve">г. Чита, ул. Забайкальская, д. 10</t>
    </r>
    <r>
      <rPr>
        <vertAlign val="superscript"/>
        <sz val="11"/>
        <rFont val="Times New Roman"/>
      </rPr>
      <t>(1)</t>
    </r>
  </si>
  <si>
    <r>
      <t xml:space="preserve">г. Чита, ул. Забайкальская, д. 5</t>
    </r>
    <r>
      <rPr>
        <vertAlign val="superscript"/>
        <sz val="11"/>
        <rFont val="Times New Roman"/>
      </rPr>
      <t>(4)</t>
    </r>
  </si>
  <si>
    <r>
      <t xml:space="preserve">г. Чита, ул. Забайкальского Рабочего, д. 38</t>
    </r>
    <r>
      <rPr>
        <vertAlign val="superscript"/>
        <sz val="11"/>
        <rFont val="Times New Roman"/>
      </rPr>
      <t>(7)</t>
    </r>
  </si>
  <si>
    <r>
      <t xml:space="preserve">г. Чита, ул. Забайкальского Рабочего, д. 4</t>
    </r>
    <r>
      <rPr>
        <vertAlign val="superscript"/>
        <sz val="11"/>
        <rFont val="Times New Roman"/>
      </rPr>
      <t>(6)</t>
    </r>
  </si>
  <si>
    <r>
      <rPr>
        <sz val="11"/>
        <rFont val="Times New Roman"/>
      </rPr>
      <t xml:space="preserve">г. Чита, ул. Кайдаловская, д. 10</t>
    </r>
    <r>
      <rPr>
        <vertAlign val="superscript"/>
        <sz val="11"/>
        <rFont val="Times New Roman"/>
      </rPr>
      <t>(2)</t>
    </r>
  </si>
  <si>
    <r>
      <t xml:space="preserve">г. Чита, ул. Кайдаловская, д. 19</t>
    </r>
    <r>
      <rPr>
        <vertAlign val="superscript"/>
        <sz val="11"/>
        <rFont val="Times New Roman"/>
      </rPr>
      <t>(1,6)</t>
    </r>
  </si>
  <si>
    <r>
      <t xml:space="preserve">г. Чита, ул. Калангуйская, д. 38 а</t>
    </r>
    <r>
      <rPr>
        <vertAlign val="superscript"/>
        <sz val="11"/>
        <rFont val="Times New Roman"/>
      </rPr>
      <t>(6)</t>
    </r>
  </si>
  <si>
    <r>
      <t xml:space="preserve">г. Чита, ул. Каларская, д. 4</t>
    </r>
    <r>
      <rPr>
        <vertAlign val="superscript"/>
        <sz val="11"/>
        <rFont val="Times New Roman"/>
      </rPr>
      <t>(4)</t>
    </r>
  </si>
  <si>
    <r>
      <t xml:space="preserve">г. Чита, ул. Карла Маркса, д. 14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</si>
  <si>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ул. Кирова, д. 2а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</si>
  <si>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Ковыльная, д. 22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</si>
  <si>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г. Чита, ул. Космонавтов, д. 12</t>
    </r>
    <r>
      <rPr>
        <vertAlign val="superscript"/>
        <sz val="11"/>
        <rFont val="Times New Roman"/>
      </rPr>
      <t>(7)</t>
    </r>
  </si>
  <si>
    <r>
      <t xml:space="preserve">г. Чита, ул. Космонавтов, д. 6</t>
    </r>
    <r>
      <rPr>
        <vertAlign val="superscript"/>
        <sz val="11"/>
        <rFont val="Times New Roman"/>
      </rPr>
      <t>(1)</t>
    </r>
  </si>
  <si>
    <r>
      <t xml:space="preserve">г. Чита, ул. Красноармейская, д. 68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</si>
  <si>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Красной Звезды, д. 12</t>
    </r>
    <r>
      <rPr>
        <vertAlign val="superscript"/>
        <sz val="11"/>
        <rFont val="Times New Roman"/>
      </rPr>
      <t>(8)</t>
    </r>
  </si>
  <si>
    <r>
      <t xml:space="preserve">г. Чита, ул. Красноярская, д. 11</t>
    </r>
    <r>
      <rPr>
        <vertAlign val="superscript"/>
        <sz val="11"/>
        <rFont val="Times New Roman"/>
      </rPr>
      <t>(1)</t>
    </r>
  </si>
  <si>
    <r>
      <t xml:space="preserve">г. Чита, ул. Красноярская, д. 24</t>
    </r>
    <r>
      <rPr>
        <vertAlign val="superscript"/>
        <sz val="11"/>
        <rFont val="Times New Roman"/>
      </rPr>
      <t>(1,4)</t>
    </r>
  </si>
  <si>
    <r>
      <rPr>
        <sz val="11"/>
        <rFont val="Times New Roman"/>
      </rPr>
      <t xml:space="preserve">г. Чита, ул. Красноярская, д. 32</t>
    </r>
    <r>
      <rPr>
        <vertAlign val="superscript"/>
        <sz val="11"/>
        <rFont val="Times New Roman"/>
      </rPr>
      <t>(1,2)</t>
    </r>
  </si>
  <si>
    <r>
      <t xml:space="preserve">г. Чита, ул. Крымская, д. 21</t>
    </r>
    <r>
      <rPr>
        <vertAlign val="superscript"/>
        <sz val="11"/>
        <rFont val="Times New Roman"/>
      </rPr>
      <t>(8)</t>
    </r>
  </si>
  <si>
    <r>
      <t xml:space="preserve">г. Чита, ул. Курнатовского, д. 76</t>
    </r>
    <r>
      <rPr>
        <vertAlign val="superscript"/>
        <sz val="11"/>
        <rFont val="Times New Roman"/>
      </rPr>
      <t>(1)</t>
    </r>
  </si>
  <si>
    <r>
      <t xml:space="preserve">г. Чита, ул. Лазо, д. 36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</si>
  <si>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ул. Ленина, д. 54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</si>
  <si>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г. Чита, ул. Ленина, д. 56</t>
    </r>
    <r>
      <rPr>
        <vertAlign val="superscript"/>
        <sz val="11"/>
        <rFont val="Times New Roman"/>
      </rPr>
      <t>(1,2)</t>
    </r>
  </si>
  <si>
    <r>
      <rPr>
        <sz val="11"/>
        <rFont val="Times New Roman"/>
      </rPr>
      <t xml:space="preserve">г. Чита, ул. Ленина, д. 58</t>
    </r>
    <r>
      <rPr>
        <vertAlign val="superscript"/>
        <sz val="11"/>
        <rFont val="Times New Roman"/>
      </rPr>
      <t>(1,2)</t>
    </r>
  </si>
  <si>
    <r>
      <rPr>
        <sz val="11"/>
        <rFont val="Times New Roman"/>
      </rPr>
      <t xml:space="preserve">г. Чита, ул. Ленина, д. 97</t>
    </r>
    <r>
      <rPr>
        <vertAlign val="superscript"/>
        <sz val="11"/>
        <rFont val="Times New Roman"/>
      </rPr>
      <t>(1,2)</t>
    </r>
  </si>
  <si>
    <r>
      <rPr>
        <sz val="11"/>
        <rFont val="Times New Roman"/>
      </rPr>
      <t xml:space="preserve">г. Чита, ул. Ленинградская, д. 77б</t>
    </r>
    <r>
      <rPr>
        <vertAlign val="superscript"/>
        <sz val="11"/>
        <rFont val="Times New Roman"/>
      </rPr>
      <t>(6)</t>
    </r>
  </si>
  <si>
    <r>
      <t xml:space="preserve">г. Чита, ул. Лермонтова, д. 9</t>
    </r>
    <r>
      <rPr>
        <vertAlign val="superscript"/>
        <sz val="11"/>
        <rFont val="Times New Roman"/>
      </rPr>
      <t>(4)</t>
    </r>
  </si>
  <si>
    <r>
      <t xml:space="preserve">г. Чита, ул. Магистральная, д. 13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</si>
  <si>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Малая, д. 2б</t>
    </r>
    <r>
      <rPr>
        <vertAlign val="superscript"/>
        <sz val="11"/>
        <rFont val="Times New Roman"/>
      </rPr>
      <t>(8)</t>
    </r>
  </si>
  <si>
    <r>
      <t xml:space="preserve">г. Чита, ул. Набережная, д. 46</t>
    </r>
    <r>
      <rPr>
        <vertAlign val="superscript"/>
        <sz val="11"/>
        <rFont val="Times New Roman"/>
      </rPr>
      <t>(1)</t>
    </r>
  </si>
  <si>
    <r>
      <t xml:space="preserve">г. Чита, ул. Набережная, д. 64</t>
    </r>
    <r>
      <rPr>
        <vertAlign val="superscript"/>
        <sz val="11"/>
        <rFont val="Times New Roman"/>
      </rPr>
      <t>(4)</t>
    </r>
  </si>
  <si>
    <r>
      <t xml:space="preserve">г. Чита, ул. Набережная, д. 66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</si>
  <si>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Нагорная, д. 26</t>
    </r>
    <r>
      <rPr>
        <vertAlign val="superscript"/>
        <sz val="11"/>
        <rFont val="Times New Roman"/>
      </rPr>
      <t>(7)</t>
    </r>
  </si>
  <si>
    <r>
      <t xml:space="preserve">г. Чита, ул. Назара Губина, д. 33</t>
    </r>
    <r>
      <rPr>
        <vertAlign val="superscript"/>
        <sz val="11"/>
        <rFont val="Times New Roman"/>
      </rPr>
      <t>(4)</t>
    </r>
  </si>
  <si>
    <r>
      <t xml:space="preserve">г. Чита, ул. Недорезова, д. 28</t>
    </r>
    <r>
      <rPr>
        <vertAlign val="superscript"/>
        <sz val="11"/>
        <rFont val="Times New Roman"/>
      </rPr>
      <t>(1)</t>
    </r>
  </si>
  <si>
    <r>
      <t xml:space="preserve">г. Чита, ул. Николая Островского, д. 28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</si>
  <si>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Новобульварная, д. 129</t>
    </r>
    <r>
      <rPr>
        <vertAlign val="superscript"/>
        <sz val="11"/>
        <rFont val="Times New Roman"/>
      </rPr>
      <t>(2)</t>
    </r>
  </si>
  <si>
    <r>
      <t xml:space="preserve">г. Чита, ул. Онискевича, д. 14</t>
    </r>
    <r>
      <rPr>
        <vertAlign val="superscript"/>
        <sz val="11"/>
        <rFont val="Times New Roman"/>
      </rPr>
      <t>(1)</t>
    </r>
  </si>
  <si>
    <r>
      <t xml:space="preserve">г. Чита, ул. Офицерская, д. 22</t>
    </r>
    <r>
      <rPr>
        <vertAlign val="superscript"/>
        <sz val="11"/>
        <rFont val="Times New Roman"/>
      </rPr>
      <t>(1)</t>
    </r>
  </si>
  <si>
    <r>
      <t xml:space="preserve">г. Чита, ул. Петровско-Заводская, д. 31</t>
    </r>
    <r>
      <rPr>
        <vertAlign val="superscript"/>
        <sz val="11"/>
        <rFont val="Times New Roman"/>
      </rPr>
      <t>(1)</t>
    </r>
  </si>
  <si>
    <r>
      <t xml:space="preserve">г. Чита, ул. Печорская, д. 1</t>
    </r>
    <r>
      <rPr>
        <vertAlign val="superscript"/>
        <sz val="11"/>
        <rFont val="Times New Roman"/>
      </rPr>
      <t>(6)</t>
    </r>
  </si>
  <si>
    <r>
      <t xml:space="preserve">г. Чита, ул. Подгорбунского, д. 1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</si>
  <si>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Подгорбунского, д. 84</t>
    </r>
    <r>
      <rPr>
        <vertAlign val="superscript"/>
        <sz val="11"/>
        <rFont val="Times New Roman"/>
      </rPr>
      <t>(1/1)</t>
    </r>
  </si>
  <si>
    <r>
      <t xml:space="preserve">г. Чита, ул. Подгорбунского, д. 9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</si>
  <si>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Чита, ул. Полины Осипенко, д. 38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</si>
  <si>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г. Чита, ул. Пригородная, д. 1б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</si>
  <si>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ул. Селенгинская, д. 13</t>
    </r>
    <r>
      <rPr>
        <vertAlign val="superscript"/>
        <sz val="11"/>
        <rFont val="Times New Roman"/>
      </rPr>
      <t>(2)</t>
    </r>
  </si>
  <si>
    <r>
      <t xml:space="preserve">г. Чита, ул. Селенгинская, д. 17</t>
    </r>
    <r>
      <rPr>
        <vertAlign val="superscript"/>
        <sz val="11"/>
        <rFont val="Times New Roman"/>
      </rPr>
      <t>(1)</t>
    </r>
  </si>
  <si>
    <r>
      <t xml:space="preserve">г. Чита, ул. Серова, д. 1</t>
    </r>
    <r>
      <rPr>
        <vertAlign val="superscript"/>
        <sz val="11"/>
        <rFont val="Times New Roman"/>
      </rPr>
      <t>(4)</t>
    </r>
  </si>
  <si>
    <r>
      <t xml:space="preserve">г. Чита, ул. Силикатная, д. 11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</si>
  <si>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ул. Советская, д. 25</t>
    </r>
    <r>
      <rPr>
        <vertAlign val="superscript"/>
        <sz val="11"/>
        <rFont val="Times New Roman"/>
      </rPr>
      <t>(1/1,8)</t>
    </r>
  </si>
  <si>
    <r>
      <t xml:space="preserve">г. Чита, ул. Столярова, д. 19</t>
    </r>
    <r>
      <rPr>
        <vertAlign val="superscript"/>
        <sz val="11"/>
        <rFont val="Times New Roman"/>
      </rPr>
      <t>(4)</t>
    </r>
  </si>
  <si>
    <r>
      <t xml:space="preserve">г. Чита, ул. Столярова, д. 42</t>
    </r>
    <r>
      <rPr>
        <vertAlign val="superscript"/>
        <sz val="11"/>
        <rFont val="Times New Roman"/>
      </rPr>
      <t>(6)</t>
    </r>
  </si>
  <si>
    <r>
      <rPr>
        <sz val="11"/>
        <rFont val="Times New Roman"/>
      </rPr>
      <t xml:space="preserve">г. Чита, ул. Строителей, д. 92</t>
    </r>
    <r>
      <rPr>
        <vertAlign val="superscript"/>
        <sz val="11"/>
        <rFont val="Times New Roman"/>
      </rPr>
      <t>(1)</t>
    </r>
  </si>
  <si>
    <r>
      <t xml:space="preserve">г. Чита, ул. Таежная, д. 20</t>
    </r>
    <r>
      <rPr>
        <vertAlign val="superscript"/>
        <sz val="11"/>
        <rFont val="Times New Roman"/>
      </rPr>
      <t>(1)</t>
    </r>
  </si>
  <si>
    <r>
      <t xml:space="preserve">г. Чита, ул. Текстильщиков, д. 12</t>
    </r>
    <r>
      <rPr>
        <vertAlign val="superscript"/>
        <sz val="11"/>
        <rFont val="Times New Roman"/>
      </rPr>
      <t>(7)</t>
    </r>
  </si>
  <si>
    <r>
      <t xml:space="preserve">г. Чита, ул. Токмакова, д. 18</t>
    </r>
    <r>
      <rPr>
        <vertAlign val="superscript"/>
        <sz val="11"/>
        <rFont val="Times New Roman"/>
      </rPr>
      <t>(1,6)</t>
    </r>
  </si>
  <si>
    <r>
      <t xml:space="preserve">г. Чита, ул. Токмакова, д. 20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</si>
  <si>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Токмакова, д. 23а</t>
    </r>
    <r>
      <rPr>
        <vertAlign val="superscript"/>
        <sz val="11"/>
        <rFont val="Times New Roman"/>
      </rPr>
      <t>(6,8)</t>
    </r>
  </si>
  <si>
    <r>
      <rPr>
        <sz val="11"/>
        <rFont val="Times New Roman"/>
      </rPr>
      <t xml:space="preserve">г. Чита, ул. Токмакова, д. 27а</t>
    </r>
    <r>
      <rPr>
        <vertAlign val="superscript"/>
        <sz val="11"/>
        <rFont val="Times New Roman"/>
      </rPr>
      <t>(4)</t>
    </r>
  </si>
  <si>
    <r>
      <t xml:space="preserve">г. Чита, ул. Токмакова, д. 31</t>
    </r>
    <r>
      <rPr>
        <vertAlign val="superscript"/>
        <sz val="11"/>
        <rFont val="Times New Roman"/>
      </rPr>
      <t>(1)</t>
    </r>
  </si>
  <si>
    <r>
      <t xml:space="preserve">г. Чита, ул. Угданская, д. 10</t>
    </r>
    <r>
      <rPr>
        <vertAlign val="superscript"/>
        <sz val="11"/>
        <rFont val="Times New Roman"/>
      </rPr>
      <t>(1)</t>
    </r>
  </si>
  <si>
    <r>
      <t xml:space="preserve">г. Чита, ул. Центральная, д. 16</t>
    </r>
    <r>
      <rPr>
        <vertAlign val="superscript"/>
        <sz val="11"/>
        <rFont val="Times New Roman"/>
      </rPr>
      <t>(8)</t>
    </r>
  </si>
  <si>
    <r>
      <rPr>
        <sz val="11"/>
        <rFont val="Times New Roman"/>
      </rPr>
      <t xml:space="preserve">г. Чита, ул. Чкалова, д. 6</t>
    </r>
    <r>
      <rPr>
        <vertAlign val="superscript"/>
        <sz val="11"/>
        <rFont val="Times New Roman"/>
      </rPr>
      <t>(2,4)</t>
    </r>
  </si>
  <si>
    <r>
      <t xml:space="preserve">г. Чита, ул. Шилова, д. 85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</si>
  <si>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ул. Юности, д. 25</t>
    </r>
    <r>
      <rPr>
        <vertAlign val="superscript"/>
        <sz val="11"/>
        <rFont val="Times New Roman"/>
      </rPr>
      <t>(2,4)</t>
    </r>
  </si>
  <si>
    <r>
      <rPr>
        <sz val="11"/>
        <rFont val="Times New Roman"/>
      </rPr>
      <t xml:space="preserve">г. Чита, ул. Юности, д. 8</t>
    </r>
    <r>
      <rPr>
        <vertAlign val="superscript"/>
        <sz val="11"/>
        <rFont val="Times New Roman"/>
      </rPr>
      <t>(2,4)</t>
    </r>
  </si>
  <si>
    <r>
      <t xml:space="preserve">пгт. Агинское, ул. Ленина, д. 42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</si>
  <si>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пгт. Новоорловск, д. 21 </t>
    </r>
    <r>
      <rPr>
        <vertAlign val="superscript"/>
        <sz val="11"/>
        <rFont val="Times New Roman"/>
      </rPr>
      <t>(2,6)</t>
    </r>
  </si>
  <si>
    <r>
      <rPr>
        <sz val="11"/>
        <rFont val="Times New Roman"/>
      </rPr>
      <t xml:space="preserve">пгт. Новоорловск, д. 22 </t>
    </r>
    <r>
      <rPr>
        <vertAlign val="superscript"/>
        <sz val="11"/>
        <rFont val="Times New Roman"/>
      </rPr>
      <t>(2,8)</t>
    </r>
  </si>
  <si>
    <r>
      <t xml:space="preserve">г. Балей, ул. Ленина, д. 23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</si>
  <si>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Балей, ул. Ленина, д. 27</t>
    </r>
    <r>
      <rPr>
        <vertAlign val="superscript"/>
        <sz val="11"/>
        <rFont val="Times New Roman"/>
      </rPr>
      <t>(1)</t>
    </r>
  </si>
  <si>
    <r>
      <t xml:space="preserve">г. Балей, ул. Ленина, д. 4</t>
    </r>
    <r>
      <rPr>
        <vertAlign val="superscript"/>
        <sz val="11"/>
        <rFont val="Times New Roman"/>
      </rPr>
      <t>(4)</t>
    </r>
  </si>
  <si>
    <r>
      <t xml:space="preserve">г. Балей, ул. Октябрьская, д. 113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</si>
  <si>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Балей, ул. Октябрьская, д. 98</t>
    </r>
    <r>
      <rPr>
        <vertAlign val="superscript"/>
        <sz val="11"/>
        <rFont val="Times New Roman"/>
      </rPr>
      <t>(4)</t>
    </r>
  </si>
  <si>
    <r>
      <t xml:space="preserve">г. Борзя, ул. Гурьева 79 квартал, д. 14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</si>
  <si>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Борзя, ул. Карла Маркса, д. 96</t>
    </r>
    <r>
      <rPr>
        <vertAlign val="superscript"/>
        <sz val="11"/>
        <rFont val="Times New Roman"/>
      </rPr>
      <t xml:space="preserve">(8 со стояками)</t>
    </r>
  </si>
  <si>
    <r>
      <t xml:space="preserve">г. Борзя, ул. Лазо, д. 63</t>
    </r>
    <r>
      <rPr>
        <vertAlign val="superscript"/>
        <sz val="11"/>
        <rFont val="Times New Roman"/>
      </rPr>
      <t>(1)</t>
    </r>
  </si>
  <si>
    <r>
      <t xml:space="preserve">г. Борзя, ул. Ленина, д. 2</t>
    </r>
    <r>
      <rPr>
        <vertAlign val="superscript"/>
        <sz val="11"/>
        <rFont val="Times New Roman"/>
      </rPr>
      <t>(4)</t>
    </r>
  </si>
  <si>
    <t xml:space="preserve">г. Борзя, ул. Матросова, д. 24а </t>
  </si>
  <si>
    <r>
      <t xml:space="preserve">г. Борзя, ул. Савватеевская, д. 15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</si>
  <si>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пгт. Шерловая Гора, мкр. 2-й, д. 11</t>
    </r>
    <r>
      <rPr>
        <vertAlign val="superscript"/>
        <sz val="11"/>
        <rFont val="Times New Roman"/>
      </rPr>
      <t>(1,4)</t>
    </r>
  </si>
  <si>
    <r>
      <rPr>
        <sz val="11"/>
        <rFont val="Times New Roman"/>
      </rPr>
      <t xml:space="preserve">пгт. Шерловая Гора, ул. Шахтерская, д. 3</t>
    </r>
    <r>
      <rPr>
        <vertAlign val="superscript"/>
        <sz val="11"/>
        <rFont val="Times New Roman"/>
      </rPr>
      <t>(6)</t>
    </r>
  </si>
  <si>
    <r>
      <rPr>
        <sz val="11"/>
        <rFont val="Times New Roman"/>
      </rPr>
      <t xml:space="preserve">нп. Рудник Солонечный, ул. Мира, д. 34</t>
    </r>
    <r>
      <rPr>
        <vertAlign val="superscript"/>
        <sz val="11"/>
        <rFont val="Times New Roman"/>
      </rPr>
      <t>(4)</t>
    </r>
  </si>
  <si>
    <r>
      <t xml:space="preserve">пгт. Забайкальск, ул. Комсомольская, д. 1</t>
    </r>
    <r>
      <rPr>
        <vertAlign val="superscript"/>
        <sz val="11"/>
        <rFont val="Times New Roman"/>
      </rPr>
      <t>(6)</t>
    </r>
  </si>
  <si>
    <r>
      <rPr>
        <sz val="11"/>
        <rFont val="Times New Roman"/>
      </rPr>
      <t xml:space="preserve">пгт. Забайкальск, ул. Комсомольская, д. 21</t>
    </r>
    <r>
      <rPr>
        <vertAlign val="superscript"/>
        <sz val="11"/>
        <rFont val="Times New Roman"/>
      </rPr>
      <t>(4)</t>
    </r>
  </si>
  <si>
    <r>
      <t xml:space="preserve">пгт. Забайкальск, ул. Комсомольская, д. 36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</si>
  <si>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пгт. Забайкальск, ул. Нагорная, д. 7</t>
    </r>
    <r>
      <rPr>
        <vertAlign val="superscript"/>
        <sz val="11"/>
        <rFont val="Times New Roman"/>
      </rPr>
      <t>(4,9)</t>
    </r>
  </si>
  <si>
    <r>
      <rPr>
        <sz val="11"/>
        <rFont val="Times New Roman"/>
      </rPr>
      <t xml:space="preserve">пгт. Забайкальск, ул. Пограничная, д. 24а</t>
    </r>
    <r>
      <rPr>
        <vertAlign val="superscript"/>
        <sz val="11"/>
        <rFont val="Times New Roman"/>
      </rPr>
      <t>(4)</t>
    </r>
  </si>
  <si>
    <r>
      <t xml:space="preserve">пгт. Новая Чара, ул. Магистральная, д. 28</t>
    </r>
    <r>
      <rPr>
        <vertAlign val="superscript"/>
        <sz val="11"/>
        <rFont val="Times New Roman"/>
      </rPr>
      <t>(2)</t>
    </r>
  </si>
  <si>
    <r>
      <t xml:space="preserve">п/ст Куанда, ул. Энтузиастов, д. 10</t>
    </r>
    <r>
      <rPr>
        <vertAlign val="superscript"/>
        <sz val="11"/>
        <rFont val="Times New Roman"/>
      </rPr>
      <t>(6)</t>
    </r>
  </si>
  <si>
    <r>
      <t xml:space="preserve">пгт. Дарасун, ул. Калинина, д. 12</t>
    </r>
    <r>
      <rPr>
        <vertAlign val="superscript"/>
        <sz val="11"/>
        <rFont val="Times New Roman"/>
      </rPr>
      <t>(2)</t>
    </r>
  </si>
  <si>
    <t xml:space="preserve"> пгт. Дарасун, ул. Калинина, д. 14</t>
  </si>
  <si>
    <r>
      <rPr>
        <sz val="11"/>
        <rFont val="Times New Roman"/>
      </rPr>
      <t xml:space="preserve">пгт. Дарасун, ул. Калинина, д. 8</t>
    </r>
    <r>
      <rPr>
        <vertAlign val="superscript"/>
        <sz val="11"/>
        <rFont val="Times New Roman"/>
      </rPr>
      <t>(2)</t>
    </r>
  </si>
  <si>
    <t xml:space="preserve">пгт. Дарасун, ул. Сосновая, д. 1</t>
  </si>
  <si>
    <r>
      <t xml:space="preserve">пгт. Дарасун, ул. Сосняк, д. 1</t>
    </r>
    <r>
      <rPr>
        <vertAlign val="superscript"/>
        <sz val="11"/>
        <rFont val="Times New Roman"/>
      </rPr>
      <t>(8)</t>
    </r>
  </si>
  <si>
    <r>
      <t xml:space="preserve">пгт. Карымское, пер. Дивизионный, д. 2</t>
    </r>
    <r>
      <rPr>
        <vertAlign val="superscript"/>
        <sz val="11"/>
        <rFont val="Times New Roman"/>
      </rPr>
      <t>(8)</t>
    </r>
  </si>
  <si>
    <t xml:space="preserve">пгт. Карымское, ул. Братьев Васильевых, 17</t>
  </si>
  <si>
    <r>
      <t xml:space="preserve">пгт. Карымское, ул. Братьев Васильевых, д. 21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</si>
  <si>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пгт. Карымское, ул. Ленинградская, д. 14</t>
    </r>
    <r>
      <rPr>
        <vertAlign val="superscript"/>
        <sz val="11"/>
        <rFont val="Times New Roman"/>
      </rPr>
      <t>(4)</t>
    </r>
  </si>
  <si>
    <r>
      <t xml:space="preserve">пгт. Карымское, ул. Ленинградская, д. 15</t>
    </r>
    <r>
      <rPr>
        <vertAlign val="superscript"/>
        <sz val="11"/>
        <rFont val="Times New Roman"/>
      </rPr>
      <t>(4)</t>
    </r>
  </si>
  <si>
    <r>
      <t xml:space="preserve">пгт. Карымское, ул. Ленинградская, д. 16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</si>
  <si>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пгт. Карымское, ул. Ленинградская, д. 24</t>
    </r>
    <r>
      <rPr>
        <vertAlign val="superscript"/>
        <sz val="11"/>
        <rFont val="Times New Roman"/>
      </rPr>
      <t>(1)</t>
    </r>
  </si>
  <si>
    <r>
      <t xml:space="preserve">пгт. Карымское, ул. Ленинградская, д. 32</t>
    </r>
    <r>
      <rPr>
        <vertAlign val="superscript"/>
        <sz val="11"/>
        <rFont val="Times New Roman"/>
      </rPr>
      <t>(1)</t>
    </r>
  </si>
  <si>
    <r>
      <t xml:space="preserve">пгт. Карымское, ул. Ленинградская, д. 52</t>
    </r>
    <r>
      <rPr>
        <vertAlign val="superscript"/>
        <sz val="11"/>
        <rFont val="Times New Roman"/>
      </rPr>
      <t>(1,4)</t>
    </r>
  </si>
  <si>
    <t xml:space="preserve">г. Краснокаменск, мкр. 4-й, д. 404</t>
  </si>
  <si>
    <r>
      <rPr>
        <sz val="11"/>
        <rFont val="Times New Roman"/>
      </rPr>
      <t xml:space="preserve">с. Бильчиртуй, ул. ДОС, д. 175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</si>
  <si>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с. Бильчиртуй, ул. ДОС, д. 198</t>
    </r>
    <r>
      <rPr>
        <vertAlign val="superscript"/>
        <sz val="11"/>
        <rFont val="Times New Roman"/>
      </rPr>
      <t xml:space="preserve">(1/1, 6)</t>
    </r>
  </si>
  <si>
    <r>
      <rPr>
        <sz val="11"/>
        <rFont val="Times New Roman"/>
      </rPr>
      <t xml:space="preserve">с. Бильчиртуй, ул. ДОС, д. 217</t>
    </r>
    <r>
      <rPr>
        <vertAlign val="superscript"/>
        <sz val="11"/>
        <rFont val="Times New Roman"/>
      </rPr>
      <t xml:space="preserve">(1/1, 6)</t>
    </r>
  </si>
  <si>
    <r>
      <rPr>
        <sz val="11"/>
        <rFont val="Times New Roman"/>
      </rPr>
      <t xml:space="preserve">с. Цугол, ул. Школьная, д. 311</t>
    </r>
    <r>
      <rPr>
        <vertAlign val="superscript"/>
        <sz val="11"/>
        <rFont val="Times New Roman"/>
      </rPr>
      <t>(1/1,6)</t>
    </r>
  </si>
  <si>
    <r>
      <rPr>
        <sz val="11"/>
        <rFont val="Times New Roman"/>
      </rPr>
      <t xml:space="preserve">с. Цугол, ул. Школьная, д. 312</t>
    </r>
    <r>
      <rPr>
        <vertAlign val="superscript"/>
        <sz val="11"/>
        <rFont val="Times New Roman"/>
      </rPr>
      <t>(1/1,6)</t>
    </r>
  </si>
  <si>
    <r>
      <t xml:space="preserve">г. Могоча, ул. Аникинская, д. 3</t>
    </r>
    <r>
      <rPr>
        <vertAlign val="superscript"/>
        <sz val="11"/>
        <rFont val="Times New Roman"/>
      </rPr>
      <t>(1)</t>
    </r>
  </si>
  <si>
    <r>
      <t xml:space="preserve">г. Могоча, ул. Аникинская, д. 9</t>
    </r>
    <r>
      <rPr>
        <vertAlign val="superscript"/>
        <sz val="11"/>
        <rFont val="Times New Roman"/>
      </rPr>
      <t>(2/2)</t>
    </r>
  </si>
  <si>
    <r>
      <rPr>
        <sz val="11"/>
        <rFont val="Times New Roman"/>
      </rPr>
      <t xml:space="preserve">г. Могоча, ул. Березовая, д. 16</t>
    </r>
    <r>
      <rPr>
        <vertAlign val="superscript"/>
        <sz val="11"/>
        <rFont val="Times New Roman"/>
      </rPr>
      <t>(2)</t>
    </r>
  </si>
  <si>
    <r>
      <t xml:space="preserve">г. Могоча, ул. Высотная, д. 18</t>
    </r>
    <r>
      <rPr>
        <vertAlign val="superscript"/>
        <sz val="11"/>
        <rFont val="Times New Roman"/>
      </rPr>
      <t>(2/2)</t>
    </r>
  </si>
  <si>
    <r>
      <rPr>
        <sz val="11"/>
        <rFont val="Times New Roman"/>
      </rPr>
      <t xml:space="preserve">г. Могоча, ул. Интернациональная, д. 28а</t>
    </r>
    <r>
      <rPr>
        <vertAlign val="superscript"/>
        <sz val="11"/>
        <rFont val="Times New Roman"/>
      </rPr>
      <t>(1,2/2,4)</t>
    </r>
  </si>
  <si>
    <r>
      <t xml:space="preserve">г. Могоча, ул. Клубная, д. 3</t>
    </r>
    <r>
      <rPr>
        <vertAlign val="superscript"/>
        <sz val="11"/>
        <rFont val="Times New Roman"/>
      </rPr>
      <t>(1)</t>
    </r>
  </si>
  <si>
    <r>
      <t xml:space="preserve">г. Могоча, ул. Комсомольская, д. 9</t>
    </r>
    <r>
      <rPr>
        <vertAlign val="superscript"/>
        <sz val="11"/>
        <rFont val="Times New Roman"/>
      </rPr>
      <t>(2)</t>
    </r>
  </si>
  <si>
    <r>
      <t xml:space="preserve">г. Могоча, ул. Садовая, д. 16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</si>
  <si>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Нерчинск, ул. Декабристов, д. 7</t>
    </r>
    <r>
      <rPr>
        <vertAlign val="superscript"/>
        <sz val="11"/>
        <rFont val="Times New Roman"/>
      </rPr>
      <t>(5)</t>
    </r>
  </si>
  <si>
    <r>
      <rPr>
        <sz val="11"/>
        <rFont val="Times New Roman"/>
      </rPr>
      <t xml:space="preserve">г. Нерчинск, ул. Красноармейская, д. 84</t>
    </r>
    <r>
      <rPr>
        <vertAlign val="superscript"/>
        <sz val="11"/>
        <rFont val="Times New Roman"/>
      </rPr>
      <t>(1/1)</t>
    </r>
  </si>
  <si>
    <r>
      <t xml:space="preserve">г. Нерчинск, ул. Красноармейская, д. 88</t>
    </r>
    <r>
      <rPr>
        <vertAlign val="superscript"/>
        <sz val="11"/>
        <rFont val="Times New Roman"/>
      </rPr>
      <t>(8)</t>
    </r>
  </si>
  <si>
    <t xml:space="preserve">пгт. Оловянная, ул. Московская, д. 75 </t>
  </si>
  <si>
    <r>
      <rPr>
        <sz val="11"/>
        <rFont val="Times New Roman"/>
      </rPr>
      <t xml:space="preserve">пгт. Ясногорск, мкр. Луговой, д. 9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</si>
  <si>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Ясногорск, мкр. Советский, д. 2</t>
    </r>
    <r>
      <rPr>
        <vertAlign val="superscript"/>
        <sz val="11"/>
        <rFont val="Times New Roman"/>
      </rPr>
      <t>(8)</t>
    </r>
  </si>
  <si>
    <r>
      <rPr>
        <sz val="11"/>
        <rFont val="Times New Roman"/>
      </rPr>
      <t xml:space="preserve">пгт. Ясногорск, мкр. Советский, д. 3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</si>
  <si>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пгт. Ясногорск, мкр. Степной, д. 1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</si>
  <si>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Ясногорск, ул. Молодежная, д. 4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</si>
  <si>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пгт. Ясногорск, ул. Молодежная, д. 5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</si>
  <si>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п/ст. Ясная, ул. Ленина, д. 20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</si>
  <si>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п/ст. Ясная, ул. Мира, д. 12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</si>
  <si>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п/ст. Ясная, ул. Мира, д. 16</t>
    </r>
    <r>
      <rPr>
        <vertAlign val="superscript"/>
        <sz val="11"/>
        <rFont val="Times New Roman"/>
      </rPr>
      <t>(1/1)</t>
    </r>
  </si>
  <si>
    <r>
      <t xml:space="preserve">пгт. Приаргунск, мкр. 2-й, д. 3</t>
    </r>
    <r>
      <rPr>
        <vertAlign val="superscript"/>
        <sz val="11"/>
        <rFont val="Times New Roman"/>
      </rPr>
      <t>(6)</t>
    </r>
  </si>
  <si>
    <r>
      <t xml:space="preserve">пгт. Приаргунск, мкр. МЖК, д. 1</t>
    </r>
    <r>
      <rPr>
        <vertAlign val="superscript"/>
        <sz val="11"/>
        <rFont val="Times New Roman"/>
      </rPr>
      <t>(6)</t>
    </r>
  </si>
  <si>
    <r>
      <rPr>
        <sz val="11"/>
        <rFont val="Times New Roman"/>
      </rPr>
      <t xml:space="preserve">пгт. Приаргунск, мкр. МЖК, д. 2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</si>
  <si>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Приаргунск, ул. Воинов Интернационалистов, д. 1</t>
    </r>
    <r>
      <rPr>
        <vertAlign val="superscript"/>
        <sz val="11"/>
        <rFont val="Times New Roman"/>
      </rPr>
      <t>(1)</t>
    </r>
  </si>
  <si>
    <r>
      <t xml:space="preserve">пгт. Приаргунск, ул. Октябрьская, д. 5</t>
    </r>
    <r>
      <rPr>
        <vertAlign val="superscript"/>
        <sz val="11"/>
        <rFont val="Times New Roman"/>
      </rPr>
      <t>(6)</t>
    </r>
  </si>
  <si>
    <r>
      <rPr>
        <sz val="11"/>
        <rFont val="Times New Roman"/>
      </rPr>
      <t xml:space="preserve">пгт. Кокуй, ул. Заводская, д. 27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</si>
  <si>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с. Дунаево, ул. Нагорная, д. 8</t>
    </r>
    <r>
      <rPr>
        <vertAlign val="superscript"/>
        <sz val="11"/>
        <rFont val="Times New Roman"/>
      </rPr>
      <t>/(4)</t>
    </r>
  </si>
  <si>
    <r>
      <t xml:space="preserve">пгт. Вершино-Дарасунский, ул. Лесная, д. 28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</si>
  <si>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Дровяная, мкр. 1-й, д. 1</t>
    </r>
    <r>
      <rPr>
        <vertAlign val="superscript"/>
        <sz val="11"/>
        <rFont val="Times New Roman"/>
      </rPr>
      <t>(1,4)</t>
    </r>
  </si>
  <si>
    <r>
      <rPr>
        <sz val="11"/>
        <rFont val="Times New Roman"/>
      </rPr>
      <t xml:space="preserve">п/ст. Жипхеген, ул. Таежная, д. 11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</si>
  <si>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Чернышевск, ул. Журавлева, д. 61</t>
    </r>
    <r>
      <rPr>
        <vertAlign val="superscript"/>
        <sz val="11"/>
        <rFont val="Times New Roman"/>
      </rPr>
      <t>(1)</t>
    </r>
  </si>
  <si>
    <t xml:space="preserve">пгт. Чернышевск, ул. Северная, д. 2 д</t>
  </si>
  <si>
    <r>
      <rPr>
        <sz val="11"/>
        <rFont val="Times New Roman"/>
      </rPr>
      <t xml:space="preserve">пгт. Атамановка, ул. Гагарина, д. 10</t>
    </r>
    <r>
      <rPr>
        <vertAlign val="superscript"/>
        <sz val="11"/>
        <rFont val="Times New Roman"/>
      </rPr>
      <t>(1/1)</t>
    </r>
  </si>
  <si>
    <t xml:space="preserve">пгт. Атамановка, ул. Гагарина, д. 16</t>
  </si>
  <si>
    <r>
      <rPr>
        <sz val="11"/>
        <rFont val="Times New Roman"/>
      </rPr>
      <t xml:space="preserve">пгт. Атамановка, ул. Матюгина, д. 129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</si>
  <si>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пгт. Атамановка, ул. Матюгина, д. 158б</t>
    </r>
    <r>
      <rPr>
        <vertAlign val="superscript"/>
        <sz val="11"/>
        <rFont val="Times New Roman"/>
      </rPr>
      <t xml:space="preserve">(1/1, 2)</t>
    </r>
  </si>
  <si>
    <r>
      <t xml:space="preserve">пгт. Атамановка, ул. Новая, д. 7</t>
    </r>
    <r>
      <rPr>
        <vertAlign val="superscript"/>
        <sz val="11"/>
        <rFont val="Times New Roman"/>
      </rPr>
      <t>(1)</t>
    </r>
  </si>
  <si>
    <r>
      <t xml:space="preserve">пгт. Новокручининский, ул. Площадка-2, д. 4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</si>
  <si>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Новокручининский, ул. Российская, д. 3</t>
    </r>
    <r>
      <rPr>
        <vertAlign val="superscript"/>
        <sz val="11"/>
        <rFont val="Times New Roman"/>
      </rPr>
      <t>(2,4)</t>
    </r>
  </si>
  <si>
    <r>
      <rPr>
        <sz val="11"/>
        <rFont val="Times New Roman"/>
      </rPr>
      <t xml:space="preserve">с. Засопка, ул. Пионерская, д. 5</t>
    </r>
    <r>
      <rPr>
        <vertAlign val="superscript"/>
        <sz val="11"/>
        <rFont val="Times New Roman"/>
      </rPr>
      <t>(1,4)</t>
    </r>
  </si>
  <si>
    <t xml:space="preserve">Итого по муниципальному району "Шилкинский район":</t>
  </si>
  <si>
    <t>0,00</t>
  </si>
  <si>
    <r>
      <t xml:space="preserve">г. Шилка, ул. Балябина, д. 134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</si>
  <si>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Шилка, ул. Ленина, д. 88</t>
    </r>
    <r>
      <rPr>
        <vertAlign val="superscript"/>
        <sz val="11"/>
        <rFont val="Times New Roman"/>
      </rPr>
      <t>(1,4)</t>
    </r>
  </si>
  <si>
    <r>
      <rPr>
        <sz val="11"/>
        <rFont val="Times New Roman"/>
      </rPr>
      <t xml:space="preserve">г. Шилка, ул. Погодаева, д. 13</t>
    </r>
    <r>
      <rPr>
        <vertAlign val="superscript"/>
        <sz val="11"/>
        <rFont val="Times New Roman"/>
      </rPr>
      <t>(1,2/2,4)</t>
    </r>
  </si>
  <si>
    <r>
      <rPr>
        <sz val="11"/>
        <rFont val="Times New Roman"/>
      </rPr>
      <t xml:space="preserve">г. Шилка, ул. им. Пузырева, д. 4</t>
    </r>
    <r>
      <rPr>
        <vertAlign val="superscript"/>
        <sz val="11"/>
        <rFont val="Times New Roman"/>
      </rPr>
      <t>(1)</t>
    </r>
  </si>
  <si>
    <r>
      <t xml:space="preserve">пгт. Первомайский, нп. Микрорайон, д. 12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</si>
  <si>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Первомайский, нп. Микрорайон, д. 4</t>
    </r>
    <r>
      <rPr>
        <vertAlign val="superscript"/>
        <sz val="11"/>
        <rFont val="Times New Roman"/>
      </rPr>
      <t>(8)</t>
    </r>
  </si>
  <si>
    <r>
      <t xml:space="preserve">пгт. Первомайский, ул. 8 Марта, д. 1</t>
    </r>
    <r>
      <rPr>
        <vertAlign val="superscript"/>
        <sz val="11"/>
        <rFont val="Times New Roman"/>
      </rPr>
      <t>(4)</t>
    </r>
  </si>
  <si>
    <r>
      <t xml:space="preserve">пгт. Первомайский, ул. Мира, д. 21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</si>
  <si>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Первомайский, ул. Строительная, д. 5, блок А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</si>
  <si>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Первомайский, ул. Строительная, д. 9а</t>
    </r>
    <r>
      <rPr>
        <vertAlign val="superscript"/>
        <sz val="11"/>
        <rFont val="Times New Roman"/>
      </rPr>
      <t>(1)</t>
    </r>
  </si>
  <si>
    <r>
      <t xml:space="preserve">с. Солнцево, ул. Станционная, д. 7</t>
    </r>
    <r>
      <rPr>
        <vertAlign val="superscript"/>
        <sz val="11"/>
        <rFont val="Times New Roman"/>
      </rPr>
      <t>(4)</t>
    </r>
  </si>
  <si>
    <t xml:space="preserve">в том числе по городскому поселению "Холбонское":</t>
  </si>
  <si>
    <r>
      <rPr>
        <sz val="11"/>
        <rFont val="Times New Roman"/>
      </rPr>
      <t xml:space="preserve">пгт. Холбон, ул. Садовая, д. 13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</si>
  <si>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б-р. Украинский, д. 12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</si>
  <si>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б-р. Украинский, д. 22</t>
    </r>
    <r>
      <rPr>
        <vertAlign val="superscript"/>
        <sz val="11"/>
        <rFont val="Times New Roman"/>
      </rPr>
      <t>(5)</t>
    </r>
  </si>
  <si>
    <r>
      <rPr>
        <sz val="11"/>
        <rFont val="Times New Roman"/>
      </rPr>
      <t xml:space="preserve">г. Чита, б-р. Украинский, д. 28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</si>
  <si>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г. Чита, мкр. 4-й, д. 9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</si>
  <si>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г. Чита, мкр. 5-й, д. 19</t>
    </r>
    <r>
      <rPr>
        <vertAlign val="superscript"/>
        <sz val="11"/>
        <rFont val="Times New Roman"/>
      </rPr>
      <t>(9)</t>
    </r>
  </si>
  <si>
    <r>
      <rPr>
        <sz val="11"/>
        <rFont val="Times New Roman"/>
      </rPr>
      <t xml:space="preserve">г. Чита, мкр. 6-й, д. 15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</si>
  <si>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г. Чита, мкр. Батарейный, д. 3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</si>
  <si>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мкр. Гвардейский, д. 12</t>
    </r>
    <r>
      <rPr>
        <vertAlign val="superscript"/>
        <sz val="11"/>
        <rFont val="Times New Roman"/>
      </rPr>
      <t>(8,9)</t>
    </r>
  </si>
  <si>
    <r>
      <rPr>
        <sz val="11"/>
        <rFont val="Times New Roman"/>
      </rPr>
      <t xml:space="preserve">г. Чита, мкр. Гвардейский, д. 6</t>
    </r>
    <r>
      <rPr>
        <vertAlign val="superscript"/>
        <sz val="11"/>
        <rFont val="Times New Roman"/>
      </rPr>
      <t>(5)</t>
    </r>
  </si>
  <si>
    <r>
      <rPr>
        <sz val="11"/>
        <rFont val="Times New Roman"/>
      </rPr>
      <t xml:space="preserve">г. Чита, мкр. Геофизический, д. 7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</si>
  <si>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мкр. Осетровка, д. 30</t>
    </r>
    <r>
      <rPr>
        <vertAlign val="superscript"/>
        <sz val="11"/>
        <rFont val="Times New Roman"/>
      </rPr>
      <t>(8,9)</t>
    </r>
  </si>
  <si>
    <r>
      <rPr>
        <sz val="11"/>
        <rFont val="Times New Roman"/>
      </rPr>
      <t xml:space="preserve">г. Чита, мкр. Северный, д. 13</t>
    </r>
    <r>
      <rPr>
        <vertAlign val="superscript"/>
        <sz val="11"/>
        <rFont val="Times New Roman"/>
      </rPr>
      <t>(8,9,10)</t>
    </r>
  </si>
  <si>
    <r>
      <rPr>
        <sz val="11"/>
        <rFont val="Times New Roman"/>
      </rPr>
      <t xml:space="preserve">г. Чита, мкр. Северный, д. 58</t>
    </r>
    <r>
      <rPr>
        <vertAlign val="superscript"/>
        <sz val="11"/>
        <rFont val="Times New Roman"/>
      </rPr>
      <t>(5,8,9,10)</t>
    </r>
  </si>
  <si>
    <r>
      <rPr>
        <sz val="11"/>
        <rFont val="Times New Roman"/>
      </rPr>
      <t xml:space="preserve">г. Чита, мкр. Северный, д. 62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</si>
  <si>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Чита, мкр. Северный, д. 63</t>
    </r>
    <r>
      <rPr>
        <vertAlign val="superscript"/>
        <sz val="11"/>
        <rFont val="Times New Roman"/>
      </rPr>
      <t>(7)</t>
    </r>
  </si>
  <si>
    <r>
      <t xml:space="preserve">г. Чита, п. Ясный, д. 1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</si>
  <si>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г. Чита, п. Ясный, д. 3</t>
    </r>
    <r>
      <rPr>
        <vertAlign val="superscript"/>
        <sz val="11"/>
        <rFont val="Times New Roman"/>
      </rPr>
      <t>(8,9)</t>
    </r>
  </si>
  <si>
    <r>
      <rPr>
        <sz val="11"/>
        <rFont val="Times New Roman"/>
      </rPr>
      <t xml:space="preserve">г. Чита, п. Ясный, д. 4</t>
    </r>
    <r>
      <rPr>
        <vertAlign val="superscript"/>
        <sz val="11"/>
        <rFont val="Times New Roman"/>
      </rPr>
      <t>(8,9)</t>
    </r>
  </si>
  <si>
    <r>
      <rPr>
        <sz val="11"/>
        <rFont val="Times New Roman"/>
      </rPr>
      <t xml:space="preserve">г. Чита, п. Ясный, д. 5</t>
    </r>
    <r>
      <rPr>
        <vertAlign val="superscript"/>
        <sz val="11"/>
        <rFont val="Times New Roman"/>
      </rPr>
      <t>(8,9)</t>
    </r>
  </si>
  <si>
    <r>
      <rPr>
        <sz val="11"/>
        <rFont val="Times New Roman"/>
      </rPr>
      <t xml:space="preserve">г. Чита, п. Ясный, д. 6</t>
    </r>
    <r>
      <rPr>
        <vertAlign val="superscript"/>
        <sz val="11"/>
        <rFont val="Times New Roman"/>
      </rPr>
      <t>(8,9)</t>
    </r>
  </si>
  <si>
    <r>
      <rPr>
        <sz val="11"/>
        <rFont val="Times New Roman"/>
      </rPr>
      <t xml:space="preserve">г. Чита, п. Ясный, д. 7</t>
    </r>
    <r>
      <rPr>
        <vertAlign val="superscript"/>
        <sz val="11"/>
        <rFont val="Times New Roman"/>
      </rPr>
      <t>(4,8,9)</t>
    </r>
  </si>
  <si>
    <r>
      <rPr>
        <sz val="11"/>
        <rFont val="Times New Roman"/>
      </rPr>
      <t xml:space="preserve">г. Чита, п. Ясный, д. 8</t>
    </r>
    <r>
      <rPr>
        <vertAlign val="superscript"/>
        <sz val="11"/>
        <rFont val="Times New Roman"/>
      </rPr>
      <t>(4,8,9)</t>
    </r>
  </si>
  <si>
    <r>
      <rPr>
        <sz val="11"/>
        <rFont val="Times New Roman"/>
      </rPr>
      <t xml:space="preserve">г. Чита, п. Ясный, д. 9</t>
    </r>
    <r>
      <rPr>
        <vertAlign val="superscript"/>
        <sz val="11"/>
        <rFont val="Times New Roman"/>
      </rPr>
      <t>(4,8,9)</t>
    </r>
  </si>
  <si>
    <r>
      <rPr>
        <sz val="11"/>
        <rFont val="Times New Roman"/>
      </rPr>
      <t xml:space="preserve">г. Чита, пер. Железобетонный, д. 4а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</si>
  <si>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г. Чита, пр-кт. Советов, д. 7</t>
    </r>
    <r>
      <rPr>
        <vertAlign val="superscript"/>
        <sz val="11"/>
        <rFont val="Times New Roman"/>
      </rPr>
      <t>(1,4)</t>
    </r>
  </si>
  <si>
    <r>
      <rPr>
        <sz val="11"/>
        <rFont val="Times New Roman"/>
      </rPr>
      <t xml:space="preserve">г. Чита, пр-кт. Фадеева, д. 5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</si>
  <si>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Чита, проезд Авиаторов, д. 23</t>
    </r>
    <r>
      <rPr>
        <vertAlign val="superscript"/>
        <sz val="11"/>
        <rFont val="Times New Roman"/>
      </rPr>
      <t>(1,2,4,8)</t>
    </r>
  </si>
  <si>
    <r>
      <rPr>
        <sz val="11"/>
        <rFont val="Times New Roman"/>
      </rPr>
      <t xml:space="preserve">г. Чита, проезд Новодевичий, д. 16</t>
    </r>
    <r>
      <rPr>
        <vertAlign val="superscript"/>
        <sz val="11"/>
        <rFont val="Times New Roman"/>
      </rPr>
      <t>(1,2/2)</t>
    </r>
  </si>
  <si>
    <r>
      <rPr>
        <sz val="11"/>
        <rFont val="Times New Roman"/>
      </rPr>
      <t xml:space="preserve">г. Чита, проезд Полковой, д. 6а</t>
    </r>
    <r>
      <rPr>
        <vertAlign val="superscript"/>
        <sz val="11"/>
        <rFont val="Times New Roman"/>
      </rPr>
      <t>(1,4,8)</t>
    </r>
  </si>
  <si>
    <r>
      <rPr>
        <sz val="11"/>
        <rFont val="Times New Roman"/>
      </rPr>
      <t xml:space="preserve">г. Чита, тр-кт. Молоковский, д. 114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</si>
  <si>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г. Чита, ул. 2-я Верхневокзальная, д. 16</t>
    </r>
    <r>
      <rPr>
        <vertAlign val="superscript"/>
        <sz val="11"/>
        <rFont val="Times New Roman"/>
      </rPr>
      <t>(1,2/2,4,9,10)</t>
    </r>
  </si>
  <si>
    <r>
      <rPr>
        <sz val="11"/>
        <rFont val="Times New Roman"/>
      </rPr>
      <t xml:space="preserve">г. Чита, ул. 5-я Малая, д. 1б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</si>
  <si>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г. Чита, ул. 5-я Малая, д. 1в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</si>
  <si>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9 Января, д. 50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</si>
  <si>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Чита, ул. Амурская, д. 23</t>
    </r>
    <r>
      <rPr>
        <vertAlign val="superscript"/>
        <sz val="11"/>
        <rFont val="Times New Roman"/>
      </rPr>
      <t>(4,5,8,9,10)</t>
    </r>
  </si>
  <si>
    <r>
      <rPr>
        <sz val="11"/>
        <rFont val="Times New Roman"/>
      </rPr>
      <t xml:space="preserve">г. Чита, ул. Амурская, д. 82</t>
    </r>
    <r>
      <rPr>
        <vertAlign val="superscript"/>
        <sz val="11"/>
        <rFont val="Times New Roman"/>
      </rPr>
      <t>(1,2)</t>
    </r>
  </si>
  <si>
    <r>
      <rPr>
        <sz val="11"/>
        <rFont val="Times New Roman"/>
      </rPr>
      <t xml:space="preserve">г. Чита, ул. Амурская, д. 84</t>
    </r>
    <r>
      <rPr>
        <vertAlign val="superscript"/>
        <sz val="11"/>
        <rFont val="Times New Roman"/>
      </rPr>
      <t>(1,2)</t>
    </r>
  </si>
  <si>
    <r>
      <rPr>
        <sz val="11"/>
        <rFont val="Times New Roman"/>
      </rPr>
      <t xml:space="preserve">г. Чита, ул. Амурская, д. 98</t>
    </r>
    <r>
      <rPr>
        <vertAlign val="superscript"/>
        <sz val="11"/>
        <rFont val="Times New Roman"/>
      </rPr>
      <t>(1,2)</t>
    </r>
  </si>
  <si>
    <r>
      <rPr>
        <sz val="11"/>
        <rFont val="Times New Roman"/>
      </rPr>
      <t xml:space="preserve">г. Чита, ул. Анохина, д. 4</t>
    </r>
    <r>
      <rPr>
        <vertAlign val="superscript"/>
        <sz val="11"/>
        <rFont val="Times New Roman"/>
      </rPr>
      <t>(10)</t>
    </r>
  </si>
  <si>
    <r>
      <rPr>
        <sz val="11"/>
        <rFont val="Times New Roman"/>
      </rPr>
      <t xml:space="preserve">г. Чита, ул. Бекетова, д. 20в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</si>
  <si>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Богдана Хмельницкого, д. 24 корп. 3</t>
    </r>
    <r>
      <rPr>
        <vertAlign val="superscript"/>
        <sz val="11"/>
        <rFont val="Times New Roman"/>
      </rPr>
      <t>(9)</t>
    </r>
  </si>
  <si>
    <r>
      <rPr>
        <sz val="11"/>
        <rFont val="Times New Roman"/>
      </rPr>
      <t xml:space="preserve">г. Чита, ул. Богомягкова, д. 24</t>
    </r>
    <r>
      <rPr>
        <vertAlign val="superscript"/>
        <sz val="11"/>
        <rFont val="Times New Roman"/>
      </rPr>
      <t>(1,5)</t>
    </r>
  </si>
  <si>
    <r>
      <rPr>
        <sz val="11"/>
        <rFont val="Times New Roman"/>
      </rPr>
      <t xml:space="preserve">г. Чита, ул. Гагарина, д. 11</t>
    </r>
    <r>
      <rPr>
        <vertAlign val="superscript"/>
        <sz val="11"/>
        <rFont val="Times New Roman"/>
      </rPr>
      <t>(5)</t>
    </r>
  </si>
  <si>
    <r>
      <rPr>
        <sz val="11"/>
        <rFont val="Times New Roman"/>
      </rPr>
      <t xml:space="preserve">г. Чита, ул. Гагарина, д. 4</t>
    </r>
    <r>
      <rPr>
        <vertAlign val="superscript"/>
        <sz val="11"/>
        <rFont val="Times New Roman"/>
      </rPr>
      <t>(1,4)</t>
    </r>
  </si>
  <si>
    <r>
      <rPr>
        <sz val="11"/>
        <rFont val="Times New Roman"/>
      </rPr>
      <t xml:space="preserve">г. Чита, ул. Гагарина, д. 8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</si>
  <si>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г. Чита, ул. Георгия Костина, д. 49</t>
    </r>
    <r>
      <rPr>
        <vertAlign val="superscript"/>
        <sz val="11"/>
        <rFont val="Times New Roman"/>
      </rPr>
      <t>(1,4)</t>
    </r>
  </si>
  <si>
    <r>
      <rPr>
        <sz val="11"/>
        <rFont val="Times New Roman"/>
      </rPr>
      <t xml:space="preserve">г. Чита, ул. Горбунова, д. 19</t>
    </r>
    <r>
      <rPr>
        <vertAlign val="superscript"/>
        <sz val="11"/>
        <rFont val="Times New Roman"/>
      </rPr>
      <t>(1,9)</t>
    </r>
  </si>
  <si>
    <t xml:space="preserve">г. Чита, ул. Железобетонная, д 16</t>
  </si>
  <si>
    <r>
      <rPr>
        <sz val="11"/>
        <rFont val="Times New Roman"/>
      </rPr>
      <t xml:space="preserve">г. Чита, ул. Журавлева, д. 74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</si>
  <si>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Чита, ул. Забайкальского Рабочего, д. 4</t>
    </r>
    <r>
      <rPr>
        <vertAlign val="superscript"/>
        <sz val="11"/>
        <rFont val="Times New Roman"/>
      </rPr>
      <t>(9)</t>
    </r>
  </si>
  <si>
    <r>
      <rPr>
        <sz val="11"/>
        <rFont val="Times New Roman"/>
      </rPr>
      <t xml:space="preserve">г. Чита, ул. Ингодинская, д. 4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</si>
  <si>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Казачья, д. 24</t>
    </r>
    <r>
      <rPr>
        <vertAlign val="superscript"/>
        <sz val="11"/>
        <rFont val="Times New Roman"/>
      </rPr>
      <t>(9)</t>
    </r>
  </si>
  <si>
    <r>
      <rPr>
        <sz val="11"/>
        <rFont val="Times New Roman"/>
      </rPr>
      <t xml:space="preserve">г. Чита, ул. Казачья, д. 3г</t>
    </r>
    <r>
      <rPr>
        <vertAlign val="superscript"/>
        <sz val="11"/>
        <rFont val="Times New Roman"/>
      </rPr>
      <t>(8,9,10)</t>
    </r>
  </si>
  <si>
    <r>
      <rPr>
        <sz val="11"/>
        <rFont val="Times New Roman"/>
      </rPr>
      <t xml:space="preserve">г. Чита, ул. Калангуйская, д. 38а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</si>
  <si>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г. Чита, ул. Каларская, д. 2б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</si>
  <si>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г. Чита, ул. Каларская, д. 4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</si>
  <si>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г. Чита, ул. Ковыльная, д. 22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</si>
  <si>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г. Чита, ул. Космонавтов, д. 22</t>
    </r>
    <r>
      <rPr>
        <vertAlign val="superscript"/>
        <sz val="11"/>
        <rFont val="Times New Roman"/>
      </rPr>
      <t>(1,2,4,8)</t>
    </r>
  </si>
  <si>
    <r>
      <rPr>
        <sz val="11"/>
        <rFont val="Times New Roman"/>
      </rPr>
      <t xml:space="preserve">г. Чита, ул. Красной Звезды, д. 8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</si>
  <si>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Чита, ул. Крымская, д. 10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</si>
  <si>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Чита, ул. Крымская, д. 21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</si>
  <si>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г. Чита, ул. Крымская, д. 8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</si>
  <si>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Чита, ул. Лазо, д. 65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</si>
  <si>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г. Чита, ул. Ленина, д. 21а</t>
    </r>
    <r>
      <rPr>
        <vertAlign val="superscript"/>
        <sz val="11"/>
        <rFont val="Times New Roman"/>
      </rPr>
      <t>(5)</t>
    </r>
  </si>
  <si>
    <r>
      <rPr>
        <sz val="11"/>
        <rFont val="Times New Roman"/>
      </rPr>
      <t xml:space="preserve">г. Чита, ул. Ленина, д. 25</t>
    </r>
    <r>
      <rPr>
        <vertAlign val="superscript"/>
        <sz val="11"/>
        <rFont val="Times New Roman"/>
      </rPr>
      <t>(5)</t>
    </r>
  </si>
  <si>
    <r>
      <rPr>
        <sz val="11"/>
        <rFont val="Times New Roman"/>
      </rPr>
      <t xml:space="preserve">г. Чита, ул. Ленина, д. 52</t>
    </r>
    <r>
      <rPr>
        <vertAlign val="superscript"/>
        <sz val="11"/>
        <rFont val="Times New Roman"/>
      </rPr>
      <t>(1,2)</t>
    </r>
  </si>
  <si>
    <r>
      <rPr>
        <sz val="11"/>
        <rFont val="Times New Roman"/>
      </rPr>
      <t xml:space="preserve">г. Чита, ул. Ленина, д. 9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</si>
  <si>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ул. Майская, д. 24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</si>
  <si>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ул. Мостовая, д. 7</t>
    </r>
    <r>
      <rPr>
        <vertAlign val="superscript"/>
        <sz val="11"/>
        <rFont val="Times New Roman"/>
      </rPr>
      <t>(10)</t>
    </r>
  </si>
  <si>
    <r>
      <rPr>
        <sz val="11"/>
        <rFont val="Times New Roman"/>
      </rPr>
      <t xml:space="preserve">г. Чита, ул. Набережная, д. 56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</si>
  <si>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Нерчинская, д. 1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</si>
  <si>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Николая Островского, д. 20</t>
    </r>
    <r>
      <rPr>
        <vertAlign val="superscript"/>
        <sz val="11"/>
        <rFont val="Times New Roman"/>
      </rPr>
      <t>(1,2)</t>
    </r>
  </si>
  <si>
    <r>
      <rPr>
        <sz val="11"/>
        <rFont val="Times New Roman"/>
      </rPr>
      <t xml:space="preserve">г. Чита, ул. Новобульварная, д. 113</t>
    </r>
    <r>
      <rPr>
        <vertAlign val="superscript"/>
        <sz val="11"/>
        <rFont val="Times New Roman"/>
      </rPr>
      <t>(4,5)</t>
    </r>
  </si>
  <si>
    <r>
      <rPr>
        <sz val="11"/>
        <rFont val="Times New Roman"/>
      </rPr>
      <t xml:space="preserve">г. Чита, ул. Печорская, д. 1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</si>
  <si>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г. Чита, ул. Пригородная, д. 2</t>
    </r>
    <r>
      <rPr>
        <vertAlign val="superscript"/>
        <sz val="11"/>
        <rFont val="Times New Roman"/>
      </rPr>
      <t>(1,5)</t>
    </r>
  </si>
  <si>
    <r>
      <rPr>
        <sz val="11"/>
        <rFont val="Times New Roman"/>
      </rPr>
      <t xml:space="preserve">г. Чита, ул. Промышленная, д. 51а</t>
    </r>
    <r>
      <rPr>
        <vertAlign val="superscript"/>
        <sz val="11"/>
        <rFont val="Times New Roman"/>
      </rPr>
      <t>(1,2,4)</t>
    </r>
  </si>
  <si>
    <r>
      <rPr>
        <sz val="11"/>
        <rFont val="Times New Roman"/>
      </rPr>
      <t xml:space="preserve">г. Чита, ул. Серова, д. 1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</si>
  <si>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г. Чита, ул. Смоленская, д. 119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</si>
  <si>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Чита, ул. Смоленская, д. 123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</si>
  <si>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Чита, ул. Столярова, д. 23</t>
    </r>
    <r>
      <rPr>
        <vertAlign val="superscript"/>
        <sz val="11"/>
        <rFont val="Times New Roman"/>
      </rPr>
      <t>(1,2)</t>
    </r>
  </si>
  <si>
    <r>
      <rPr>
        <sz val="11"/>
        <rFont val="Times New Roman"/>
      </rPr>
      <t xml:space="preserve">г. Чита, ул. Столярова, д. 42</t>
    </r>
    <r>
      <rPr>
        <vertAlign val="superscript"/>
        <sz val="11"/>
        <rFont val="Times New Roman"/>
      </rPr>
      <t>(9)</t>
    </r>
  </si>
  <si>
    <r>
      <rPr>
        <sz val="11"/>
        <rFont val="Times New Roman"/>
      </rPr>
      <t xml:space="preserve">г. Чита, ул. Столярова, д. 44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</si>
  <si>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Чита, ул. Столярова, д. 65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</si>
  <si>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г. Чита, ул. Таежная, д. 20</t>
    </r>
    <r>
      <rPr>
        <vertAlign val="superscript"/>
        <sz val="11"/>
        <rFont val="Times New Roman"/>
      </rPr>
      <t>(8,9)</t>
    </r>
  </si>
  <si>
    <r>
      <rPr>
        <sz val="11"/>
        <rFont val="Times New Roman"/>
      </rPr>
      <t xml:space="preserve">г. Чита, ул. Текстильщиков, д. 12</t>
    </r>
    <r>
      <rPr>
        <vertAlign val="superscript"/>
        <sz val="11"/>
        <rFont val="Times New Roman"/>
      </rPr>
      <t>(1,4,5)</t>
    </r>
  </si>
  <si>
    <r>
      <rPr>
        <sz val="11"/>
        <rFont val="Times New Roman"/>
      </rPr>
      <t xml:space="preserve">г. Чита, ул. Тобольская, д. 2а, корп. 1</t>
    </r>
    <r>
      <rPr>
        <vertAlign val="superscript"/>
        <sz val="11"/>
        <rFont val="Times New Roman"/>
      </rPr>
      <t>(1,4,5,8)</t>
    </r>
  </si>
  <si>
    <r>
      <rPr>
        <sz val="11"/>
        <rFont val="Times New Roman"/>
      </rPr>
      <t xml:space="preserve">г. Чита, ул. Тобольская, д. 2а, корп. 2</t>
    </r>
    <r>
      <rPr>
        <vertAlign val="superscript"/>
        <sz val="11"/>
        <rFont val="Times New Roman"/>
      </rPr>
      <t>(1,4,5)</t>
    </r>
  </si>
  <si>
    <r>
      <rPr>
        <sz val="11"/>
        <rFont val="Times New Roman"/>
      </rPr>
      <t xml:space="preserve">г. Чита, ул. Токмакова, д. 23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</si>
  <si>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Токмакова, д. 23а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</si>
  <si>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г. Чита, ул. Токмакова, д. 27а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</si>
  <si>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г. Чита, ул. Угданская, д. 59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</si>
  <si>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Чита, ул. Хабаровская, д. 4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</si>
  <si>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Чита, ул. Чкалова, д. 1</t>
    </r>
    <r>
      <rPr>
        <vertAlign val="superscript"/>
        <sz val="11"/>
        <rFont val="Times New Roman"/>
      </rPr>
      <t>(4,5,8,9,10)</t>
    </r>
    <r>
      <rPr>
        <sz val="11"/>
        <rFont val="Times New Roman"/>
      </rPr>
      <t xml:space="preserve"> </t>
    </r>
  </si>
  <si>
    <r>
      <rPr>
        <sz val="11"/>
        <rFont val="Times New Roman"/>
      </rPr>
      <t xml:space="preserve">г. Чита, ул. Чкалова, д. 25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</si>
  <si>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Чита, ул. Шилова, д. 29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</si>
  <si>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Чита, ул. Энтузиастов, д. 11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</si>
  <si>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Новоорловск, д. 21</t>
    </r>
    <r>
      <rPr>
        <vertAlign val="superscript"/>
        <sz val="11"/>
        <rFont val="Times New Roman"/>
      </rPr>
      <t xml:space="preserve"> (5)</t>
    </r>
  </si>
  <si>
    <r>
      <rPr>
        <sz val="11"/>
        <rFont val="Times New Roman"/>
      </rPr>
      <t xml:space="preserve">пгт. Новоорловск, д. 7</t>
    </r>
    <r>
      <rPr>
        <vertAlign val="superscript"/>
        <sz val="11"/>
        <rFont val="Times New Roman"/>
      </rPr>
      <t>(8,10)</t>
    </r>
  </si>
  <si>
    <r>
      <rPr>
        <sz val="11"/>
        <rFont val="Times New Roman"/>
      </rPr>
      <t xml:space="preserve">г. Балей, кв-л А, д. 3</t>
    </r>
    <r>
      <rPr>
        <vertAlign val="superscript"/>
        <sz val="11"/>
        <rFont val="Times New Roman"/>
      </rPr>
      <t>(1,4,5,9)</t>
    </r>
  </si>
  <si>
    <r>
      <rPr>
        <sz val="11"/>
        <rFont val="Times New Roman"/>
      </rPr>
      <t xml:space="preserve">г. Балей, ул. Больничная, д. 1</t>
    </r>
    <r>
      <rPr>
        <vertAlign val="superscript"/>
        <sz val="11"/>
        <rFont val="Times New Roman"/>
      </rPr>
      <t>(5)</t>
    </r>
  </si>
  <si>
    <r>
      <rPr>
        <sz val="11"/>
        <rFont val="Times New Roman"/>
      </rPr>
      <t xml:space="preserve">г. Балей, ул. Комбинатская, д. 6</t>
    </r>
    <r>
      <rPr>
        <vertAlign val="superscript"/>
        <sz val="11"/>
        <rFont val="Times New Roman"/>
      </rPr>
      <t>(10)</t>
    </r>
  </si>
  <si>
    <r>
      <rPr>
        <sz val="11"/>
        <rFont val="Times New Roman"/>
      </rPr>
      <t xml:space="preserve">г. Балей, ул. Октябрьская, д. 100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</si>
  <si>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Балей, ул. Октябрьская, д. 102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</si>
  <si>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Балей, ул. Октябрьская, д. 117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</si>
  <si>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Борзя, ул. Гурьева 79 квартал, д. 1</t>
    </r>
    <r>
      <rPr>
        <vertAlign val="superscript"/>
        <sz val="11"/>
        <rFont val="Times New Roman"/>
      </rPr>
      <t>(4,10)</t>
    </r>
  </si>
  <si>
    <r>
      <rPr>
        <sz val="11"/>
        <rFont val="Times New Roman"/>
      </rPr>
      <t xml:space="preserve">г. Борзя, ул. Ленина, д. 3</t>
    </r>
    <r>
      <rPr>
        <vertAlign val="superscript"/>
        <sz val="11"/>
        <rFont val="Times New Roman"/>
      </rPr>
      <t>(9)</t>
    </r>
  </si>
  <si>
    <r>
      <rPr>
        <sz val="11"/>
        <rFont val="Times New Roman"/>
      </rPr>
      <t xml:space="preserve">г. Борзя, ул. Матросова, д. 25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</si>
  <si>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Борзя, ул. Метелицы, д. 30</t>
    </r>
    <r>
      <rPr>
        <vertAlign val="superscript"/>
        <sz val="11"/>
        <rFont val="Times New Roman"/>
      </rPr>
      <t>(4,9,10)</t>
    </r>
  </si>
  <si>
    <r>
      <rPr>
        <sz val="11"/>
        <rFont val="Times New Roman"/>
      </rPr>
      <t xml:space="preserve">г. Борзя, ул. Нагорная, д. 12</t>
    </r>
    <r>
      <rPr>
        <vertAlign val="superscript"/>
        <sz val="11"/>
        <rFont val="Times New Roman"/>
      </rPr>
      <t>(2,4)</t>
    </r>
  </si>
  <si>
    <r>
      <rPr>
        <sz val="11"/>
        <rFont val="Times New Roman"/>
      </rPr>
      <t xml:space="preserve">г. Борзя, ул. Смирнова, д. 51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</si>
  <si>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Борзя, ул. Советская, д. 30</t>
    </r>
    <r>
      <rPr>
        <vertAlign val="superscript"/>
        <sz val="11"/>
        <rFont val="Times New Roman"/>
      </rPr>
      <t>(10)</t>
    </r>
  </si>
  <si>
    <r>
      <rPr>
        <sz val="11"/>
        <rFont val="Times New Roman"/>
      </rPr>
      <t xml:space="preserve">г. Борзя, ул. Чайковского, д. 9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</si>
  <si>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пгт. Шерловая Гора, мкр. 2-й, д. 3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</si>
  <si>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Шерловая Гора, ул. Калинина, д. 1</t>
    </r>
    <r>
      <rPr>
        <vertAlign val="superscript"/>
        <sz val="11"/>
        <rFont val="Times New Roman"/>
      </rPr>
      <t>(9)</t>
    </r>
  </si>
  <si>
    <r>
      <rPr>
        <sz val="11"/>
        <rFont val="Times New Roman"/>
      </rPr>
      <t xml:space="preserve">пгт. Шерловая Гора, ул. Учанина, д. 3</t>
    </r>
    <r>
      <rPr>
        <vertAlign val="superscript"/>
        <sz val="11"/>
        <rFont val="Times New Roman"/>
      </rPr>
      <t>(9)</t>
    </r>
  </si>
  <si>
    <r>
      <rPr>
        <sz val="11"/>
        <rFont val="Times New Roman"/>
      </rPr>
      <t xml:space="preserve">п. Новоширокинский, д. 2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</si>
  <si>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п. Новоширокинский, д. 10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</si>
  <si>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п. Новоширокинский, д. 12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</si>
  <si>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п. Новоширокинский, д. 9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</si>
  <si>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пгт. Забайкальск, ул. Комсомольская, д. 1</t>
    </r>
    <r>
      <rPr>
        <vertAlign val="superscript"/>
        <sz val="11"/>
        <rFont val="Times New Roman"/>
      </rPr>
      <t>(1,5)</t>
    </r>
  </si>
  <si>
    <r>
      <rPr>
        <sz val="11"/>
        <rFont val="Times New Roman"/>
      </rPr>
      <t xml:space="preserve">пгт. Забайкальск, ул. Комсомольская, д. 56а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</si>
  <si>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пгт. Забайкальск, ул. Нагорная, д. 7</t>
    </r>
    <r>
      <rPr>
        <vertAlign val="superscript"/>
        <sz val="11"/>
        <rFont val="Times New Roman"/>
      </rPr>
      <t>(9)</t>
    </r>
  </si>
  <si>
    <r>
      <rPr>
        <sz val="11"/>
        <rFont val="Times New Roman"/>
      </rPr>
      <t xml:space="preserve">пгт. Новая Чара, ул. Магистральная, д. 28</t>
    </r>
    <r>
      <rPr>
        <vertAlign val="superscript"/>
        <sz val="11"/>
        <rFont val="Times New Roman"/>
      </rPr>
      <t>(5,8,9)</t>
    </r>
  </si>
  <si>
    <r>
      <rPr>
        <sz val="11"/>
        <rFont val="Times New Roman"/>
      </rPr>
      <t xml:space="preserve">п/ст Куанда, ул. 8 Марта, д. 7</t>
    </r>
    <r>
      <rPr>
        <vertAlign val="superscript"/>
        <sz val="11"/>
        <rFont val="Times New Roman"/>
      </rPr>
      <t>(1,5)</t>
    </r>
  </si>
  <si>
    <r>
      <rPr>
        <sz val="11"/>
        <rFont val="Times New Roman"/>
      </rPr>
      <t xml:space="preserve">п/ст Куанда, ул. Советская, д. 12а</t>
    </r>
    <r>
      <rPr>
        <vertAlign val="superscript"/>
        <sz val="11"/>
        <rFont val="Times New Roman"/>
      </rPr>
      <t>(1,5)</t>
    </r>
  </si>
  <si>
    <r>
      <rPr>
        <sz val="11"/>
        <rFont val="Times New Roman"/>
      </rPr>
      <t xml:space="preserve">с. Калга, ул. 60 лет Октября, д. 13</t>
    </r>
    <r>
      <rPr>
        <vertAlign val="superscript"/>
        <sz val="11"/>
        <rFont val="Times New Roman"/>
      </rPr>
      <t>(9)</t>
    </r>
  </si>
  <si>
    <r>
      <rPr>
        <sz val="11"/>
        <rFont val="Times New Roman"/>
      </rPr>
      <t xml:space="preserve">с. Калга, ул. 60 лет Октября, д. 19</t>
    </r>
    <r>
      <rPr>
        <vertAlign val="superscript"/>
        <sz val="11"/>
        <rFont val="Times New Roman"/>
      </rPr>
      <t>(9)</t>
    </r>
  </si>
  <si>
    <r>
      <rPr>
        <sz val="11"/>
        <rFont val="Times New Roman"/>
      </rPr>
      <t xml:space="preserve">пгт. Дарасун, ул. Калинина, д. 16</t>
    </r>
    <r>
      <rPr>
        <vertAlign val="superscript"/>
        <sz val="11"/>
        <rFont val="Times New Roman"/>
      </rPr>
      <t>(10)</t>
    </r>
  </si>
  <si>
    <r>
      <rPr>
        <sz val="11"/>
        <rFont val="Times New Roman"/>
      </rPr>
      <t xml:space="preserve"> пгт. Дарасун, ул. Молодежная, д. 6</t>
    </r>
    <r>
      <rPr>
        <vertAlign val="superscript"/>
        <sz val="11"/>
        <rFont val="Times New Roman"/>
      </rPr>
      <t>(5)</t>
    </r>
  </si>
  <si>
    <t xml:space="preserve"> пгт. Дарасун, ул. Советская, д. 2</t>
  </si>
  <si>
    <r>
      <rPr>
        <sz val="11"/>
        <rFont val="Times New Roman"/>
      </rPr>
      <t xml:space="preserve">пгт. Дарасун, ул. Сосновая, д. 1</t>
    </r>
    <r>
      <rPr>
        <vertAlign val="superscript"/>
        <sz val="11"/>
        <rFont val="Times New Roman"/>
      </rPr>
      <t>(5)</t>
    </r>
  </si>
  <si>
    <r>
      <rPr>
        <sz val="11"/>
        <rFont val="Times New Roman"/>
      </rPr>
      <t xml:space="preserve">пгт. Карымское, ул. Верхняя, д. 7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</si>
  <si>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пгт. Карымское, ул. Шемелина, д. 1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</si>
  <si>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пгт. Курорт-Дарасун, ул. Военный санаторий, д. 3</t>
    </r>
    <r>
      <rPr>
        <vertAlign val="superscript"/>
        <sz val="11"/>
        <rFont val="Times New Roman"/>
      </rPr>
      <t>(1,2,4,5,8)</t>
    </r>
  </si>
  <si>
    <r>
      <rPr>
        <sz val="11"/>
        <rFont val="Times New Roman"/>
      </rPr>
      <t xml:space="preserve">пгт. Курорт-Дарасун, ул. Военный санаторий, д. 4</t>
    </r>
    <r>
      <rPr>
        <vertAlign val="superscript"/>
        <sz val="11"/>
        <rFont val="Times New Roman"/>
      </rPr>
      <t>(1,2,4,5,8)</t>
    </r>
  </si>
  <si>
    <r>
      <rPr>
        <sz val="11"/>
        <rFont val="Times New Roman"/>
      </rPr>
      <t xml:space="preserve">с. Большая Тура, ул. Железнодорожная, д. 119</t>
    </r>
    <r>
      <rPr>
        <vertAlign val="superscript"/>
        <sz val="11"/>
        <rFont val="Times New Roman"/>
      </rPr>
      <t>(1,2,4,8)</t>
    </r>
  </si>
  <si>
    <r>
      <rPr>
        <sz val="11"/>
        <rFont val="Times New Roman"/>
      </rPr>
      <t xml:space="preserve">с. Большая Тура, ул. Железнодорожная, д. 120</t>
    </r>
    <r>
      <rPr>
        <vertAlign val="superscript"/>
        <sz val="11"/>
        <rFont val="Times New Roman"/>
      </rPr>
      <t>(1,2,4,8)</t>
    </r>
  </si>
  <si>
    <r>
      <rPr>
        <sz val="11"/>
        <rFont val="Times New Roman"/>
      </rPr>
      <t xml:space="preserve">с. Большая Тура, ул. Трактовая, д. 113</t>
    </r>
    <r>
      <rPr>
        <vertAlign val="superscript"/>
        <sz val="11"/>
        <rFont val="Times New Roman"/>
      </rPr>
      <t>(1,2,4,8)</t>
    </r>
  </si>
  <si>
    <r>
      <rPr>
        <sz val="11"/>
        <rFont val="Times New Roman"/>
      </rPr>
      <t xml:space="preserve">г. Краснокаменск, мкр. Центральный, д. 3ц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</si>
  <si>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г. Краснокаменск, мкр. Центральный, д. 4ц</t>
    </r>
    <r>
      <rPr>
        <vertAlign val="superscript"/>
        <sz val="11"/>
        <rFont val="Times New Roman"/>
      </rPr>
      <t>(7)</t>
    </r>
  </si>
  <si>
    <r>
      <rPr>
        <sz val="11"/>
        <rFont val="Times New Roman"/>
      </rPr>
      <t xml:space="preserve">с. Маргуцек, ул. Губина, д. 44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</si>
  <si>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с. Красный Чикой, ул. Первомайская, д. 76б</t>
    </r>
    <r>
      <rPr>
        <vertAlign val="superscript"/>
        <sz val="11"/>
        <rFont val="Times New Roman"/>
      </rPr>
      <t>(2)</t>
    </r>
  </si>
  <si>
    <r>
      <t xml:space="preserve">г. Могоча, ул. Аникинская, д. 9</t>
    </r>
    <r>
      <rPr>
        <vertAlign val="superscript"/>
        <sz val="11"/>
        <rFont val="Times New Roman"/>
      </rPr>
      <t>(1/1)</t>
    </r>
  </si>
  <si>
    <t xml:space="preserve">г. Могоча, ул. Малокрестьянская, д. 38</t>
  </si>
  <si>
    <r>
      <rPr>
        <sz val="11"/>
        <rFont val="Times New Roman"/>
      </rPr>
      <t xml:space="preserve">г. Нерчинск, ул. Декабристов, д. 7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</si>
  <si>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г. Нерчинск, ул. Первомайская, д. 80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</si>
  <si>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г. Нерчинск, ул. Строительная, д. 2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</si>
  <si>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Нерчинск, ул. Студгородок, д. 3</t>
    </r>
    <r>
      <rPr>
        <vertAlign val="superscript"/>
        <sz val="11"/>
        <rFont val="Times New Roman"/>
      </rPr>
      <t>(1,9,10)</t>
    </r>
  </si>
  <si>
    <r>
      <rPr>
        <sz val="11"/>
        <rFont val="Times New Roman"/>
      </rPr>
      <t xml:space="preserve">г. Нерчинск, ул. Студгородок, д. 4</t>
    </r>
    <r>
      <rPr>
        <vertAlign val="superscript"/>
        <sz val="11"/>
        <rFont val="Times New Roman"/>
      </rPr>
      <t>(4,5,9)</t>
    </r>
  </si>
  <si>
    <r>
      <rPr>
        <sz val="11"/>
        <rFont val="Times New Roman"/>
      </rPr>
      <t xml:space="preserve">пгт. Оловянная, ул. Гагарина, д. 17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</si>
  <si>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Оловянная, ул. Гагарина, д. 23</t>
    </r>
    <r>
      <rPr>
        <vertAlign val="superscript"/>
        <sz val="11"/>
        <rFont val="Times New Roman"/>
      </rPr>
      <t>(5)</t>
    </r>
  </si>
  <si>
    <r>
      <rPr>
        <sz val="11"/>
        <rFont val="Times New Roman"/>
      </rPr>
      <t xml:space="preserve">пгт. Оловянная, ул. Гагарина, д. 25</t>
    </r>
    <r>
      <rPr>
        <vertAlign val="superscript"/>
        <sz val="11"/>
        <rFont val="Times New Roman"/>
      </rPr>
      <t>(2,4,5,9,10)</t>
    </r>
  </si>
  <si>
    <r>
      <rPr>
        <sz val="11"/>
        <rFont val="Times New Roman"/>
      </rPr>
      <t xml:space="preserve">пгт. Оловянная, ул. Гагарина, д. 27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</si>
  <si>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Оловянная, ул. Машиностроительная, д. 5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</si>
  <si>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пгт. Оловянная, ул. Московская, д. 75</t>
    </r>
    <r>
      <rPr>
        <vertAlign val="superscript"/>
        <sz val="11"/>
        <rFont val="Times New Roman"/>
      </rPr>
      <t>(1,4,5)</t>
    </r>
  </si>
  <si>
    <r>
      <rPr>
        <sz val="11"/>
        <rFont val="Times New Roman"/>
      </rPr>
      <t xml:space="preserve">пгт. Ясногорск, мкр. Луговой, д. 5</t>
    </r>
    <r>
      <rPr>
        <vertAlign val="superscript"/>
        <sz val="11"/>
        <rFont val="Times New Roman"/>
      </rPr>
      <t>(5,8)</t>
    </r>
  </si>
  <si>
    <r>
      <rPr>
        <sz val="11"/>
        <rFont val="Times New Roman"/>
      </rPr>
      <t xml:space="preserve">пгт. Ясногорск, мкр. Советский, д. 3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</si>
  <si>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п/ст. Ясная, пер. Солнечный, д. 2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</si>
  <si>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п/ст. Ясная, ул. 50 лет Октября, д. 1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</si>
  <si>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п/ст. Ясная, ул. 50 лет Октября, д. 2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</si>
  <si>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п/ст. Ясная, ул. 50 лет Октября, д. 3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</si>
  <si>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п/ст. Ясная, ул. 50 лет Октября, д. 5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</si>
  <si>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п/ст. Ясная, ул. 50 лет Октября, д. 7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</si>
  <si>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п/ст. Ясная, ул. Комсомольская, д. 1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</si>
  <si>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п/ст. Ясная, ул. Комсомольская, д. 3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</si>
  <si>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п/ст. Ясная, ул. Комсомольская, д. 5</t>
    </r>
    <r>
      <rPr>
        <vertAlign val="superscript"/>
        <sz val="11"/>
        <rFont val="Times New Roman"/>
      </rPr>
      <t>(1/1)</t>
    </r>
  </si>
  <si>
    <r>
      <rPr>
        <sz val="11"/>
        <rFont val="Times New Roman"/>
      </rPr>
      <t xml:space="preserve">п/ст. Ясная, ул. Мира, д. 4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</si>
  <si>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Петровск-Забайкальский, ул. Ленина, д. 19а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</si>
  <si>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Петровск-Забайкальский, ул. Ленина, д. 24</t>
    </r>
    <r>
      <rPr>
        <vertAlign val="superscript"/>
        <sz val="11"/>
        <rFont val="Times New Roman"/>
      </rPr>
      <t>(5)</t>
    </r>
  </si>
  <si>
    <r>
      <rPr>
        <sz val="11"/>
        <rFont val="Times New Roman"/>
      </rPr>
      <t xml:space="preserve">г. Петровск-Забайкальский, ул. Мысовая, д. 57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</si>
  <si>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Петровск-Забайкальский, ул. Островского, д. 32г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</si>
  <si>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Петровск-Забайкальский, ул. Спортивная, д. 8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</si>
  <si>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Петровск-Забайкальский, ул. Спортивная, д. 23</t>
    </r>
    <r>
      <rPr>
        <vertAlign val="superscript"/>
        <sz val="11"/>
        <rFont val="Times New Roman"/>
      </rPr>
      <t>(2)</t>
    </r>
  </si>
  <si>
    <r>
      <rPr>
        <sz val="11"/>
        <rFont val="Times New Roman"/>
      </rPr>
      <t xml:space="preserve">пгт. Приаргунск, мкр. МЖК, д. 1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</si>
  <si>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Приаргунск, мкр. МЖК, д. 2</t>
    </r>
    <r>
      <rPr>
        <vertAlign val="superscript"/>
        <sz val="11"/>
        <rFont val="Times New Roman"/>
      </rPr>
      <t>(4,5,8,910)</t>
    </r>
  </si>
  <si>
    <r>
      <rPr>
        <sz val="11"/>
        <rFont val="Times New Roman"/>
      </rPr>
      <t xml:space="preserve">пгт. Приаргунск, ул. Декабристов, д. 12</t>
    </r>
    <r>
      <rPr>
        <vertAlign val="superscript"/>
        <sz val="11"/>
        <rFont val="Times New Roman"/>
      </rPr>
      <t>(4,5)</t>
    </r>
  </si>
  <si>
    <r>
      <rPr>
        <sz val="11"/>
        <rFont val="Times New Roman"/>
      </rPr>
      <t xml:space="preserve">пгт. Приаргунск, ул. Комсомольская, д. 10</t>
    </r>
    <r>
      <rPr>
        <vertAlign val="superscript"/>
        <sz val="11"/>
        <rFont val="Times New Roman"/>
      </rPr>
      <t>(4,5)</t>
    </r>
  </si>
  <si>
    <r>
      <rPr>
        <sz val="11"/>
        <rFont val="Times New Roman"/>
      </rPr>
      <t xml:space="preserve">пгт. Приаргунск, ул. Чернышевского, д. 6</t>
    </r>
    <r>
      <rPr>
        <vertAlign val="superscript"/>
        <sz val="11"/>
        <rFont val="Times New Roman"/>
      </rPr>
      <t>(1,5)</t>
    </r>
  </si>
  <si>
    <r>
      <rPr>
        <sz val="11"/>
        <rFont val="Times New Roman"/>
      </rPr>
      <t xml:space="preserve">п. Досатуй, ул. Привокзальная, д. 2а</t>
    </r>
    <r>
      <rPr>
        <vertAlign val="superscript"/>
        <sz val="11"/>
        <rFont val="Times New Roman"/>
      </rPr>
      <t>(4,8)</t>
    </r>
  </si>
  <si>
    <r>
      <rPr>
        <sz val="11"/>
        <rFont val="Times New Roman"/>
      </rPr>
      <t xml:space="preserve">п. Досатуй, ул. Привокзальная, д. 2б</t>
    </r>
    <r>
      <rPr>
        <vertAlign val="superscript"/>
        <sz val="11"/>
        <rFont val="Times New Roman"/>
      </rPr>
      <t>(4,8)</t>
    </r>
  </si>
  <si>
    <r>
      <rPr>
        <sz val="11"/>
        <rFont val="Times New Roman"/>
      </rPr>
      <t xml:space="preserve">г. Сретенск, ул. Гагарина, д. 19</t>
    </r>
    <r>
      <rPr>
        <vertAlign val="superscript"/>
        <sz val="11"/>
        <rFont val="Times New Roman"/>
      </rPr>
      <t>(1,5)</t>
    </r>
  </si>
  <si>
    <r>
      <rPr>
        <sz val="11"/>
        <rFont val="Times New Roman"/>
      </rPr>
      <t xml:space="preserve">г. Сретенск, ул. Карелина, д. 58</t>
    </r>
    <r>
      <rPr>
        <vertAlign val="superscript"/>
        <sz val="11"/>
        <rFont val="Times New Roman"/>
      </rPr>
      <t>(1,5)</t>
    </r>
  </si>
  <si>
    <r>
      <rPr>
        <sz val="11"/>
        <rFont val="Times New Roman"/>
      </rPr>
      <t xml:space="preserve">пгт. Кокуй, ул. Заводская, д. 25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</si>
  <si>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с. Верх-Усугли, ул. Первомайская, д. 11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</si>
  <si>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Хилок, ул. Ленина, д. 23а</t>
    </r>
    <r>
      <rPr>
        <vertAlign val="superscript"/>
        <sz val="11"/>
        <rFont val="Times New Roman"/>
      </rPr>
      <t>(5)</t>
    </r>
  </si>
  <si>
    <r>
      <rPr>
        <sz val="11"/>
        <rFont val="Times New Roman"/>
      </rPr>
      <t xml:space="preserve">с. Бада, г-к Северный, д. 2</t>
    </r>
    <r>
      <rPr>
        <vertAlign val="superscript"/>
        <sz val="11"/>
        <rFont val="Times New Roman"/>
      </rPr>
      <t>(1,2,6)</t>
    </r>
  </si>
  <si>
    <r>
      <rPr>
        <sz val="11"/>
        <rFont val="Times New Roman"/>
      </rPr>
      <t xml:space="preserve">с. Бада, г-к Северный, д. 3</t>
    </r>
    <r>
      <rPr>
        <vertAlign val="superscript"/>
        <sz val="11"/>
        <rFont val="Times New Roman"/>
      </rPr>
      <t>(1,2,6)</t>
    </r>
  </si>
  <si>
    <r>
      <rPr>
        <sz val="11"/>
        <rFont val="Times New Roman"/>
      </rPr>
      <t xml:space="preserve">пгт. Аксёново-Зиловское, ул. Энергетиков, д. 5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</si>
  <si>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Чернышевск, ул. Журавлева, д. 53</t>
    </r>
    <r>
      <rPr>
        <vertAlign val="superscript"/>
        <sz val="11"/>
        <rFont val="Times New Roman"/>
      </rPr>
      <t>(1,4)</t>
    </r>
  </si>
  <si>
    <r>
      <rPr>
        <sz val="11"/>
        <rFont val="Times New Roman"/>
      </rPr>
      <t xml:space="preserve">пгт. Чернышевск, ул. Журавлева, д. 61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</si>
  <si>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пгт. Чернышевск, ул. Журавлева, д. 73</t>
    </r>
    <r>
      <rPr>
        <vertAlign val="superscript"/>
        <sz val="11"/>
        <rFont val="Times New Roman"/>
      </rPr>
      <t>(1,5)</t>
    </r>
  </si>
  <si>
    <r>
      <rPr>
        <sz val="11"/>
        <rFont val="Times New Roman"/>
      </rPr>
      <t xml:space="preserve">пгт. Чернышевск, ул. Комсомольская, д. 26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</si>
  <si>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Чернышевск, ул. Комсомольская, д. 28</t>
    </r>
    <r>
      <rPr>
        <vertAlign val="superscript"/>
        <sz val="11"/>
        <rFont val="Times New Roman"/>
      </rPr>
      <t>(4,5)</t>
    </r>
  </si>
  <si>
    <r>
      <rPr>
        <sz val="11"/>
        <rFont val="Times New Roman"/>
      </rPr>
      <t xml:space="preserve">пгт. Чернышевск, ул. Первомайская, д. 29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</si>
  <si>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Чернышевск, ул. Первомайская, д. 33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</si>
  <si>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Атамановка, ул. Заводская, д. 12</t>
    </r>
    <r>
      <rPr>
        <vertAlign val="superscript"/>
        <sz val="11"/>
        <rFont val="Times New Roman"/>
      </rPr>
      <t>(8,9)</t>
    </r>
  </si>
  <si>
    <r>
      <rPr>
        <sz val="11"/>
        <rFont val="Times New Roman"/>
      </rPr>
      <t xml:space="preserve">пгт. Атамановка, ул. Заводская, д. 3</t>
    </r>
    <r>
      <rPr>
        <vertAlign val="superscript"/>
        <sz val="11"/>
        <rFont val="Times New Roman"/>
      </rPr>
      <t>(8,10)</t>
    </r>
  </si>
  <si>
    <r>
      <rPr>
        <sz val="11"/>
        <rFont val="Times New Roman"/>
      </rPr>
      <t xml:space="preserve">пгт. Атамановка, ул. Связи, д. 42</t>
    </r>
    <r>
      <rPr>
        <vertAlign val="superscript"/>
        <sz val="11"/>
        <rFont val="Times New Roman"/>
      </rPr>
      <t>(10)</t>
    </r>
  </si>
  <si>
    <r>
      <rPr>
        <sz val="11"/>
        <rFont val="Times New Roman"/>
      </rPr>
      <t xml:space="preserve">пгт. Новокручининский, ул. Заводская, д. 10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</si>
  <si>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пгт. Новокручининский, ул. Заводская, д. 5</t>
    </r>
    <r>
      <rPr>
        <vertAlign val="superscript"/>
        <sz val="11"/>
        <rFont val="Times New Roman"/>
      </rPr>
      <t>(4)</t>
    </r>
  </si>
  <si>
    <r>
      <rPr>
        <sz val="11"/>
        <rFont val="Times New Roman"/>
      </rPr>
      <t xml:space="preserve">пгт. Новокручининский, ул. Подлесная, д. 18</t>
    </r>
    <r>
      <rPr>
        <vertAlign val="superscript"/>
        <sz val="11"/>
        <rFont val="Times New Roman"/>
      </rPr>
      <t>(8,9)</t>
    </r>
  </si>
  <si>
    <r>
      <rPr>
        <sz val="11"/>
        <rFont val="Times New Roman"/>
      </rPr>
      <t xml:space="preserve">пгт. Новокручининский, ул. Российская, д. 1</t>
    </r>
    <r>
      <rPr>
        <vertAlign val="superscript"/>
        <sz val="11"/>
        <rFont val="Times New Roman"/>
      </rPr>
      <t>(4,9,10)</t>
    </r>
  </si>
  <si>
    <r>
      <rPr>
        <sz val="11"/>
        <rFont val="Times New Roman"/>
      </rPr>
      <t xml:space="preserve">с. Лесной городок, ул. Трактовая, д. 2</t>
    </r>
    <r>
      <rPr>
        <vertAlign val="superscript"/>
        <sz val="11"/>
        <rFont val="Times New Roman"/>
      </rPr>
      <t>(1,4)</t>
    </r>
  </si>
  <si>
    <r>
      <rPr>
        <sz val="11"/>
        <rFont val="Times New Roman"/>
      </rPr>
      <t xml:space="preserve">с. Лесной городок, ул. Трактовая, д. 3</t>
    </r>
    <r>
      <rPr>
        <vertAlign val="superscript"/>
        <sz val="11"/>
        <rFont val="Times New Roman"/>
      </rPr>
      <t>(1,4)</t>
    </r>
  </si>
  <si>
    <r>
      <rPr>
        <sz val="11"/>
        <rFont val="Times New Roman"/>
      </rPr>
      <t xml:space="preserve">с. Лесной городок, ул. Центральная, д. 3</t>
    </r>
    <r>
      <rPr>
        <vertAlign val="superscript"/>
        <sz val="11"/>
        <rFont val="Times New Roman"/>
      </rPr>
      <t>(1,4,8)</t>
    </r>
  </si>
  <si>
    <r>
      <rPr>
        <sz val="11"/>
        <rFont val="Times New Roman"/>
      </rPr>
      <t xml:space="preserve">с. Лесной городок, ул. Центральная, д. 4</t>
    </r>
    <r>
      <rPr>
        <vertAlign val="superscript"/>
        <sz val="11"/>
        <rFont val="Times New Roman"/>
      </rPr>
      <t>(1,2,4,8)</t>
    </r>
  </si>
  <si>
    <r>
      <rPr>
        <sz val="11"/>
        <rFont val="Times New Roman"/>
      </rPr>
      <t xml:space="preserve">с. Маккавеево, ул. Молодежная, д. 65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</si>
  <si>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с. Смоленка, Военный городок 31, д. 2</t>
    </r>
    <r>
      <rPr>
        <vertAlign val="superscript"/>
        <sz val="11"/>
        <rFont val="Times New Roman"/>
      </rPr>
      <t>(1,2,4,5,8)</t>
    </r>
  </si>
  <si>
    <r>
      <rPr>
        <sz val="11"/>
        <rFont val="Times New Roman"/>
      </rPr>
      <t xml:space="preserve">с. Смоленка, Военный городок 31, д. 3</t>
    </r>
    <r>
      <rPr>
        <vertAlign val="superscript"/>
        <sz val="11"/>
        <rFont val="Times New Roman"/>
      </rPr>
      <t>(1,2,4,5,8)</t>
    </r>
  </si>
  <si>
    <r>
      <rPr>
        <sz val="11"/>
        <rFont val="Times New Roman"/>
      </rPr>
      <t xml:space="preserve">г. Шилка, мкр. Северный, д. 3</t>
    </r>
    <r>
      <rPr>
        <vertAlign val="superscript"/>
        <sz val="11"/>
        <rFont val="Times New Roman"/>
      </rPr>
      <t>(9)</t>
    </r>
  </si>
  <si>
    <r>
      <rPr>
        <sz val="11"/>
        <rFont val="Times New Roman"/>
      </rPr>
      <t xml:space="preserve">г. Шилка, ул. Погодаева, д. 13</t>
    </r>
    <r>
      <rPr>
        <vertAlign val="superscript"/>
        <sz val="11"/>
        <rFont val="Times New Roman"/>
      </rPr>
      <t>(8)</t>
    </r>
  </si>
  <si>
    <t xml:space="preserve">пгт. Первомайский, нп. Микрорайон, д. 4 </t>
  </si>
  <si>
    <r>
      <rPr>
        <sz val="11"/>
        <rFont val="Times New Roman"/>
      </rPr>
      <t xml:space="preserve">пгт. Первомайский, ул. Ленина, д. 14</t>
    </r>
    <r>
      <rPr>
        <vertAlign val="superscript"/>
        <sz val="11"/>
        <rFont val="Times New Roman"/>
      </rPr>
      <t>(4,5)</t>
    </r>
  </si>
  <si>
    <r>
      <rPr>
        <sz val="11"/>
        <rFont val="Times New Roman"/>
      </rPr>
      <t xml:space="preserve">пгт. Первомайский, ул. Мира, д. 21</t>
    </r>
    <r>
      <rPr>
        <vertAlign val="superscript"/>
        <sz val="11"/>
        <rFont val="Times New Roman"/>
      </rPr>
      <t>(4,5)</t>
    </r>
  </si>
  <si>
    <r>
      <rPr>
        <sz val="11"/>
        <rFont val="Times New Roman"/>
      </rPr>
      <t xml:space="preserve">пгт. Первомайский, ул. Пролетарская, д. 12а</t>
    </r>
    <r>
      <rPr>
        <vertAlign val="superscript"/>
        <sz val="11"/>
        <rFont val="Times New Roman"/>
      </rPr>
      <t>(1,5)</t>
    </r>
  </si>
  <si>
    <r>
      <rPr>
        <sz val="11"/>
        <rFont val="Times New Roman"/>
      </rPr>
      <t xml:space="preserve">пгт. Первомайский, ул. Пролетарская, д. 16</t>
    </r>
    <r>
      <rPr>
        <vertAlign val="superscript"/>
        <sz val="11"/>
        <rFont val="Times New Roman"/>
      </rPr>
      <t>(1,5)</t>
    </r>
  </si>
  <si>
    <r>
      <rPr>
        <sz val="11"/>
        <rFont val="Times New Roman"/>
      </rPr>
      <t xml:space="preserve">пгт. Первомайский, ул. Пролетарская, д. 26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</si>
  <si>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Первомайский, ул. Строительная, д. 5, блок Б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</si>
  <si>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Первомайский, ул. Строительная, д. 20</t>
    </r>
    <r>
      <rPr>
        <vertAlign val="superscript"/>
        <sz val="11"/>
        <rFont val="Times New Roman"/>
      </rPr>
      <t>(5)</t>
    </r>
  </si>
  <si>
    <r>
      <rPr>
        <sz val="11"/>
        <rFont val="Times New Roman"/>
      </rPr>
      <t xml:space="preserve">пгт. Холбон, ул. Больничная, д. 1</t>
    </r>
    <r>
      <rPr>
        <vertAlign val="superscript"/>
        <sz val="11"/>
        <rFont val="Times New Roman"/>
      </rPr>
      <t>(4,5)</t>
    </r>
  </si>
  <si>
    <r>
      <rPr>
        <sz val="11"/>
        <rFont val="Times New Roman"/>
      </rPr>
      <t xml:space="preserve">пгт. Холбон, ул. Советская, д. 6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</si>
  <si>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г. Чита, ул. Донская, д. 4</t>
    </r>
    <r>
      <rPr>
        <vertAlign val="superscript"/>
        <sz val="11"/>
        <rFont val="Times New Roman"/>
      </rPr>
      <t>(1,6)</t>
    </r>
  </si>
  <si>
    <r>
      <rPr>
        <sz val="11"/>
        <rFont val="Times New Roman"/>
      </rPr>
      <t xml:space="preserve">г. Чита, ул. Малая, д. 4</t>
    </r>
    <r>
      <rPr>
        <vertAlign val="superscript"/>
        <sz val="11"/>
        <rFont val="Times New Roman"/>
      </rPr>
      <t>(8)</t>
    </r>
  </si>
  <si>
    <r>
      <rPr>
        <sz val="11"/>
        <rFont val="Times New Roman"/>
      </rPr>
      <t xml:space="preserve">г. Чита, ул. Столярова, д. 44</t>
    </r>
    <r>
      <rPr>
        <vertAlign val="superscript"/>
        <sz val="11"/>
        <rFont val="Times New Roman"/>
      </rPr>
      <t>(5)</t>
    </r>
  </si>
  <si>
    <r>
      <rPr>
        <sz val="11"/>
        <rFont val="Times New Roman"/>
      </rPr>
      <t xml:space="preserve">пгт. Шерловая Гора, ул. Дзержинского, д. 5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</si>
  <si>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пгт. Новая Чара, ул. Магистральная, д. 18</t>
    </r>
    <r>
      <rPr>
        <vertAlign val="superscript"/>
        <sz val="11"/>
        <rFont val="Times New Roman"/>
      </rPr>
      <t>(1/1)</t>
    </r>
  </si>
  <si>
    <t xml:space="preserve">п/ст. Куанда, ул. Советская, д. 10а</t>
  </si>
  <si>
    <t xml:space="preserve"> пгт. Дарасун, ул. Калинина, д. 8</t>
  </si>
  <si>
    <r>
      <rPr>
        <sz val="11"/>
        <rFont val="Times New Roman"/>
      </rPr>
      <t xml:space="preserve">г. Нерчинск, ул. Декабристов, д. 37</t>
    </r>
    <r>
      <rPr>
        <vertAlign val="superscript"/>
        <sz val="11"/>
        <rFont val="Times New Roman"/>
      </rPr>
      <t>(1,4,5,9,10)</t>
    </r>
  </si>
  <si>
    <r>
      <rPr>
        <sz val="11"/>
        <rFont val="Times New Roman"/>
      </rPr>
      <t xml:space="preserve">г. Нерчинск, ул. Сибирская, д. 8</t>
    </r>
    <r>
      <rPr>
        <vertAlign val="superscript"/>
        <sz val="11"/>
        <rFont val="Times New Roman"/>
      </rPr>
      <t>(5)</t>
    </r>
  </si>
  <si>
    <r>
      <rPr>
        <sz val="11"/>
        <rFont val="Times New Roman"/>
      </rPr>
      <t xml:space="preserve">г. Нерчинск, ул. Шилова, д. 36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</si>
  <si>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п/ст. Ясная, ул. Мира, д. 3</t>
    </r>
    <r>
      <rPr>
        <vertAlign val="superscript"/>
        <sz val="11"/>
        <rFont val="Times New Roman"/>
      </rPr>
      <t>(1/1,8)</t>
    </r>
  </si>
  <si>
    <t xml:space="preserve">г. Петровск-Забайкальский, ул. Спортивная, д. 16</t>
  </si>
  <si>
    <t xml:space="preserve">г. Петровск-Забайкальский, ул. Спортивная, д. 23</t>
  </si>
  <si>
    <t xml:space="preserve">Итого по Сретенскому муницпальному округу:</t>
  </si>
  <si>
    <r>
      <rPr>
        <sz val="11"/>
        <rFont val="Times New Roman"/>
      </rPr>
      <t xml:space="preserve">пгт. Вершино-Дарасунский, ул. Юбилейная, д. 1а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</si>
  <si>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с. Верх-Усугли, ул. Пролетарская, д. 12</t>
    </r>
    <r>
      <rPr>
        <vertAlign val="superscript"/>
        <sz val="11"/>
        <rFont val="Times New Roman"/>
      </rPr>
      <t>(1)</t>
    </r>
  </si>
  <si>
    <r>
      <rPr>
        <sz val="11"/>
        <rFont val="Times New Roman"/>
      </rPr>
      <t xml:space="preserve">с. Бада, г-к Северный, д. 2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</si>
  <si>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с. Бада, г-к Северный, д. 3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</si>
  <si>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пгт. Атамановка, ул. Связи, д. 24а</t>
    </r>
    <r>
      <rPr>
        <vertAlign val="superscript"/>
        <sz val="11"/>
        <rFont val="Times New Roman"/>
      </rPr>
      <t>(6,9)</t>
    </r>
  </si>
  <si>
    <r>
      <rPr>
        <sz val="11"/>
        <rFont val="Times New Roman"/>
      </rPr>
      <t xml:space="preserve">п/ст. Гонгота, ул. ДОС, д. 5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</si>
  <si>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с. Лесной городок, ул. Трактовая, д. 2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</si>
  <si>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с. Лесной городок, ул. Трактовая, д. 3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</si>
  <si>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с. Лесной городок, ул. Центральная, д. 3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</si>
  <si>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с. Лесной городок, ул. Центральная, д. 4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</si>
  <si>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с. Смоленка, Военный городок 31, д. 2</t>
    </r>
    <r>
      <rPr>
        <vertAlign val="superscript"/>
        <sz val="11"/>
        <rFont val="Times New Roman"/>
      </rPr>
      <t>(9,10)</t>
    </r>
  </si>
  <si>
    <r>
      <rPr>
        <sz val="11"/>
        <rFont val="Times New Roman"/>
      </rPr>
      <t xml:space="preserve">с. Смоленка, Военный городок 31, д. 3</t>
    </r>
    <r>
      <rPr>
        <vertAlign val="superscript"/>
        <sz val="11"/>
        <rFont val="Times New Roman"/>
      </rPr>
      <t>(9,10)</t>
    </r>
  </si>
  <si>
    <t xml:space="preserve">пгт. Первомайский, нп. Микрорайон, д. 12</t>
  </si>
  <si>
    <t xml:space="preserve">г. Чита, ул. Инструментальная, д. 6</t>
  </si>
  <si>
    <t xml:space="preserve">г. Чита, ул. Назара Широких, д. 4</t>
  </si>
  <si>
    <t xml:space="preserve">г. Борзя, ул. Лазо, д. 14</t>
  </si>
  <si>
    <r>
      <rPr>
        <sz val="11"/>
        <rFont val="Times New Roman"/>
      </rPr>
      <t xml:space="preserve">пгт. Кокуй, ул. Ленина, д. 1</t>
    </r>
    <r>
      <rPr>
        <vertAlign val="superscript"/>
        <sz val="11"/>
        <rFont val="Times New Roman"/>
      </rPr>
      <t>(2)</t>
    </r>
  </si>
  <si>
    <t>Примечание:</t>
  </si>
  <si>
    <t xml:space="preserve">(1) - разработка проектной документации на ремонт крыши</t>
  </si>
  <si>
    <t xml:space="preserve">(1/1) - разработка проектной документации на переустройство крыши с невентилируемой на вентилируемую</t>
  </si>
  <si>
    <t xml:space="preserve">(2) - разработка проектной документации на ремонт фасада</t>
  </si>
  <si>
    <t xml:space="preserve">(2/2) - разработка проектной документации на ремонт фасада с утеплением</t>
  </si>
  <si>
    <t xml:space="preserve">(3) - разработка проектной документации на ремонт фундамента</t>
  </si>
  <si>
    <t xml:space="preserve">(4) - разработка проектной документации на ремонт внутридомовой инженерной системы теплоснабжения</t>
  </si>
  <si>
    <t xml:space="preserve">(5) - разработка проектной документации на ремонт внутридомовой инженерной системы электроснабжения</t>
  </si>
  <si>
    <t xml:space="preserve">(6) - разработка проектной документации на ремонт внутридомовой инженерной системы теплоснабжения и горячего водоснабжения</t>
  </si>
  <si>
    <t xml:space="preserve">(7) - разработка проектной документации на замену и ремонт лифтового оборудования</t>
  </si>
  <si>
    <t xml:space="preserve">(8) - разработка проектной документации на ремонт внутридомовой инженерной системы горячего водоснабжения</t>
  </si>
  <si>
    <t xml:space="preserve">(9) - разработка проектной документации на ремонт внутридомовой инженерной системы холодного водоснабжения</t>
  </si>
  <si>
    <t xml:space="preserve">(10) - разработка проектной документации на ремонт внутридомовой инженерной системы водоотведения</t>
  </si>
  <si>
    <t xml:space="preserve">(11) - разработка проектной документации на ремонт подвального помещения</t>
  </si>
  <si>
    <t>".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</si>
</sst>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3">
    <numFmt numFmtId="160" formatCode="[$-419]General"/>
    <numFmt numFmtId="161" formatCode="#,##0.00&quot; &quot;[$руб.-419];[Red]&quot;-&quot;#,##0.00&quot; &quot;[$руб.-419]"/>
    <numFmt numFmtId="162" formatCode="_-* #,##0.00\ _₽_-;\-* #,##0.00\ _₽_-;_-* &quot;-&quot;??\ _₽_-;_-@_-"/>
    <numFmt numFmtId="163" formatCode="_-* #,##0.00_р_._-;\-* #,##0.00_р_._-;_-* &quot;-&quot;??_р_._-;_-@_-"/>
    <numFmt numFmtId="164" formatCode="_-* #,##0.00_-;\-* #,##0.00_-;_-* &quot;-&quot;??_-;_-@_-"/>
    <numFmt numFmtId="165" formatCode="0.0"/>
    <numFmt numFmtId="166" formatCode="#,##0.0"/>
    <numFmt numFmtId="167" formatCode="mmm/yy"/>
    <numFmt numFmtId="168" formatCode="_-* #,##0.0_-;&quot;-&quot;* #,##0.0_-;_-* &quot;-&quot;??_-;_-@_-"/>
    <numFmt numFmtId="169" formatCode="0.000"/>
    <numFmt numFmtId="170" formatCode="###&quot; &quot;###&quot; &quot;###&quot; &quot;##0.0"/>
    <numFmt numFmtId="171" formatCode="dd/mm/yyyy"/>
    <numFmt numFmtId="172" formatCode="#,##0.00_ ;\-#,##0.00\ "/>
  </numFmts>
  <fonts count="34">
    <font>
      <sz val="11.000000"/>
      <color theme="1"/>
      <name val="Calibri"/>
      <scheme val="minor"/>
    </font>
    <font>
      <sz val="11.000000"/>
      <name val="Calibri"/>
    </font>
    <font>
      <b/>
      <i/>
      <sz val="16.000000"/>
      <color theme="1"/>
      <name val="Arial"/>
    </font>
    <font>
      <b/>
      <i/>
      <u/>
      <sz val="11.000000"/>
      <color theme="1"/>
      <name val="Arial"/>
    </font>
    <font>
      <sz val="10.000000"/>
      <name val="Arial"/>
    </font>
    <font>
      <sz val="11.000000"/>
      <color theme="1"/>
      <name val="Arial"/>
    </font>
    <font>
      <sz val="11.000000"/>
      <name val="Times New Roman"/>
    </font>
    <font>
      <sz val="14.000000"/>
      <name val="Times New Roman"/>
    </font>
    <font>
      <sz val="11.000000"/>
      <name val="Calibri"/>
      <scheme val="minor"/>
    </font>
    <font>
      <b/>
      <sz val="14.000000"/>
      <name val="Times New Roman"/>
    </font>
    <font>
      <b/>
      <sz val="12.000000"/>
      <name val="Times New Roman"/>
    </font>
    <font>
      <b/>
      <sz val="11.000000"/>
      <color theme="1"/>
      <name val="Times New Roman"/>
    </font>
    <font>
      <b/>
      <sz val="11.000000"/>
      <name val="Times New Roman"/>
    </font>
    <font>
      <b/>
      <sz val="11.000000"/>
      <color rgb="FF0070C0"/>
      <name val="Times New Roman"/>
    </font>
    <font>
      <sz val="11.000000"/>
      <color rgb="FF0070C0"/>
      <name val="Times New Roman"/>
    </font>
    <font>
      <sz val="11.000000"/>
      <color rgb="FF0070C0"/>
      <name val="Calibri"/>
      <scheme val="minor"/>
    </font>
    <font>
      <b/>
      <sz val="11.000000"/>
      <color theme="1" tint="0"/>
      <name val="Times New Roman"/>
    </font>
    <font>
      <b/>
      <sz val="11.000000"/>
      <color indexed="2"/>
      <name val="Times New Roman"/>
    </font>
    <font>
      <sz val="11.000000"/>
      <color indexed="2"/>
      <name val="Times New Roman"/>
    </font>
    <font>
      <sz val="11.000000"/>
      <color indexed="2"/>
      <name val="Calibri"/>
      <scheme val="minor"/>
    </font>
    <font>
      <b/>
      <sz val="16.000000"/>
      <name val="Times New Roman"/>
    </font>
    <font>
      <b/>
      <sz val="11.000000"/>
      <color theme="1"/>
      <name val="Calibri"/>
      <scheme val="minor"/>
    </font>
    <font>
      <b/>
      <sz val="11.000000"/>
      <name val="Calibri"/>
      <scheme val="minor"/>
    </font>
    <font>
      <b/>
      <sz val="12.000000"/>
      <name val="Calibri"/>
      <scheme val="minor"/>
    </font>
    <font>
      <sz val="11.000000"/>
      <color theme="1" tint="0"/>
      <name val="Calibri"/>
      <scheme val="minor"/>
    </font>
    <font>
      <b/>
      <sz val="14.000000"/>
      <name val="Calibri"/>
      <scheme val="minor"/>
    </font>
    <font>
      <b/>
      <sz val="14.000000"/>
      <color theme="1"/>
      <name val="Calibri"/>
      <scheme val="minor"/>
    </font>
    <font>
      <sz val="12.000000"/>
      <color theme="1"/>
      <name val="Calibri"/>
      <scheme val="minor"/>
    </font>
    <font>
      <b/>
      <sz val="11.000000"/>
      <color rgb="FF0070C0"/>
      <name val="Calibri"/>
      <scheme val="minor"/>
    </font>
    <font>
      <sz val="10.000000"/>
      <name val="Times New Roman"/>
    </font>
    <font>
      <b/>
      <sz val="11.000000"/>
      <color theme="1" tint="0"/>
      <name val="Calibri"/>
      <scheme val="minor"/>
    </font>
    <font>
      <b/>
      <sz val="11.000000"/>
      <color indexed="2"/>
      <name val="Calibri"/>
      <scheme val="minor"/>
    </font>
    <font>
      <sz val="12.000000"/>
      <color rgb="FF0070C0"/>
      <name val="Calibri"/>
      <scheme val="minor"/>
    </font>
    <font>
      <sz val="11.000000"/>
      <color theme="1" tint="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2" tint="0"/>
        <bgColor theme="2" tint="0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2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thin">
        <color theme="1"/>
      </bottom>
      <diagonal style="none"/>
    </border>
  </borders>
  <cellStyleXfs count="4260">
    <xf fontId="0" fillId="0" borderId="0" numFmtId="0" applyNumberFormat="1" applyFont="1" applyFill="1" applyBorder="1"/>
    <xf fontId="1" fillId="0" borderId="0" numFmtId="160" applyNumberFormat="1" applyFont="1" applyFill="1" applyBorder="1"/>
    <xf fontId="2" fillId="0" borderId="0" numFmtId="0" applyNumberFormat="1" applyFont="1" applyFill="1" applyBorder="1">
      <alignment horizontal="center"/>
    </xf>
    <xf fontId="2" fillId="0" borderId="0" numFmtId="0" applyNumberFormat="1" applyFont="1" applyFill="1" applyBorder="1">
      <alignment horizontal="center" textRotation="90"/>
    </xf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4" fillId="0" borderId="0" numFmtId="0" applyNumberFormat="0" applyFont="0" applyFill="0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162" applyNumberFormat="1" applyFont="0" applyFill="0" applyBorder="0" applyProtection="0"/>
    <xf fontId="1" fillId="0" borderId="0" numFmtId="163" applyNumberFormat="1" applyFont="0" applyFill="0" applyBorder="0" applyProtection="0"/>
    <xf fontId="1" fillId="0" borderId="0" numFmtId="163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4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4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3" applyNumberFormat="1" applyFont="0" applyFill="0" applyBorder="0" applyProtection="0"/>
    <xf fontId="1" fillId="0" borderId="0" numFmtId="163" applyNumberFormat="1" applyFont="0" applyFill="0" applyBorder="0" applyProtection="0"/>
    <xf fontId="1" fillId="0" borderId="0" numFmtId="163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0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3" applyNumberFormat="1" applyFont="0" applyFill="0" applyBorder="0" applyProtection="0"/>
    <xf fontId="1" fillId="0" borderId="0" numFmtId="163" applyNumberFormat="1" applyFont="0" applyFill="0" applyBorder="0" applyProtection="0"/>
    <xf fontId="1" fillId="0" borderId="0" numFmtId="163" applyNumberFormat="1" applyFont="0" applyFill="0" applyBorder="0" applyProtection="0"/>
    <xf fontId="1" fillId="0" borderId="0" numFmtId="162" applyNumberFormat="1" applyFont="0" applyFill="0" applyBorder="0" applyProtection="0"/>
    <xf fontId="0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3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3" applyNumberFormat="1" applyFont="0" applyFill="0" applyBorder="0" applyProtection="0"/>
    <xf fontId="1" fillId="0" borderId="0" numFmtId="163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2" applyNumberFormat="1" applyFont="0" applyFill="0" applyBorder="0" applyProtection="0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49">
    <xf fontId="0" fillId="0" borderId="0" numFmtId="0" xfId="0"/>
    <xf fontId="6" fillId="0" borderId="0" numFmtId="0" xfId="0" applyFont="1" applyAlignment="1">
      <alignment wrapText="1"/>
    </xf>
    <xf fontId="6" fillId="0" borderId="0" numFmtId="49" xfId="0" applyNumberFormat="1" applyFont="1" applyAlignment="1">
      <alignment wrapText="1"/>
    </xf>
    <xf fontId="6" fillId="0" borderId="0" numFmtId="0" xfId="0" applyFont="1"/>
    <xf fontId="7" fillId="0" borderId="0" numFmtId="0" xfId="0" applyFont="1" applyAlignment="1">
      <alignment wrapText="1"/>
    </xf>
    <xf fontId="7" fillId="0" borderId="0" numFmtId="0" xfId="0" applyFont="1" applyAlignment="1">
      <alignment horizontal="center" wrapText="1"/>
    </xf>
    <xf fontId="8" fillId="0" borderId="0" numFmtId="0" xfId="0" applyFont="1"/>
    <xf fontId="0" fillId="0" borderId="0" numFmtId="0" xfId="0"/>
    <xf fontId="7" fillId="0" borderId="0" numFmtId="0" xfId="0" applyFont="1" applyAlignment="1">
      <alignment horizontal="left" wrapText="1"/>
    </xf>
    <xf fontId="9" fillId="0" borderId="0" numFmtId="0" xfId="0" applyFont="1" applyAlignment="1">
      <alignment horizontal="center" vertical="center" wrapText="1"/>
    </xf>
    <xf fontId="9" fillId="0" borderId="0" numFmtId="49" xfId="0" applyNumberFormat="1" applyFont="1" applyAlignment="1">
      <alignment horizontal="center" vertical="center" wrapText="1"/>
    </xf>
    <xf fontId="10" fillId="0" borderId="0" numFmtId="0" xfId="0" applyFont="1" applyAlignment="1">
      <alignment horizontal="center" vertical="center" wrapText="1"/>
    </xf>
    <xf fontId="10" fillId="0" borderId="0" numFmtId="49" xfId="0" applyNumberFormat="1" applyFont="1" applyAlignment="1">
      <alignment horizontal="center" vertical="center" wrapText="1"/>
    </xf>
    <xf fontId="10" fillId="0" borderId="1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2" numFmtId="49" xfId="0" applyNumberFormat="1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textRotation="90" vertical="center" wrapText="1"/>
    </xf>
    <xf fontId="6" fillId="0" borderId="2" numFmtId="49" xfId="0" applyNumberFormat="1" applyFont="1" applyBorder="1" applyAlignment="1">
      <alignment horizontal="center" textRotation="90" vertical="center" wrapText="1"/>
    </xf>
    <xf fontId="6" fillId="0" borderId="2" numFmtId="0" xfId="0" applyFont="1" applyBorder="1" applyAlignment="1">
      <alignment horizontal="center" vertical="center"/>
    </xf>
    <xf fontId="11" fillId="2" borderId="0" numFmtId="0" xfId="0" applyFont="1" applyFill="1"/>
    <xf fontId="12" fillId="2" borderId="2" numFmtId="0" xfId="0" applyFont="1" applyFill="1" applyBorder="1" applyAlignment="1">
      <alignment wrapText="1"/>
    </xf>
    <xf fontId="10" fillId="2" borderId="2" numFmtId="0" xfId="0" applyFont="1" applyFill="1" applyBorder="1" applyAlignment="1">
      <alignment horizontal="center" wrapText="1"/>
    </xf>
    <xf fontId="12" fillId="2" borderId="2" numFmtId="49" xfId="0" applyNumberFormat="1" applyFont="1" applyFill="1" applyBorder="1" applyAlignment="1">
      <alignment wrapText="1"/>
    </xf>
    <xf fontId="12" fillId="2" borderId="2" numFmtId="0" xfId="0" applyFont="1" applyFill="1" applyBorder="1"/>
    <xf fontId="11" fillId="3" borderId="0" numFmtId="0" xfId="0" applyFont="1" applyFill="1"/>
    <xf fontId="12" fillId="3" borderId="2" numFmtId="0" xfId="0" applyFont="1" applyFill="1" applyBorder="1" applyAlignment="1">
      <alignment wrapText="1"/>
    </xf>
    <xf fontId="12" fillId="3" borderId="2" numFmtId="0" xfId="0" applyFont="1" applyFill="1" applyBorder="1" applyAlignment="1">
      <alignment horizontal="center" wrapText="1"/>
    </xf>
    <xf fontId="12" fillId="3" borderId="2" numFmtId="49" xfId="0" applyNumberFormat="1" applyFont="1" applyFill="1" applyBorder="1" applyAlignment="1">
      <alignment horizontal="center" wrapText="1"/>
    </xf>
    <xf fontId="12" fillId="3" borderId="2" numFmtId="0" xfId="0" applyFont="1" applyFill="1" applyBorder="1" applyAlignment="1">
      <alignment horizontal="center"/>
    </xf>
    <xf fontId="12" fillId="3" borderId="2" numFmtId="4" xfId="0" applyNumberFormat="1" applyFont="1" applyFill="1" applyBorder="1"/>
    <xf fontId="12" fillId="3" borderId="2" numFmtId="3" xfId="0" applyNumberFormat="1" applyFont="1" applyFill="1" applyBorder="1"/>
    <xf fontId="12" fillId="3" borderId="0" numFmtId="0" xfId="0" applyFont="1" applyFill="1"/>
    <xf fontId="12" fillId="3" borderId="2" numFmtId="4" xfId="0" applyNumberFormat="1" applyFont="1" applyFill="1" applyBorder="1" applyAlignment="1">
      <alignment horizontal="center"/>
    </xf>
    <xf fontId="6" fillId="3" borderId="2" numFmtId="0" xfId="0" applyFont="1" applyFill="1" applyBorder="1" applyAlignment="1">
      <alignment horizontal="center" wrapText="1"/>
    </xf>
    <xf fontId="6" fillId="3" borderId="2" numFmtId="49" xfId="0" applyNumberFormat="1" applyFont="1" applyFill="1" applyBorder="1" applyAlignment="1">
      <alignment wrapText="1"/>
    </xf>
    <xf fontId="6" fillId="3" borderId="2" numFmtId="49" xfId="0" applyNumberFormat="1" applyFont="1" applyFill="1" applyBorder="1" applyAlignment="1">
      <alignment horizontal="center" wrapText="1"/>
    </xf>
    <xf fontId="6" fillId="3" borderId="2" numFmtId="0" xfId="0" applyFont="1" applyFill="1" applyBorder="1" applyAlignment="1">
      <alignment horizontal="center"/>
    </xf>
    <xf fontId="6" fillId="3" borderId="2" numFmtId="4" xfId="0" applyNumberFormat="1" applyFont="1" applyFill="1" applyBorder="1" applyAlignment="1">
      <alignment horizontal="right"/>
    </xf>
    <xf fontId="6" fillId="3" borderId="2" numFmtId="3" xfId="0" applyNumberFormat="1" applyFont="1" applyFill="1" applyBorder="1" applyAlignment="1">
      <alignment horizontal="right"/>
    </xf>
    <xf fontId="6" fillId="3" borderId="2" numFmtId="4" xfId="54" applyNumberFormat="1" applyFont="1" applyFill="1" applyBorder="1" applyAlignment="1">
      <alignment horizontal="right"/>
    </xf>
    <xf fontId="6" fillId="3" borderId="2" numFmtId="4" xfId="0" applyNumberFormat="1" applyFont="1" applyFill="1" applyBorder="1"/>
    <xf fontId="6" fillId="3" borderId="2" numFmtId="49" xfId="0" applyNumberFormat="1" applyFont="1" applyFill="1" applyBorder="1" applyAlignment="1">
      <alignment horizontal="right"/>
    </xf>
    <xf fontId="6" fillId="3" borderId="2" numFmtId="49" xfId="0" applyNumberFormat="1" applyFont="1" applyFill="1" applyBorder="1" applyAlignment="1">
      <alignment horizontal="left" wrapText="1"/>
    </xf>
    <xf fontId="6" fillId="3" borderId="0" numFmtId="0" xfId="0" applyFont="1" applyFill="1" applyAlignment="1">
      <alignment horizontal="center" wrapText="1"/>
    </xf>
    <xf fontId="6" fillId="3" borderId="0" numFmtId="49" xfId="0" applyNumberFormat="1" applyFont="1" applyFill="1" applyAlignment="1">
      <alignment horizontal="center" wrapText="1"/>
    </xf>
    <xf fontId="6" fillId="3" borderId="0" numFmtId="0" xfId="0" applyFont="1" applyFill="1" applyAlignment="1">
      <alignment horizontal="center"/>
    </xf>
    <xf fontId="6" fillId="3" borderId="0" numFmtId="4" xfId="0" applyNumberFormat="1" applyFont="1" applyFill="1" applyAlignment="1">
      <alignment horizontal="right"/>
    </xf>
    <xf fontId="13" fillId="3" borderId="0" numFmtId="0" xfId="0" applyFont="1" applyFill="1"/>
    <xf fontId="6" fillId="3" borderId="2" numFmtId="3" xfId="0" applyNumberFormat="1" applyFont="1" applyFill="1" applyBorder="1"/>
    <xf fontId="6" fillId="3" borderId="2" numFmtId="165" xfId="0" applyNumberFormat="1" applyFont="1" applyFill="1" applyBorder="1" applyAlignment="1">
      <alignment wrapText="1"/>
    </xf>
    <xf fontId="6" fillId="3" borderId="2" numFmtId="0" xfId="0" applyFont="1" applyFill="1" applyBorder="1" applyAlignment="1">
      <alignment wrapText="1"/>
    </xf>
    <xf fontId="6" fillId="3" borderId="0" numFmtId="4" xfId="0" applyNumberFormat="1" applyFont="1" applyFill="1"/>
    <xf fontId="6" fillId="3" borderId="2" numFmtId="0" xfId="0" applyFont="1" applyFill="1" applyBorder="1" applyAlignment="1">
      <alignment horizontal="left" wrapText="1"/>
    </xf>
    <xf fontId="6" fillId="3" borderId="2" numFmtId="165" xfId="0" applyNumberFormat="1" applyFont="1" applyFill="1" applyBorder="1" applyAlignment="1">
      <alignment horizontal="left" wrapText="1"/>
    </xf>
    <xf fontId="8" fillId="3" borderId="0" numFmtId="0" xfId="0" applyFont="1" applyFill="1"/>
    <xf fontId="6" fillId="3" borderId="2" numFmtId="0" xfId="0" applyFont="1" applyFill="1" applyBorder="1" applyAlignment="1" applyProtection="1">
      <alignment wrapText="1"/>
      <protection locked="0"/>
    </xf>
    <xf fontId="6" fillId="3" borderId="2" numFmtId="4" xfId="0" applyNumberFormat="1" applyFont="1" applyFill="1" applyBorder="1" applyAlignment="1">
      <alignment horizontal="right" wrapText="1"/>
    </xf>
    <xf fontId="6" fillId="3" borderId="2" numFmtId="3" xfId="0" applyNumberFormat="1" applyFont="1" applyFill="1" applyBorder="1" applyAlignment="1">
      <alignment horizontal="right" wrapText="1"/>
    </xf>
    <xf fontId="6" fillId="3" borderId="0" numFmtId="4" xfId="0" applyNumberFormat="1" applyFont="1" applyFill="1" applyAlignment="1">
      <alignment horizontal="right" wrapText="1"/>
    </xf>
    <xf fontId="14" fillId="3" borderId="0" numFmtId="0" xfId="0" applyFont="1" applyFill="1"/>
    <xf fontId="6" fillId="3" borderId="0" numFmtId="0" xfId="0" applyFont="1" applyFill="1"/>
    <xf fontId="12" fillId="3" borderId="2" numFmtId="0" xfId="0" applyFont="1" applyFill="1" applyBorder="1" applyAlignment="1">
      <alignment horizontal="left" wrapText="1"/>
    </xf>
    <xf fontId="12" fillId="3" borderId="2" numFmtId="4" xfId="0" applyNumberFormat="1" applyFont="1" applyFill="1" applyBorder="1" applyAlignment="1">
      <alignment horizontal="center" wrapText="1"/>
    </xf>
    <xf fontId="12" fillId="3" borderId="2" numFmtId="166" xfId="0" applyNumberFormat="1" applyFont="1" applyFill="1" applyBorder="1" applyAlignment="1">
      <alignment horizontal="center"/>
    </xf>
    <xf fontId="12" fillId="3" borderId="2" numFmtId="4" xfId="0" applyNumberFormat="1" applyFont="1" applyFill="1" applyBorder="1" applyAlignment="1">
      <alignment horizontal="right"/>
    </xf>
    <xf fontId="12" fillId="3" borderId="2" numFmtId="3" xfId="0" applyNumberFormat="1" applyFont="1" applyFill="1" applyBorder="1" applyAlignment="1">
      <alignment horizontal="right"/>
    </xf>
    <xf fontId="12" fillId="3" borderId="2" numFmtId="49" xfId="0" applyNumberFormat="1" applyFont="1" applyFill="1" applyBorder="1" applyAlignment="1">
      <alignment horizontal="center"/>
    </xf>
    <xf fontId="6" fillId="3" borderId="2" numFmtId="49" xfId="0" applyNumberFormat="1" applyFont="1" applyFill="1" applyBorder="1" applyAlignment="1">
      <alignment horizontal="center"/>
    </xf>
    <xf fontId="6" fillId="3" borderId="2" numFmtId="0" xfId="0" applyFont="1" applyFill="1" applyBorder="1"/>
    <xf fontId="6" fillId="3" borderId="2" numFmtId="0" xfId="0" applyFont="1" applyFill="1" applyBorder="1" applyAlignment="1">
      <alignment horizontal="center" vertical="center" wrapText="1"/>
    </xf>
    <xf fontId="12" fillId="3" borderId="2" numFmtId="4" xfId="54" applyNumberFormat="1" applyFont="1" applyFill="1" applyBorder="1" applyAlignment="1">
      <alignment horizontal="right"/>
    </xf>
    <xf fontId="12" fillId="3" borderId="2" numFmtId="3" xfId="54" applyNumberFormat="1" applyFont="1" applyFill="1" applyBorder="1" applyAlignment="1">
      <alignment horizontal="right"/>
    </xf>
    <xf fontId="6" fillId="3" borderId="2" numFmtId="166" xfId="54" applyNumberFormat="1" applyFont="1" applyFill="1" applyBorder="1" applyAlignment="1">
      <alignment horizontal="right"/>
    </xf>
    <xf fontId="6" fillId="3" borderId="2" numFmtId="0" xfId="0" applyFont="1" applyFill="1" applyBorder="1" applyAlignment="1">
      <alignment horizontal="justify" wrapText="1"/>
    </xf>
    <xf fontId="6" fillId="3" borderId="2" numFmtId="0" xfId="0" applyFont="1" applyFill="1" applyBorder="1" applyAlignment="1">
      <alignment horizontal="justify"/>
    </xf>
    <xf fontId="6" fillId="3" borderId="2" numFmtId="0" xfId="0" applyFont="1" applyFill="1" applyBorder="1" applyAlignment="1">
      <alignment horizontal="left"/>
    </xf>
    <xf fontId="12" fillId="3" borderId="2" numFmtId="0" xfId="0" applyFont="1" applyFill="1" applyBorder="1" applyAlignment="1">
      <alignment horizontal="right"/>
    </xf>
    <xf fontId="6" fillId="3" borderId="2" numFmtId="0" xfId="0" applyFont="1" applyFill="1" applyBorder="1" applyAlignment="1">
      <alignment horizontal="right"/>
    </xf>
    <xf fontId="6" fillId="3" borderId="2" numFmtId="2" xfId="0" applyNumberFormat="1" applyFont="1" applyFill="1" applyBorder="1"/>
    <xf fontId="6" fillId="3" borderId="2" numFmtId="4" xfId="0" applyNumberFormat="1" applyFont="1" applyFill="1" applyBorder="1" applyAlignment="1">
      <alignment wrapText="1"/>
    </xf>
    <xf fontId="6" fillId="3" borderId="2" numFmtId="167" xfId="0" applyNumberFormat="1" applyFont="1" applyFill="1" applyBorder="1" applyAlignment="1">
      <alignment horizontal="right"/>
    </xf>
    <xf fontId="6" fillId="3" borderId="2" numFmtId="165" xfId="0" applyNumberFormat="1" applyFont="1" applyFill="1" applyBorder="1"/>
    <xf fontId="12" fillId="3" borderId="2" numFmtId="168" xfId="54" applyNumberFormat="1" applyFont="1" applyFill="1" applyBorder="1" applyAlignment="1">
      <alignment horizontal="center" wrapText="1"/>
    </xf>
    <xf fontId="12" fillId="3" borderId="2" numFmtId="14" xfId="54" applyNumberFormat="1" applyFont="1" applyFill="1" applyBorder="1" applyAlignment="1">
      <alignment horizontal="center" wrapText="1"/>
    </xf>
    <xf fontId="12" fillId="3" borderId="2" numFmtId="49" xfId="54" applyNumberFormat="1" applyFont="1" applyFill="1" applyBorder="1" applyAlignment="1">
      <alignment horizontal="center" wrapText="1"/>
    </xf>
    <xf fontId="12" fillId="3" borderId="2" numFmtId="168" xfId="54" applyNumberFormat="1" applyFont="1" applyFill="1" applyBorder="1" applyAlignment="1">
      <alignment horizontal="center"/>
    </xf>
    <xf fontId="6" fillId="3" borderId="2" numFmtId="49" xfId="17" applyNumberFormat="1" applyFont="1" applyFill="1" applyBorder="1" applyAlignment="1">
      <alignment wrapText="1"/>
    </xf>
    <xf fontId="6" fillId="3" borderId="2" numFmtId="4" xfId="54" applyNumberFormat="1" applyFont="1" applyFill="1" applyBorder="1"/>
    <xf fontId="12" fillId="3" borderId="2" numFmtId="4" xfId="54" applyNumberFormat="1" applyFont="1" applyFill="1" applyBorder="1"/>
    <xf fontId="12" fillId="3" borderId="2" numFmtId="3" xfId="54" applyNumberFormat="1" applyFont="1" applyFill="1" applyBorder="1"/>
    <xf fontId="6" fillId="3" borderId="0" numFmtId="3" xfId="0" applyNumberFormat="1" applyFont="1" applyFill="1" applyAlignment="1">
      <alignment horizontal="right"/>
    </xf>
    <xf fontId="6" fillId="3" borderId="2" numFmtId="49" xfId="54" applyNumberFormat="1" applyFont="1" applyFill="1" applyBorder="1" applyAlignment="1">
      <alignment horizontal="right"/>
    </xf>
    <xf fontId="6" fillId="3" borderId="2" numFmtId="4" xfId="54" applyNumberFormat="1" applyFont="1" applyFill="1" applyBorder="1" applyAlignment="1">
      <alignment wrapText="1"/>
    </xf>
    <xf fontId="6" fillId="3" borderId="2" numFmtId="169" xfId="0" applyNumberFormat="1" applyFont="1" applyFill="1" applyBorder="1" applyAlignment="1">
      <alignment horizontal="right"/>
    </xf>
    <xf fontId="6" fillId="3" borderId="2" numFmtId="2" xfId="0" applyNumberFormat="1" applyFont="1" applyFill="1" applyBorder="1" applyAlignment="1">
      <alignment horizontal="right"/>
    </xf>
    <xf fontId="6" fillId="3" borderId="2" numFmtId="1" xfId="0" applyNumberFormat="1" applyFont="1" applyFill="1" applyBorder="1" applyAlignment="1">
      <alignment horizontal="right"/>
    </xf>
    <xf fontId="6" fillId="3" borderId="2" numFmtId="1" xfId="0" applyNumberFormat="1" applyFont="1" applyFill="1" applyBorder="1" applyAlignment="1">
      <alignment horizontal="center" wrapText="1"/>
    </xf>
    <xf fontId="6" fillId="3" borderId="2" numFmtId="166" xfId="0" applyNumberFormat="1" applyFont="1" applyFill="1" applyBorder="1" applyAlignment="1">
      <alignment horizontal="right"/>
    </xf>
    <xf fontId="6" fillId="3" borderId="2" numFmtId="166" xfId="0" applyNumberFormat="1" applyFont="1" applyFill="1" applyBorder="1" applyAlignment="1">
      <alignment wrapText="1"/>
    </xf>
    <xf fontId="6" fillId="3" borderId="2" numFmtId="0" xfId="48" applyFont="1" applyFill="1" applyBorder="1" applyAlignment="1">
      <alignment horizontal="center" wrapText="1"/>
    </xf>
    <xf fontId="12" fillId="3" borderId="3" numFmtId="0" xfId="0" applyFont="1" applyFill="1" applyBorder="1"/>
    <xf fontId="6" fillId="3" borderId="2" numFmtId="49" xfId="54" applyNumberFormat="1" applyFont="1" applyFill="1" applyBorder="1" applyAlignment="1">
      <alignment horizontal="center" wrapText="1"/>
    </xf>
    <xf fontId="6" fillId="3" borderId="2" numFmtId="49" xfId="54" applyNumberFormat="1" applyFont="1" applyFill="1" applyBorder="1" applyAlignment="1">
      <alignment horizontal="center"/>
    </xf>
    <xf fontId="6" fillId="0" borderId="2" numFmtId="49" xfId="0" applyNumberFormat="1" applyFont="1" applyBorder="1" applyAlignment="1">
      <alignment horizontal="center" wrapText="1"/>
    </xf>
    <xf fontId="12" fillId="0" borderId="2" numFmtId="49" xfId="54" applyNumberFormat="1" applyFont="1" applyBorder="1" applyAlignment="1">
      <alignment horizontal="center" wrapText="1"/>
    </xf>
    <xf fontId="6" fillId="0" borderId="0" numFmtId="0" xfId="0" applyFont="1" applyAlignment="1">
      <alignment horizontal="center" wrapText="1"/>
    </xf>
    <xf fontId="6" fillId="0" borderId="2" numFmtId="0" xfId="0" applyFont="1" applyBorder="1" applyAlignment="1">
      <alignment horizontal="center"/>
    </xf>
    <xf fontId="6" fillId="0" borderId="0" numFmtId="0" xfId="0" applyFont="1" applyAlignment="1">
      <alignment horizontal="center"/>
    </xf>
    <xf fontId="6" fillId="0" borderId="2" numFmtId="0" xfId="0" applyFont="1" applyBorder="1" applyAlignment="1">
      <alignment horizontal="right"/>
    </xf>
    <xf fontId="6" fillId="0" borderId="0" numFmtId="0" xfId="0" applyFont="1" applyAlignment="1">
      <alignment horizontal="right"/>
    </xf>
    <xf fontId="15" fillId="3" borderId="0" numFmtId="0" xfId="0" applyFont="1" applyFill="1"/>
    <xf fontId="6" fillId="3" borderId="2" numFmtId="4" xfId="54" applyNumberFormat="1" applyFont="1" applyFill="1" applyBorder="1" applyAlignment="1">
      <alignment horizontal="right" wrapText="1"/>
    </xf>
    <xf fontId="8" fillId="3" borderId="0" numFmtId="0" xfId="0" applyFont="1" applyFill="1">
      <protection locked="0"/>
    </xf>
    <xf fontId="6" fillId="0" borderId="2" numFmtId="49" xfId="54" applyNumberFormat="1" applyFont="1" applyBorder="1" applyAlignment="1">
      <alignment horizontal="center" wrapText="1"/>
    </xf>
    <xf fontId="6" fillId="0" borderId="2" numFmtId="2" xfId="0" applyNumberFormat="1" applyFont="1" applyBorder="1" applyAlignment="1">
      <alignment horizontal="right"/>
    </xf>
    <xf fontId="6" fillId="0" borderId="0" numFmtId="2" xfId="0" applyNumberFormat="1" applyFont="1" applyAlignment="1">
      <alignment horizontal="right"/>
    </xf>
    <xf fontId="6" fillId="0" borderId="0" numFmtId="1" xfId="0" applyNumberFormat="1" applyFont="1" applyAlignment="1">
      <alignment horizontal="right"/>
    </xf>
    <xf fontId="6" fillId="3" borderId="2" numFmtId="170" xfId="0" applyNumberFormat="1" applyFont="1" applyFill="1" applyBorder="1" applyAlignment="1">
      <alignment horizontal="left" wrapText="1"/>
    </xf>
    <xf fontId="6" fillId="4" borderId="2" numFmtId="170" xfId="0" applyNumberFormat="1" applyFont="1" applyFill="1" applyBorder="1" applyAlignment="1">
      <alignment horizontal="left" wrapText="1"/>
    </xf>
    <xf fontId="6" fillId="4" borderId="0" numFmtId="0" xfId="0" applyFont="1" applyFill="1" applyAlignment="1">
      <alignment horizontal="center" wrapText="1"/>
    </xf>
    <xf fontId="6" fillId="4" borderId="2" numFmtId="49" xfId="0" applyNumberFormat="1" applyFont="1" applyFill="1" applyBorder="1" applyAlignment="1">
      <alignment horizontal="center" wrapText="1"/>
    </xf>
    <xf fontId="6" fillId="4" borderId="0" numFmtId="49" xfId="0" applyNumberFormat="1" applyFont="1" applyFill="1" applyAlignment="1">
      <alignment horizontal="center" wrapText="1"/>
    </xf>
    <xf fontId="6" fillId="4" borderId="2" numFmtId="0" xfId="0" applyFont="1" applyFill="1" applyBorder="1" applyAlignment="1">
      <alignment horizontal="center" wrapText="1"/>
    </xf>
    <xf fontId="6" fillId="4" borderId="0" numFmtId="0" xfId="0" applyFont="1" applyFill="1" applyAlignment="1">
      <alignment horizontal="center"/>
    </xf>
    <xf fontId="6" fillId="4" borderId="2" numFmtId="0" xfId="0" applyFont="1" applyFill="1" applyBorder="1" applyAlignment="1">
      <alignment horizontal="center"/>
    </xf>
    <xf fontId="6" fillId="4" borderId="0" numFmtId="4" xfId="0" applyNumberFormat="1" applyFont="1" applyFill="1" applyAlignment="1">
      <alignment horizontal="right"/>
    </xf>
    <xf fontId="6" fillId="4" borderId="2" numFmtId="4" xfId="0" applyNumberFormat="1" applyFont="1" applyFill="1" applyBorder="1" applyAlignment="1">
      <alignment horizontal="right"/>
    </xf>
    <xf fontId="6" fillId="4" borderId="2" numFmtId="3" xfId="0" applyNumberFormat="1" applyFont="1" applyFill="1" applyBorder="1" applyAlignment="1">
      <alignment horizontal="right"/>
    </xf>
    <xf fontId="6" fillId="4" borderId="2" numFmtId="49" xfId="0" applyNumberFormat="1" applyFont="1" applyFill="1" applyBorder="1" applyAlignment="1">
      <alignment horizontal="right"/>
    </xf>
    <xf fontId="10" fillId="2" borderId="0" numFmtId="0" xfId="0" applyFont="1" applyFill="1"/>
    <xf fontId="10" fillId="2" borderId="2" numFmtId="49" xfId="0" applyNumberFormat="1" applyFont="1" applyFill="1" applyBorder="1" applyAlignment="1">
      <alignment horizontal="center" wrapText="1"/>
    </xf>
    <xf fontId="10" fillId="2" borderId="2" numFmtId="0" xfId="0" applyFont="1" applyFill="1" applyBorder="1" applyAlignment="1">
      <alignment horizontal="center"/>
    </xf>
    <xf fontId="10" fillId="2" borderId="2" numFmtId="4" xfId="0" applyNumberFormat="1" applyFont="1" applyFill="1" applyBorder="1"/>
    <xf fontId="10" fillId="2" borderId="2" numFmtId="3" xfId="0" applyNumberFormat="1" applyFont="1" applyFill="1" applyBorder="1"/>
    <xf fontId="10" fillId="2" borderId="2" numFmtId="4" xfId="0" applyNumberFormat="1" applyFont="1" applyFill="1" applyBorder="1" applyAlignment="1">
      <alignment horizontal="right"/>
    </xf>
    <xf fontId="10" fillId="2" borderId="2" numFmtId="0" xfId="0" applyFont="1" applyFill="1" applyBorder="1" applyAlignment="1">
      <alignment horizontal="right"/>
    </xf>
    <xf fontId="16" fillId="3" borderId="0" numFmtId="0" xfId="0" applyFont="1" applyFill="1"/>
    <xf fontId="17" fillId="3" borderId="0" numFmtId="0" xfId="0" applyFont="1" applyFill="1"/>
    <xf fontId="6" fillId="3" borderId="0" numFmtId="3" xfId="0" applyNumberFormat="1" applyFont="1" applyFill="1"/>
    <xf fontId="6" fillId="4" borderId="2" numFmtId="4" xfId="0" applyNumberFormat="1" applyFont="1" applyFill="1" applyBorder="1"/>
    <xf fontId="6" fillId="4" borderId="2" numFmtId="3" xfId="0" applyNumberFormat="1" applyFont="1" applyFill="1" applyBorder="1"/>
    <xf fontId="6" fillId="4" borderId="2" numFmtId="0" xfId="0" applyFont="1" applyFill="1" applyBorder="1" applyAlignment="1">
      <alignment horizontal="right"/>
    </xf>
    <xf fontId="15" fillId="4" borderId="0" numFmtId="4" xfId="0" applyNumberFormat="1" applyFont="1" applyFill="1"/>
    <xf fontId="14" fillId="3" borderId="0" numFmtId="4" xfId="0" applyNumberFormat="1" applyFont="1" applyFill="1"/>
    <xf fontId="18" fillId="3" borderId="0" numFmtId="0" xfId="0" applyFont="1" applyFill="1"/>
    <xf fontId="6" fillId="3" borderId="0" numFmtId="49" xfId="0" applyNumberFormat="1" applyFont="1" applyFill="1" applyAlignment="1">
      <alignment horizontal="center"/>
    </xf>
    <xf fontId="12" fillId="3" borderId="2" numFmtId="4" xfId="0" applyNumberFormat="1" applyFont="1" applyFill="1" applyBorder="1" applyAlignment="1">
      <alignment horizontal="right" wrapText="1"/>
    </xf>
    <xf fontId="12" fillId="3" borderId="2" numFmtId="3" xfId="0" applyNumberFormat="1" applyFont="1" applyFill="1" applyBorder="1" applyAlignment="1">
      <alignment horizontal="right" wrapText="1"/>
    </xf>
    <xf fontId="6" fillId="3" borderId="2" numFmtId="12" xfId="0" applyNumberFormat="1" applyFont="1" applyFill="1" applyBorder="1" applyAlignment="1">
      <alignment horizontal="center"/>
    </xf>
    <xf fontId="6" fillId="3" borderId="0" numFmtId="3" xfId="0" applyNumberFormat="1" applyFont="1" applyFill="1" applyAlignment="1">
      <alignment horizontal="right" wrapText="1"/>
    </xf>
    <xf fontId="12" fillId="3" borderId="4" numFmtId="0" xfId="0" applyFont="1" applyFill="1" applyBorder="1" applyAlignment="1">
      <alignment wrapText="1"/>
    </xf>
    <xf fontId="12" fillId="3" borderId="5" numFmtId="0" xfId="0" applyFont="1" applyFill="1" applyBorder="1" applyAlignment="1">
      <alignment wrapText="1"/>
    </xf>
    <xf fontId="12" fillId="3" borderId="0" numFmtId="0" xfId="0" applyFont="1" applyFill="1" applyAlignment="1">
      <alignment horizontal="center" wrapText="1"/>
    </xf>
    <xf fontId="12" fillId="3" borderId="0" numFmtId="49" xfId="0" applyNumberFormat="1" applyFont="1" applyFill="1" applyAlignment="1">
      <alignment horizontal="center" wrapText="1"/>
    </xf>
    <xf fontId="12" fillId="3" borderId="2" numFmtId="4" xfId="0" applyNumberFormat="1" applyFont="1" applyFill="1" applyBorder="1" applyAlignment="1">
      <alignment wrapText="1"/>
    </xf>
    <xf fontId="12" fillId="3" borderId="2" numFmtId="3" xfId="0" applyNumberFormat="1" applyFont="1" applyFill="1" applyBorder="1" applyAlignment="1">
      <alignment wrapText="1"/>
    </xf>
    <xf fontId="12" fillId="3" borderId="0" numFmtId="4" xfId="0" applyNumberFormat="1" applyFont="1" applyFill="1" applyAlignment="1">
      <alignment horizontal="center"/>
    </xf>
    <xf fontId="12" fillId="3" borderId="2" numFmtId="14" xfId="54" applyNumberFormat="1" applyFont="1" applyFill="1" applyBorder="1" applyAlignment="1">
      <alignment horizontal="center"/>
    </xf>
    <xf fontId="6" fillId="3" borderId="0" numFmtId="4" xfId="0" applyNumberFormat="1" applyFont="1" applyFill="1" applyAlignment="1">
      <alignment wrapText="1"/>
    </xf>
    <xf fontId="6" fillId="3" borderId="6" numFmtId="0" xfId="0" applyFont="1" applyFill="1" applyBorder="1" applyAlignment="1">
      <alignment horizontal="center" wrapText="1"/>
    </xf>
    <xf fontId="6" fillId="3" borderId="6" numFmtId="49" xfId="0" applyNumberFormat="1" applyFont="1" applyFill="1" applyBorder="1" applyAlignment="1">
      <alignment horizontal="center" wrapText="1"/>
    </xf>
    <xf fontId="6" fillId="3" borderId="6" numFmtId="0" xfId="0" applyFont="1" applyFill="1" applyBorder="1" applyAlignment="1">
      <alignment horizontal="center"/>
    </xf>
    <xf fontId="6" fillId="3" borderId="6" numFmtId="3" xfId="0" applyNumberFormat="1" applyFont="1" applyFill="1" applyBorder="1" applyAlignment="1">
      <alignment horizontal="right"/>
    </xf>
    <xf fontId="6" fillId="3" borderId="6" numFmtId="4" xfId="0" applyNumberFormat="1" applyFont="1" applyFill="1" applyBorder="1" applyAlignment="1">
      <alignment horizontal="right"/>
    </xf>
    <xf fontId="6" fillId="3" borderId="0" numFmtId="1" xfId="0" applyNumberFormat="1" applyFont="1" applyFill="1" applyAlignment="1">
      <alignment horizontal="right"/>
    </xf>
    <xf fontId="6" fillId="3" borderId="0" numFmtId="2" xfId="0" applyNumberFormat="1" applyFont="1" applyFill="1" applyAlignment="1">
      <alignment horizontal="right"/>
    </xf>
    <xf fontId="12" fillId="3" borderId="7" numFmtId="0" xfId="0" applyFont="1" applyFill="1" applyBorder="1" applyAlignment="1">
      <alignment wrapText="1"/>
    </xf>
    <xf fontId="12" fillId="3" borderId="8" numFmtId="0" xfId="0" applyFont="1" applyFill="1" applyBorder="1" applyAlignment="1">
      <alignment horizontal="center" wrapText="1"/>
    </xf>
    <xf fontId="12" fillId="3" borderId="0" numFmtId="0" xfId="0" applyFont="1" applyFill="1" applyAlignment="1">
      <alignment horizontal="center"/>
    </xf>
    <xf fontId="12" fillId="3" borderId="8" numFmtId="0" xfId="0" applyFont="1" applyFill="1" applyBorder="1" applyAlignment="1">
      <alignment horizontal="center"/>
    </xf>
    <xf fontId="6" fillId="4" borderId="9" numFmtId="0" xfId="0" applyFont="1" applyFill="1" applyBorder="1" applyAlignment="1">
      <alignment horizontal="center" wrapText="1"/>
    </xf>
    <xf fontId="6" fillId="4" borderId="2" numFmtId="49" xfId="0" applyNumberFormat="1" applyFont="1" applyFill="1" applyBorder="1" applyAlignment="1">
      <alignment wrapText="1"/>
    </xf>
    <xf fontId="6" fillId="4" borderId="4" numFmtId="0" xfId="0" applyFont="1" applyFill="1" applyBorder="1" applyAlignment="1">
      <alignment horizontal="center" wrapText="1"/>
    </xf>
    <xf fontId="6" fillId="4" borderId="10" numFmtId="1" xfId="0" applyNumberFormat="1" applyFont="1" applyFill="1" applyBorder="1" applyAlignment="1">
      <alignment horizontal="center" wrapText="1"/>
    </xf>
    <xf fontId="6" fillId="4" borderId="11" numFmtId="49" xfId="0" applyNumberFormat="1" applyFont="1" applyFill="1" applyBorder="1" applyAlignment="1">
      <alignment horizontal="center" wrapText="1"/>
    </xf>
    <xf fontId="6" fillId="4" borderId="10" numFmtId="0" xfId="0" applyFont="1" applyFill="1" applyBorder="1" applyAlignment="1">
      <alignment horizontal="center"/>
    </xf>
    <xf fontId="6" fillId="4" borderId="12" numFmtId="4" xfId="0" applyNumberFormat="1" applyFont="1" applyFill="1" applyBorder="1" applyAlignment="1">
      <alignment horizontal="right"/>
    </xf>
    <xf fontId="6" fillId="4" borderId="12" numFmtId="1" xfId="0" applyNumberFormat="1" applyFont="1" applyFill="1" applyBorder="1" applyAlignment="1">
      <alignment horizontal="right"/>
    </xf>
    <xf fontId="6" fillId="4" borderId="13" numFmtId="4" xfId="54" applyNumberFormat="1" applyFont="1" applyFill="1" applyBorder="1" applyAlignment="1">
      <alignment horizontal="right"/>
    </xf>
    <xf fontId="6" fillId="4" borderId="13" numFmtId="4" xfId="0" applyNumberFormat="1" applyFont="1" applyFill="1" applyBorder="1" applyAlignment="1">
      <alignment horizontal="right"/>
    </xf>
    <xf fontId="6" fillId="4" borderId="9" numFmtId="4" xfId="0" applyNumberFormat="1" applyFont="1" applyFill="1" applyBorder="1" applyAlignment="1">
      <alignment horizontal="right"/>
    </xf>
    <xf fontId="6" fillId="4" borderId="14" numFmtId="49" xfId="0" applyNumberFormat="1" applyFont="1" applyFill="1" applyBorder="1" applyAlignment="1">
      <alignment horizontal="right"/>
    </xf>
    <xf fontId="6" fillId="4" borderId="9" numFmtId="1" xfId="0" applyNumberFormat="1" applyFont="1" applyFill="1" applyBorder="1" applyAlignment="1">
      <alignment horizontal="center" wrapText="1"/>
    </xf>
    <xf fontId="6" fillId="4" borderId="15" numFmtId="49" xfId="0" applyNumberFormat="1" applyFont="1" applyFill="1" applyBorder="1" applyAlignment="1">
      <alignment horizontal="center" wrapText="1"/>
    </xf>
    <xf fontId="6" fillId="4" borderId="10" numFmtId="4" xfId="0" applyNumberFormat="1" applyFont="1" applyFill="1" applyBorder="1" applyAlignment="1">
      <alignment horizontal="right"/>
    </xf>
    <xf fontId="6" fillId="4" borderId="10" numFmtId="4" xfId="0" applyNumberFormat="1" applyFont="1" applyFill="1" applyBorder="1" applyAlignment="1">
      <alignment horizontal="right" wrapText="1"/>
    </xf>
    <xf fontId="6" fillId="4" borderId="10" numFmtId="1" xfId="0" applyNumberFormat="1" applyFont="1" applyFill="1" applyBorder="1" applyAlignment="1">
      <alignment horizontal="right"/>
    </xf>
    <xf fontId="6" fillId="4" borderId="2" numFmtId="4" xfId="0" applyNumberFormat="1" applyFont="1" applyFill="1" applyBorder="1" applyAlignment="1">
      <alignment horizontal="right" wrapText="1"/>
    </xf>
    <xf fontId="6" fillId="4" borderId="0" numFmtId="4" xfId="0" applyNumberFormat="1" applyFont="1" applyFill="1" applyAlignment="1">
      <alignment horizontal="right" wrapText="1"/>
    </xf>
    <xf fontId="6" fillId="4" borderId="4" numFmtId="4" xfId="0" applyNumberFormat="1" applyFont="1" applyFill="1" applyBorder="1" applyAlignment="1">
      <alignment horizontal="right" wrapText="1"/>
    </xf>
    <xf fontId="6" fillId="4" borderId="9" numFmtId="4" xfId="0" applyNumberFormat="1" applyFont="1" applyFill="1" applyBorder="1" applyAlignment="1">
      <alignment horizontal="right" wrapText="1"/>
    </xf>
    <xf fontId="6" fillId="4" borderId="4" numFmtId="4" xfId="0" applyNumberFormat="1" applyFont="1" applyFill="1" applyBorder="1" applyAlignment="1">
      <alignment horizontal="right"/>
    </xf>
    <xf fontId="6" fillId="4" borderId="9" numFmtId="49" xfId="0" applyNumberFormat="1" applyFont="1" applyFill="1" applyBorder="1" applyAlignment="1">
      <alignment horizontal="center" wrapText="1"/>
    </xf>
    <xf fontId="6" fillId="4" borderId="9" numFmtId="4" xfId="54" applyNumberFormat="1" applyFont="1" applyFill="1" applyBorder="1" applyAlignment="1">
      <alignment horizontal="right"/>
    </xf>
    <xf fontId="6" fillId="4" borderId="16" numFmtId="0" xfId="0" applyFont="1" applyFill="1" applyBorder="1" applyAlignment="1">
      <alignment horizontal="center" wrapText="1"/>
    </xf>
    <xf fontId="6" fillId="4" borderId="8" numFmtId="49" xfId="0" applyNumberFormat="1" applyFont="1" applyFill="1" applyBorder="1" applyAlignment="1">
      <alignment wrapText="1"/>
    </xf>
    <xf fontId="6" fillId="4" borderId="7" numFmtId="0" xfId="0" applyFont="1" applyFill="1" applyBorder="1" applyAlignment="1">
      <alignment horizontal="center" wrapText="1"/>
    </xf>
    <xf fontId="6" fillId="4" borderId="10" numFmtId="49" xfId="0" applyNumberFormat="1" applyFont="1" applyFill="1" applyBorder="1" applyAlignment="1">
      <alignment horizontal="center" wrapText="1"/>
    </xf>
    <xf fontId="6" fillId="4" borderId="10" numFmtId="0" xfId="0" applyFont="1" applyFill="1" applyBorder="1" applyAlignment="1">
      <alignment horizontal="center" wrapText="1"/>
    </xf>
    <xf fontId="6" fillId="4" borderId="8" numFmtId="4" xfId="0" applyNumberFormat="1" applyFont="1" applyFill="1" applyBorder="1" applyAlignment="1">
      <alignment horizontal="right"/>
    </xf>
    <xf fontId="6" fillId="4" borderId="7" numFmtId="4" xfId="0" applyNumberFormat="1" applyFont="1" applyFill="1" applyBorder="1" applyAlignment="1">
      <alignment horizontal="right"/>
    </xf>
    <xf fontId="6" fillId="4" borderId="8" numFmtId="49" xfId="0" applyNumberFormat="1" applyFont="1" applyFill="1" applyBorder="1" applyAlignment="1">
      <alignment horizontal="right"/>
    </xf>
    <xf fontId="12" fillId="3" borderId="14" numFmtId="0" xfId="0" applyFont="1" applyFill="1" applyBorder="1" applyAlignment="1">
      <alignment horizontal="left" wrapText="1"/>
    </xf>
    <xf fontId="12" fillId="3" borderId="14" numFmtId="0" xfId="0" applyFont="1" applyFill="1" applyBorder="1" applyAlignment="1">
      <alignment horizontal="center"/>
    </xf>
    <xf fontId="12" fillId="3" borderId="14" numFmtId="49" xfId="0" applyNumberFormat="1" applyFont="1" applyFill="1" applyBorder="1" applyAlignment="1">
      <alignment horizontal="center"/>
    </xf>
    <xf fontId="12" fillId="3" borderId="14" numFmtId="4" xfId="0" applyNumberFormat="1" applyFont="1" applyFill="1" applyBorder="1" applyAlignment="1">
      <alignment horizontal="right"/>
    </xf>
    <xf fontId="12" fillId="3" borderId="14" numFmtId="3" xfId="0" applyNumberFormat="1" applyFont="1" applyFill="1" applyBorder="1" applyAlignment="1">
      <alignment horizontal="right"/>
    </xf>
    <xf fontId="12" fillId="3" borderId="2" numFmtId="4" xfId="54" applyNumberFormat="1" applyFont="1" applyFill="1" applyBorder="1" applyAlignment="1">
      <alignment horizontal="center"/>
    </xf>
    <xf fontId="12" fillId="3" borderId="4" numFmtId="0" xfId="0" applyFont="1" applyFill="1" applyBorder="1" applyAlignment="1">
      <alignment horizontal="left" wrapText="1"/>
    </xf>
    <xf fontId="12" fillId="3" borderId="5" numFmtId="0" xfId="0" applyFont="1" applyFill="1" applyBorder="1" applyAlignment="1">
      <alignment horizontal="left" wrapText="1"/>
    </xf>
    <xf fontId="6" fillId="4" borderId="2" numFmtId="0" xfId="0" applyFont="1" applyFill="1" applyBorder="1" applyAlignment="1">
      <alignment horizontal="left" wrapText="1"/>
    </xf>
    <xf fontId="6" fillId="4" borderId="0" numFmtId="49" xfId="0" applyNumberFormat="1" applyFont="1" applyFill="1" applyAlignment="1">
      <alignment horizontal="center"/>
    </xf>
    <xf fontId="6" fillId="4" borderId="0" numFmtId="4" xfId="0" applyNumberFormat="1" applyFont="1" applyFill="1"/>
    <xf fontId="6" fillId="4" borderId="0" numFmtId="4" xfId="0" applyNumberFormat="1" applyFont="1" applyFill="1" applyAlignment="1">
      <alignment wrapText="1"/>
    </xf>
    <xf fontId="6" fillId="4" borderId="2" numFmtId="49" xfId="0" applyNumberFormat="1" applyFont="1" applyFill="1" applyBorder="1" applyAlignment="1">
      <alignment horizontal="center"/>
    </xf>
    <xf fontId="6" fillId="4" borderId="2" numFmtId="4" xfId="0" applyNumberFormat="1" applyFont="1" applyFill="1" applyBorder="1" applyAlignment="1">
      <alignment wrapText="1"/>
    </xf>
    <xf fontId="12" fillId="3" borderId="2" numFmtId="171" xfId="54" applyNumberFormat="1" applyFont="1" applyFill="1" applyBorder="1" applyAlignment="1">
      <alignment horizontal="center" wrapText="1"/>
    </xf>
    <xf fontId="6" fillId="0" borderId="2" numFmtId="0" xfId="0" applyFont="1" applyBorder="1" applyAlignment="1">
      <alignment horizontal="center" wrapText="1"/>
    </xf>
    <xf fontId="19" fillId="3" borderId="0" numFmtId="0" xfId="0" applyFont="1" applyFill="1"/>
    <xf fontId="6" fillId="0" borderId="2" numFmtId="1" xfId="0" applyNumberFormat="1" applyFont="1" applyBorder="1" applyAlignment="1">
      <alignment horizontal="right"/>
    </xf>
    <xf fontId="10" fillId="5" borderId="0" numFmtId="0" xfId="0" applyFont="1" applyFill="1"/>
    <xf fontId="10" fillId="5" borderId="2" numFmtId="0" xfId="0" applyFont="1" applyFill="1" applyBorder="1" applyAlignment="1">
      <alignment horizontal="center" wrapText="1"/>
    </xf>
    <xf fontId="10" fillId="5" borderId="2" numFmtId="49" xfId="0" applyNumberFormat="1" applyFont="1" applyFill="1" applyBorder="1" applyAlignment="1">
      <alignment horizontal="center" wrapText="1"/>
    </xf>
    <xf fontId="10" fillId="5" borderId="2" numFmtId="0" xfId="0" applyFont="1" applyFill="1" applyBorder="1" applyAlignment="1">
      <alignment horizontal="center"/>
    </xf>
    <xf fontId="10" fillId="5" borderId="2" numFmtId="4" xfId="0" applyNumberFormat="1" applyFont="1" applyFill="1" applyBorder="1"/>
    <xf fontId="10" fillId="5" borderId="2" numFmtId="3" xfId="0" applyNumberFormat="1" applyFont="1" applyFill="1" applyBorder="1"/>
    <xf fontId="10" fillId="5" borderId="2" numFmtId="4" xfId="0" applyNumberFormat="1" applyFont="1" applyFill="1" applyBorder="1" applyAlignment="1">
      <alignment horizontal="right"/>
    </xf>
    <xf fontId="10" fillId="5" borderId="2" numFmtId="0" xfId="0" applyFont="1" applyFill="1" applyBorder="1" applyAlignment="1">
      <alignment horizontal="right"/>
    </xf>
    <xf fontId="6" fillId="3" borderId="0" numFmtId="0" xfId="0" applyFont="1" applyFill="1" applyAlignment="1">
      <alignment horizontal="center" vertical="center" wrapText="1"/>
    </xf>
    <xf fontId="12" fillId="3" borderId="2" numFmtId="14" xfId="0" applyNumberFormat="1" applyFont="1" applyFill="1" applyBorder="1" applyAlignment="1">
      <alignment horizontal="center" wrapText="1"/>
    </xf>
    <xf fontId="12" fillId="3" borderId="2" numFmtId="14" xfId="0" applyNumberFormat="1" applyFont="1" applyFill="1" applyBorder="1" applyAlignment="1">
      <alignment horizontal="center"/>
    </xf>
    <xf fontId="12" fillId="3" borderId="2" numFmtId="4" xfId="54" applyNumberFormat="1" applyFont="1" applyFill="1" applyBorder="1" applyAlignment="1">
      <alignment horizontal="right" wrapText="1"/>
    </xf>
    <xf fontId="12" fillId="3" borderId="2" numFmtId="3" xfId="54" applyNumberFormat="1" applyFont="1" applyFill="1" applyBorder="1" applyAlignment="1">
      <alignment horizontal="right" wrapText="1"/>
    </xf>
    <xf fontId="12" fillId="3" borderId="2" numFmtId="4" xfId="54" applyNumberFormat="1" applyFont="1" applyFill="1" applyBorder="1" applyAlignment="1">
      <alignment wrapText="1"/>
    </xf>
    <xf fontId="12" fillId="3" borderId="2" numFmtId="3" xfId="54" applyNumberFormat="1" applyFont="1" applyFill="1" applyBorder="1" applyAlignment="1">
      <alignment wrapText="1"/>
    </xf>
    <xf fontId="6" fillId="3" borderId="8" numFmtId="0" xfId="0" applyFont="1" applyFill="1" applyBorder="1" applyAlignment="1">
      <alignment horizontal="center" wrapText="1"/>
    </xf>
    <xf fontId="6" fillId="3" borderId="8" numFmtId="1" xfId="0" applyNumberFormat="1" applyFont="1" applyFill="1" applyBorder="1" applyAlignment="1">
      <alignment horizontal="center" wrapText="1"/>
    </xf>
    <xf fontId="6" fillId="3" borderId="8" numFmtId="49" xfId="0" applyNumberFormat="1" applyFont="1" applyFill="1" applyBorder="1" applyAlignment="1">
      <alignment horizontal="center" wrapText="1"/>
    </xf>
    <xf fontId="6" fillId="3" borderId="8" numFmtId="0" xfId="0" applyFont="1" applyFill="1" applyBorder="1" applyAlignment="1">
      <alignment horizontal="center"/>
    </xf>
    <xf fontId="6" fillId="3" borderId="8" numFmtId="4" xfId="0" applyNumberFormat="1" applyFont="1" applyFill="1" applyBorder="1" applyAlignment="1">
      <alignment horizontal="right"/>
    </xf>
    <xf fontId="6" fillId="3" borderId="8" numFmtId="3" xfId="0" applyNumberFormat="1" applyFont="1" applyFill="1" applyBorder="1" applyAlignment="1">
      <alignment horizontal="right"/>
    </xf>
    <xf fontId="6" fillId="3" borderId="8" numFmtId="4" xfId="54" applyNumberFormat="1" applyFont="1" applyFill="1" applyBorder="1" applyAlignment="1">
      <alignment horizontal="right"/>
    </xf>
    <xf fontId="6" fillId="4" borderId="17" numFmtId="0" xfId="0" applyFont="1" applyFill="1" applyBorder="1" applyAlignment="1">
      <alignment horizontal="center" wrapText="1"/>
    </xf>
    <xf fontId="6" fillId="4" borderId="18" numFmtId="0" xfId="0" applyFont="1" applyFill="1" applyBorder="1" applyAlignment="1">
      <alignment horizontal="center" wrapText="1"/>
    </xf>
    <xf fontId="6" fillId="4" borderId="9" numFmtId="1" xfId="0" applyNumberFormat="1" applyFont="1" applyFill="1" applyBorder="1" applyAlignment="1">
      <alignment horizontal="right"/>
    </xf>
    <xf fontId="6" fillId="4" borderId="18" numFmtId="4" xfId="0" applyNumberFormat="1" applyFont="1" applyFill="1" applyBorder="1" applyAlignment="1">
      <alignment horizontal="right"/>
    </xf>
    <xf fontId="6" fillId="4" borderId="17" numFmtId="4" xfId="0" applyNumberFormat="1" applyFont="1" applyFill="1" applyBorder="1" applyAlignment="1">
      <alignment horizontal="right"/>
    </xf>
    <xf fontId="12" fillId="3" borderId="14" numFmtId="4" xfId="0" applyNumberFormat="1" applyFont="1" applyFill="1" applyBorder="1" applyAlignment="1">
      <alignment horizontal="center"/>
    </xf>
    <xf fontId="6" fillId="3" borderId="14" numFmtId="3" xfId="0" applyNumberFormat="1" applyFont="1" applyFill="1" applyBorder="1" applyAlignment="1">
      <alignment horizontal="right"/>
    </xf>
    <xf fontId="12" fillId="3" borderId="2" numFmtId="166" xfId="0" applyNumberFormat="1" applyFont="1" applyFill="1" applyBorder="1" applyAlignment="1">
      <alignment wrapText="1"/>
    </xf>
    <xf fontId="12" fillId="3" borderId="2" numFmtId="166" xfId="0" applyNumberFormat="1" applyFont="1" applyFill="1" applyBorder="1" applyAlignment="1">
      <alignment horizontal="right"/>
    </xf>
    <xf fontId="6" fillId="3" borderId="14" numFmtId="0" xfId="0" applyFont="1" applyFill="1" applyBorder="1" applyAlignment="1">
      <alignment horizontal="center" wrapText="1"/>
    </xf>
    <xf fontId="6" fillId="3" borderId="14" numFmtId="0" xfId="0" applyFont="1" applyFill="1" applyBorder="1" applyAlignment="1">
      <alignment horizontal="center"/>
    </xf>
    <xf fontId="6" fillId="3" borderId="14" numFmtId="4" xfId="0" applyNumberFormat="1" applyFont="1" applyFill="1" applyBorder="1"/>
    <xf fontId="6" fillId="3" borderId="14" numFmtId="4" xfId="0" applyNumberFormat="1" applyFont="1" applyFill="1" applyBorder="1" applyAlignment="1">
      <alignment horizontal="right"/>
    </xf>
    <xf fontId="6" fillId="0" borderId="2" numFmtId="4" xfId="0" applyNumberFormat="1" applyFont="1" applyBorder="1" applyAlignment="1">
      <alignment horizontal="right"/>
    </xf>
    <xf fontId="6" fillId="0" borderId="2" numFmtId="3" xfId="0" applyNumberFormat="1" applyFont="1" applyBorder="1" applyAlignment="1">
      <alignment horizontal="right"/>
    </xf>
    <xf fontId="6" fillId="3" borderId="8" numFmtId="0" xfId="0" applyFont="1" applyFill="1" applyBorder="1" applyAlignment="1">
      <alignment horizontal="left"/>
    </xf>
    <xf fontId="6" fillId="3" borderId="8" numFmtId="49" xfId="0" applyNumberFormat="1" applyFont="1" applyFill="1" applyBorder="1" applyAlignment="1">
      <alignment horizontal="center"/>
    </xf>
    <xf fontId="6" fillId="3" borderId="8" numFmtId="49" xfId="0" applyNumberFormat="1" applyFont="1" applyFill="1" applyBorder="1" applyAlignment="1">
      <alignment horizontal="right"/>
    </xf>
    <xf fontId="6" fillId="4" borderId="10" numFmtId="0" xfId="0" applyFont="1" applyFill="1" applyBorder="1" applyAlignment="1">
      <alignment wrapText="1"/>
    </xf>
    <xf fontId="6" fillId="4" borderId="10" numFmtId="49" xfId="0" applyNumberFormat="1" applyFont="1" applyFill="1" applyBorder="1" applyAlignment="1">
      <alignment horizontal="center"/>
    </xf>
    <xf fontId="6" fillId="4" borderId="10" numFmtId="0" xfId="0" applyFont="1" applyFill="1" applyBorder="1"/>
    <xf fontId="6" fillId="4" borderId="15" numFmtId="4" xfId="0" applyNumberFormat="1" applyFont="1" applyFill="1" applyBorder="1" applyAlignment="1">
      <alignment horizontal="right"/>
    </xf>
    <xf fontId="6" fillId="4" borderId="16" numFmtId="4" xfId="0" applyNumberFormat="1" applyFont="1" applyFill="1" applyBorder="1" applyAlignment="1">
      <alignment horizontal="right"/>
    </xf>
    <xf fontId="6" fillId="4" borderId="10" numFmtId="49" xfId="0" applyNumberFormat="1" applyFont="1" applyFill="1" applyBorder="1" applyAlignment="1">
      <alignment horizontal="right"/>
    </xf>
    <xf fontId="6" fillId="3" borderId="14" numFmtId="0" xfId="0" applyFont="1" applyFill="1" applyBorder="1" applyAlignment="1">
      <alignment wrapText="1"/>
    </xf>
    <xf fontId="6" fillId="3" borderId="14" numFmtId="49" xfId="0" applyNumberFormat="1" applyFont="1" applyFill="1" applyBorder="1" applyAlignment="1">
      <alignment horizontal="right"/>
    </xf>
    <xf fontId="6" fillId="3" borderId="2" numFmtId="168" xfId="54" applyNumberFormat="1" applyFont="1" applyFill="1" applyBorder="1" applyAlignment="1">
      <alignment horizontal="center" wrapText="1"/>
    </xf>
    <xf fontId="6" fillId="3" borderId="2" numFmtId="1" xfId="54" applyNumberFormat="1" applyFont="1" applyFill="1" applyBorder="1" applyAlignment="1">
      <alignment horizontal="center"/>
    </xf>
    <xf fontId="6" fillId="3" borderId="2" numFmtId="3" xfId="54" applyNumberFormat="1" applyFont="1" applyFill="1" applyBorder="1" applyAlignment="1">
      <alignment horizontal="right"/>
    </xf>
    <xf fontId="6" fillId="3" borderId="19" numFmtId="49" xfId="0" applyNumberFormat="1" applyFont="1" applyFill="1" applyBorder="1" applyAlignment="1">
      <alignment horizontal="center" wrapText="1"/>
    </xf>
    <xf fontId="6" fillId="4" borderId="12" numFmtId="0" xfId="0" applyFont="1" applyFill="1" applyBorder="1" applyAlignment="1">
      <alignment horizontal="center" wrapText="1"/>
    </xf>
    <xf fontId="6" fillId="3" borderId="20" numFmtId="0" xfId="0" applyFont="1" applyFill="1" applyBorder="1" applyAlignment="1">
      <alignment horizontal="center"/>
    </xf>
    <xf fontId="6" fillId="3" borderId="6" numFmtId="4" xfId="0" applyNumberFormat="1" applyFont="1" applyFill="1" applyBorder="1"/>
    <xf fontId="6" fillId="3" borderId="0" numFmtId="4" xfId="0" applyNumberFormat="1" applyFont="1" applyFill="1"/>
    <xf fontId="6" fillId="3" borderId="0" numFmtId="3" xfId="0" applyNumberFormat="1" applyFont="1" applyFill="1"/>
    <xf fontId="6" fillId="3" borderId="2" numFmtId="49" xfId="0" applyNumberFormat="1" applyFont="1" applyFill="1" applyBorder="1" applyAlignment="1">
      <alignment horizontal="right"/>
    </xf>
    <xf fontId="6" fillId="4" borderId="1" numFmtId="0" xfId="0" applyFont="1" applyFill="1" applyBorder="1"/>
    <xf fontId="6" fillId="4" borderId="1" numFmtId="0" xfId="0" applyFont="1" applyFill="1" applyBorder="1" applyAlignment="1">
      <alignment horizontal="center" wrapText="1"/>
    </xf>
    <xf fontId="6" fillId="4" borderId="12" numFmtId="0" xfId="0" applyFont="1" applyFill="1" applyBorder="1" applyAlignment="1">
      <alignment horizontal="center"/>
    </xf>
    <xf fontId="6" fillId="4" borderId="1" numFmtId="49" xfId="0" applyNumberFormat="1" applyFont="1" applyFill="1" applyBorder="1" applyAlignment="1">
      <alignment horizontal="center"/>
    </xf>
    <xf fontId="6" fillId="4" borderId="1" numFmtId="0" xfId="0" applyFont="1" applyFill="1" applyBorder="1" applyAlignment="1">
      <alignment horizontal="center"/>
    </xf>
    <xf fontId="6" fillId="4" borderId="1" numFmtId="4" xfId="0" applyNumberFormat="1" applyFont="1" applyFill="1" applyBorder="1" applyAlignment="1">
      <alignment horizontal="right"/>
    </xf>
    <xf fontId="6" fillId="4" borderId="12" numFmtId="3" xfId="0" applyNumberFormat="1" applyFont="1" applyFill="1" applyBorder="1" applyAlignment="1">
      <alignment horizontal="right"/>
    </xf>
    <xf fontId="6" fillId="4" borderId="1" numFmtId="49" xfId="0" applyNumberFormat="1" applyFont="1" applyFill="1" applyBorder="1" applyAlignment="1">
      <alignment horizontal="right"/>
    </xf>
    <xf fontId="12" fillId="3" borderId="14" numFmtId="0" xfId="0" applyFont="1" applyFill="1" applyBorder="1" applyAlignment="1">
      <alignment wrapText="1"/>
    </xf>
    <xf fontId="12" fillId="3" borderId="14" numFmtId="168" xfId="54" applyNumberFormat="1" applyFont="1" applyFill="1" applyBorder="1" applyAlignment="1">
      <alignment horizontal="center" wrapText="1"/>
    </xf>
    <xf fontId="12" fillId="3" borderId="14" numFmtId="14" xfId="54" applyNumberFormat="1" applyFont="1" applyFill="1" applyBorder="1" applyAlignment="1">
      <alignment horizontal="center" wrapText="1"/>
    </xf>
    <xf fontId="12" fillId="3" borderId="14" numFmtId="49" xfId="54" applyNumberFormat="1" applyFont="1" applyFill="1" applyBorder="1" applyAlignment="1">
      <alignment horizontal="center" wrapText="1"/>
    </xf>
    <xf fontId="12" fillId="3" borderId="14" numFmtId="168" xfId="54" applyNumberFormat="1" applyFont="1" applyFill="1" applyBorder="1" applyAlignment="1">
      <alignment horizontal="center"/>
    </xf>
    <xf fontId="12" fillId="3" borderId="14" numFmtId="4" xfId="54" applyNumberFormat="1" applyFont="1" applyFill="1" applyBorder="1" applyAlignment="1">
      <alignment horizontal="center"/>
    </xf>
    <xf fontId="8" fillId="3" borderId="2" numFmtId="0" xfId="0" applyFont="1" applyFill="1" applyBorder="1"/>
    <xf fontId="8" fillId="3" borderId="2" numFmtId="49" xfId="0" applyNumberFormat="1" applyFont="1" applyFill="1" applyBorder="1"/>
    <xf fontId="8" fillId="4" borderId="0" numFmtId="0" xfId="0" applyFont="1" applyFill="1"/>
    <xf fontId="20" fillId="4" borderId="2" numFmtId="0" xfId="0" applyFont="1" applyFill="1" applyBorder="1" applyAlignment="1">
      <alignment wrapText="1"/>
    </xf>
    <xf fontId="12" fillId="4" borderId="2" numFmtId="0" xfId="0" applyFont="1" applyFill="1" applyBorder="1" applyAlignment="1">
      <alignment wrapText="1"/>
    </xf>
    <xf fontId="12" fillId="4" borderId="2" numFmtId="0" xfId="0" applyFont="1" applyFill="1" applyBorder="1"/>
    <xf fontId="10" fillId="4" borderId="2" numFmtId="0" xfId="0" applyFont="1" applyFill="1" applyBorder="1"/>
    <xf fontId="6" fillId="4" borderId="2" numFmtId="0" xfId="0" applyFont="1" applyFill="1" applyBorder="1" applyAlignment="1">
      <alignment wrapText="1"/>
    </xf>
    <xf fontId="8" fillId="4" borderId="0" numFmtId="4" xfId="0" applyNumberFormat="1" applyFont="1" applyFill="1"/>
    <xf fontId="6" fillId="4" borderId="0" numFmtId="3" xfId="0" applyNumberFormat="1" applyFont="1" applyFill="1"/>
    <xf fontId="15" fillId="4" borderId="0" numFmtId="0" xfId="0" applyFont="1" applyFill="1"/>
    <xf fontId="12" fillId="3" borderId="0" numFmtId="4" xfId="0" applyNumberFormat="1" applyFont="1" applyFill="1" applyAlignment="1">
      <alignment horizontal="right"/>
    </xf>
    <xf fontId="12" fillId="3" borderId="2" numFmtId="49" xfId="0" applyNumberFormat="1" applyFont="1" applyFill="1" applyBorder="1" applyAlignment="1">
      <alignment horizontal="right"/>
    </xf>
    <xf fontId="12" fillId="0" borderId="2" numFmtId="0" xfId="0" applyFont="1" applyBorder="1" applyAlignment="1">
      <alignment wrapText="1"/>
    </xf>
    <xf fontId="12" fillId="4" borderId="2" numFmtId="0" xfId="0" applyFont="1" applyFill="1" applyBorder="1" applyAlignment="1">
      <alignment horizontal="center" wrapText="1"/>
    </xf>
    <xf fontId="12" fillId="4" borderId="2" numFmtId="0" xfId="0" applyFont="1" applyFill="1" applyBorder="1" applyAlignment="1">
      <alignment horizontal="center"/>
    </xf>
    <xf fontId="12" fillId="4" borderId="2" numFmtId="4" xfId="0" applyNumberFormat="1" applyFont="1" applyFill="1" applyBorder="1" applyAlignment="1">
      <alignment horizontal="right" wrapText="1"/>
    </xf>
    <xf fontId="12" fillId="4" borderId="2" numFmtId="3" xfId="0" applyNumberFormat="1" applyFont="1" applyFill="1" applyBorder="1" applyAlignment="1">
      <alignment horizontal="right" wrapText="1"/>
    </xf>
    <xf fontId="6" fillId="4" borderId="2" numFmtId="3" xfId="0" applyNumberFormat="1" applyFont="1" applyFill="1" applyBorder="1" applyAlignment="1">
      <alignment wrapText="1"/>
    </xf>
    <xf fontId="6" fillId="4" borderId="2" numFmtId="0" xfId="0" applyFont="1" applyFill="1" applyBorder="1" applyAlignment="1">
      <alignment horizontal="right" wrapText="1"/>
    </xf>
    <xf fontId="6" fillId="0" borderId="2" numFmtId="4" xfId="0" applyNumberFormat="1" applyFont="1" applyBorder="1" applyAlignment="1">
      <alignment horizontal="right" wrapText="1"/>
    </xf>
    <xf fontId="6" fillId="0" borderId="2" numFmtId="0" xfId="0" applyFont="1" applyBorder="1" applyAlignment="1">
      <alignment horizontal="right" wrapText="1"/>
    </xf>
    <xf fontId="6" fillId="4" borderId="2" numFmtId="3" xfId="0" applyNumberFormat="1" applyFont="1" applyFill="1" applyBorder="1" applyAlignment="1">
      <alignment horizontal="right" wrapText="1"/>
    </xf>
    <xf fontId="6" fillId="0" borderId="2" numFmtId="3" xfId="0" applyNumberFormat="1" applyFont="1" applyBorder="1" applyAlignment="1">
      <alignment horizontal="right" wrapText="1"/>
    </xf>
    <xf fontId="6" fillId="3" borderId="2" numFmtId="0" xfId="0" applyFont="1" applyFill="1" applyBorder="1" applyAlignment="1">
      <alignment wrapText="1"/>
      <protection locked="0"/>
    </xf>
    <xf fontId="6" fillId="4" borderId="2" numFmtId="0" xfId="0" applyFont="1" applyFill="1" applyBorder="1" applyAlignment="1">
      <alignment wrapText="1"/>
      <protection locked="0"/>
    </xf>
    <xf fontId="12" fillId="3" borderId="2" numFmtId="0" xfId="0" applyFont="1" applyFill="1" applyBorder="1" applyAlignment="1">
      <alignment horizontal="right" wrapText="1"/>
    </xf>
    <xf fontId="6" fillId="3" borderId="2" numFmtId="49" xfId="0" applyNumberFormat="1" applyFont="1" applyFill="1" applyBorder="1" applyAlignment="1">
      <alignment horizontal="right" wrapText="1"/>
    </xf>
    <xf fontId="6" fillId="0" borderId="2" numFmtId="4" xfId="0" applyNumberFormat="1" applyFont="1" applyBorder="1"/>
    <xf fontId="6" fillId="0" borderId="2" numFmtId="3" xfId="0" applyNumberFormat="1" applyFont="1" applyBorder="1"/>
    <xf fontId="12" fillId="4" borderId="2" numFmtId="4" xfId="0" applyNumberFormat="1" applyFont="1" applyFill="1" applyBorder="1"/>
    <xf fontId="12" fillId="4" borderId="2" numFmtId="3" xfId="0" applyNumberFormat="1" applyFont="1" applyFill="1" applyBorder="1"/>
    <xf fontId="12" fillId="4" borderId="2" numFmtId="4" xfId="0" applyNumberFormat="1" applyFont="1" applyFill="1" applyBorder="1" applyAlignment="1">
      <alignment horizontal="right"/>
    </xf>
    <xf fontId="12" fillId="4" borderId="2" numFmtId="0" xfId="0" applyFont="1" applyFill="1" applyBorder="1" applyAlignment="1">
      <alignment horizontal="right"/>
    </xf>
    <xf fontId="9" fillId="0" borderId="0" numFmtId="0" xfId="0" applyFont="1" applyAlignment="1">
      <alignment horizontal="center" wrapText="1"/>
    </xf>
    <xf fontId="6" fillId="0" borderId="10" numFmtId="0" xfId="0" applyFont="1" applyBorder="1" applyAlignment="1">
      <alignment horizontal="center" vertical="center" wrapText="1"/>
    </xf>
    <xf fontId="0" fillId="2" borderId="0" numFmtId="0" xfId="0" applyFill="1"/>
    <xf fontId="6" fillId="2" borderId="10" numFmtId="0" xfId="0" applyFont="1" applyFill="1" applyBorder="1"/>
    <xf fontId="10" fillId="2" borderId="10" numFmtId="0" xfId="0" applyFont="1" applyFill="1" applyBorder="1" applyAlignment="1">
      <alignment horizontal="center" wrapText="1"/>
    </xf>
    <xf fontId="6" fillId="2" borderId="10" numFmtId="0" xfId="0" applyFont="1" applyFill="1" applyBorder="1" applyAlignment="1">
      <alignment wrapText="1"/>
    </xf>
    <xf fontId="8" fillId="2" borderId="0" numFmtId="0" xfId="0" applyFont="1" applyFill="1"/>
    <xf fontId="21" fillId="0" borderId="0" numFmtId="0" xfId="0" applyFont="1"/>
    <xf fontId="12" fillId="0" borderId="10" numFmtId="0" xfId="0" applyFont="1" applyBorder="1"/>
    <xf fontId="12" fillId="0" borderId="10" numFmtId="0" xfId="0" applyFont="1" applyBorder="1" applyAlignment="1">
      <alignment wrapText="1"/>
    </xf>
    <xf fontId="12" fillId="0" borderId="10" numFmtId="4" xfId="0" applyNumberFormat="1" applyFont="1" applyBorder="1" applyAlignment="1">
      <alignment wrapText="1"/>
    </xf>
    <xf fontId="12" fillId="0" borderId="10" numFmtId="3" xfId="0" applyNumberFormat="1" applyFont="1" applyBorder="1" applyAlignment="1">
      <alignment wrapText="1"/>
    </xf>
    <xf fontId="22" fillId="0" borderId="0" numFmtId="0" xfId="0" applyFont="1"/>
    <xf fontId="6" fillId="4" borderId="10" numFmtId="4" xfId="0" applyNumberFormat="1" applyFont="1" applyFill="1" applyBorder="1" applyAlignment="1">
      <alignment wrapText="1"/>
    </xf>
    <xf fontId="6" fillId="4" borderId="10" numFmtId="3" xfId="0" applyNumberFormat="1" applyFont="1" applyFill="1" applyBorder="1" applyAlignment="1">
      <alignment wrapText="1"/>
    </xf>
    <xf fontId="6" fillId="3" borderId="10" numFmtId="3" xfId="0" applyNumberFormat="1" applyFont="1" applyFill="1" applyBorder="1" applyAlignment="1">
      <alignment wrapText="1"/>
    </xf>
    <xf fontId="6" fillId="3" borderId="10" numFmtId="0" xfId="0" applyFont="1" applyFill="1" applyBorder="1" applyAlignment="1">
      <alignment wrapText="1"/>
    </xf>
    <xf fontId="6" fillId="3" borderId="10" numFmtId="4" xfId="0" applyNumberFormat="1" applyFont="1" applyFill="1" applyBorder="1" applyAlignment="1">
      <alignment wrapText="1"/>
    </xf>
    <xf fontId="6" fillId="3" borderId="10" numFmtId="0" xfId="0" applyFont="1" applyFill="1" applyBorder="1" applyAlignment="1">
      <alignment horizontal="center"/>
    </xf>
    <xf fontId="6" fillId="3" borderId="0" numFmtId="3" xfId="0" applyNumberFormat="1" applyFont="1" applyFill="1" applyAlignment="1">
      <alignment wrapText="1"/>
    </xf>
    <xf fontId="23" fillId="2" borderId="0" numFmtId="0" xfId="0" applyFont="1" applyFill="1"/>
    <xf fontId="10" fillId="2" borderId="10" numFmtId="0" xfId="0" applyFont="1" applyFill="1" applyBorder="1" applyAlignment="1">
      <alignment horizontal="center"/>
    </xf>
    <xf fontId="10" fillId="2" borderId="10" numFmtId="4" xfId="0" applyNumberFormat="1" applyFont="1" applyFill="1" applyBorder="1" applyAlignment="1">
      <alignment wrapText="1"/>
    </xf>
    <xf fontId="10" fillId="2" borderId="10" numFmtId="3" xfId="0" applyNumberFormat="1" applyFont="1" applyFill="1" applyBorder="1" applyAlignment="1">
      <alignment wrapText="1"/>
    </xf>
    <xf fontId="22" fillId="3" borderId="0" numFmtId="0" xfId="0" applyFont="1" applyFill="1"/>
    <xf fontId="12" fillId="3" borderId="10" numFmtId="0" xfId="0" applyFont="1" applyFill="1" applyBorder="1" applyAlignment="1">
      <alignment horizontal="center"/>
    </xf>
    <xf fontId="12" fillId="3" borderId="10" numFmtId="0" xfId="0" applyFont="1" applyFill="1" applyBorder="1" applyAlignment="1">
      <alignment wrapText="1"/>
    </xf>
    <xf fontId="12" fillId="3" borderId="10" numFmtId="4" xfId="0" applyNumberFormat="1" applyFont="1" applyFill="1" applyBorder="1" applyAlignment="1">
      <alignment wrapText="1"/>
    </xf>
    <xf fontId="12" fillId="3" borderId="10" numFmtId="3" xfId="0" applyNumberFormat="1" applyFont="1" applyFill="1" applyBorder="1" applyAlignment="1">
      <alignment wrapText="1"/>
    </xf>
    <xf fontId="6" fillId="4" borderId="0" numFmtId="3" xfId="0" applyNumberFormat="1" applyFont="1" applyFill="1" applyAlignment="1">
      <alignment wrapText="1"/>
    </xf>
    <xf fontId="6" fillId="4" borderId="21" numFmtId="4" xfId="0" applyNumberFormat="1" applyFont="1" applyFill="1" applyBorder="1" applyAlignment="1">
      <alignment wrapText="1"/>
    </xf>
    <xf fontId="6" fillId="4" borderId="21" numFmtId="3" xfId="0" applyNumberFormat="1" applyFont="1" applyFill="1" applyBorder="1" applyAlignment="1">
      <alignment wrapText="1"/>
    </xf>
    <xf fontId="6" fillId="4" borderId="9" numFmtId="0" xfId="0" applyFont="1" applyFill="1" applyBorder="1" applyAlignment="1">
      <alignment wrapText="1"/>
    </xf>
    <xf fontId="6" fillId="4" borderId="8" numFmtId="4" xfId="0" applyNumberFormat="1" applyFont="1" applyFill="1" applyBorder="1" applyAlignment="1">
      <alignment wrapText="1"/>
    </xf>
    <xf fontId="6" fillId="4" borderId="8" numFmtId="3" xfId="0" applyNumberFormat="1" applyFont="1" applyFill="1" applyBorder="1" applyAlignment="1">
      <alignment wrapText="1"/>
    </xf>
    <xf fontId="6" fillId="4" borderId="14" numFmtId="4" xfId="0" applyNumberFormat="1" applyFont="1" applyFill="1" applyBorder="1" applyAlignment="1">
      <alignment wrapText="1"/>
    </xf>
    <xf fontId="6" fillId="4" borderId="14" numFmtId="3" xfId="0" applyNumberFormat="1" applyFont="1" applyFill="1" applyBorder="1" applyAlignment="1">
      <alignment wrapText="1"/>
    </xf>
    <xf fontId="6" fillId="4" borderId="12" numFmtId="4" xfId="0" applyNumberFormat="1" applyFont="1" applyFill="1" applyBorder="1" applyAlignment="1">
      <alignment wrapText="1"/>
    </xf>
    <xf fontId="6" fillId="4" borderId="12" numFmtId="3" xfId="0" applyNumberFormat="1" applyFont="1" applyFill="1" applyBorder="1" applyAlignment="1">
      <alignment wrapText="1"/>
    </xf>
    <xf fontId="22" fillId="4" borderId="0" numFmtId="0" xfId="0" applyFont="1" applyFill="1"/>
    <xf fontId="12" fillId="4" borderId="10" numFmtId="0" xfId="0" applyFont="1" applyFill="1" applyBorder="1" applyAlignment="1">
      <alignment horizontal="center"/>
    </xf>
    <xf fontId="12" fillId="4" borderId="10" numFmtId="0" xfId="0" applyFont="1" applyFill="1" applyBorder="1" applyAlignment="1">
      <alignment wrapText="1"/>
    </xf>
    <xf fontId="12" fillId="4" borderId="10" numFmtId="4" xfId="0" applyNumberFormat="1" applyFont="1" applyFill="1" applyBorder="1" applyAlignment="1">
      <alignment wrapText="1"/>
    </xf>
    <xf fontId="12" fillId="4" borderId="10" numFmtId="3" xfId="0" applyNumberFormat="1" applyFont="1" applyFill="1" applyBorder="1" applyAlignment="1">
      <alignment wrapText="1"/>
    </xf>
    <xf fontId="24" fillId="4" borderId="0" numFmtId="0" xfId="0" applyFont="1" applyFill="1"/>
    <xf fontId="6" fillId="4" borderId="10" numFmtId="3" xfId="0" applyNumberFormat="1" applyFont="1" applyFill="1" applyBorder="1"/>
    <xf fontId="6" fillId="4" borderId="0" numFmtId="0" xfId="0" applyFont="1" applyFill="1" applyAlignment="1">
      <alignment wrapText="1"/>
    </xf>
    <xf fontId="9" fillId="4" borderId="0" numFmtId="0" xfId="0" applyFont="1" applyFill="1"/>
    <xf fontId="9" fillId="4" borderId="0" numFmtId="0" xfId="0" applyFont="1" applyFill="1" applyAlignment="1">
      <alignment wrapText="1"/>
    </xf>
    <xf fontId="25" fillId="4" borderId="0" numFmtId="0" xfId="0" applyFont="1" applyFill="1"/>
    <xf fontId="10" fillId="4" borderId="22" numFmtId="0" xfId="0" applyFont="1" applyFill="1" applyBorder="1" applyAlignment="1">
      <alignment wrapText="1"/>
    </xf>
    <xf fontId="23" fillId="4" borderId="0" numFmtId="0" xfId="0" applyFont="1" applyFill="1"/>
    <xf fontId="12" fillId="4" borderId="10" numFmtId="0" xfId="0" applyFont="1" applyFill="1" applyBorder="1" applyAlignment="1">
      <alignment horizontal="center" wrapText="1"/>
    </xf>
    <xf fontId="6" fillId="0" borderId="10" numFmtId="0" xfId="0" applyFont="1" applyBorder="1" applyAlignment="1">
      <alignment wrapText="1"/>
    </xf>
    <xf fontId="6" fillId="4" borderId="1" numFmtId="4" xfId="0" applyNumberFormat="1" applyFont="1" applyFill="1" applyBorder="1" applyAlignment="1">
      <alignment wrapText="1"/>
    </xf>
    <xf fontId="6" fillId="4" borderId="1" numFmtId="3" xfId="0" applyNumberFormat="1" applyFont="1" applyFill="1" applyBorder="1" applyAlignment="1">
      <alignment wrapText="1"/>
    </xf>
    <xf fontId="6" fillId="0" borderId="0" numFmtId="0" xfId="0" applyFont="1" applyAlignment="1" applyProtection="1">
      <alignment wrapText="1"/>
      <protection locked="0"/>
    </xf>
    <xf fontId="6" fillId="0" borderId="0" numFmtId="4" xfId="0" applyNumberFormat="1" applyFont="1" applyAlignment="1" applyProtection="1">
      <alignment wrapText="1"/>
      <protection locked="0"/>
    </xf>
    <xf fontId="26" fillId="0" borderId="0" numFmtId="0" xfId="0" applyFont="1"/>
    <xf fontId="9" fillId="0" borderId="0" numFmtId="0" xfId="0" applyFont="1" applyAlignment="1" applyProtection="1">
      <alignment horizontal="center" wrapText="1"/>
      <protection locked="0"/>
    </xf>
    <xf fontId="9" fillId="0" borderId="0" numFmtId="4" xfId="0" applyNumberFormat="1" applyFont="1" applyAlignment="1" applyProtection="1">
      <alignment horizontal="center" wrapText="1"/>
      <protection locked="0"/>
    </xf>
    <xf fontId="6" fillId="0" borderId="2" numFmtId="0" xfId="0" applyFont="1" applyBorder="1" applyAlignment="1" applyProtection="1">
      <alignment horizontal="center" vertical="center" wrapText="1"/>
      <protection locked="0"/>
    </xf>
    <xf fontId="6" fillId="0" borderId="2" numFmtId="4" xfId="0" applyNumberFormat="1" applyFont="1" applyBorder="1" applyAlignment="1" applyProtection="1">
      <alignment horizontal="center" vertical="center" wrapText="1"/>
      <protection locked="0"/>
    </xf>
    <xf fontId="6" fillId="0" borderId="2" numFmtId="3" xfId="0" applyNumberFormat="1" applyFont="1" applyBorder="1" applyAlignment="1" applyProtection="1">
      <alignment horizontal="center" vertical="center" wrapText="1"/>
      <protection locked="0"/>
    </xf>
    <xf fontId="27" fillId="2" borderId="0" numFmtId="0" xfId="0" applyFont="1" applyFill="1"/>
    <xf fontId="12" fillId="2" borderId="2" numFmtId="0" xfId="0" applyFont="1" applyFill="1" applyBorder="1" applyAlignment="1" applyProtection="1">
      <alignment horizontal="center" wrapText="1"/>
      <protection locked="0"/>
    </xf>
    <xf fontId="6" fillId="2" borderId="2" numFmtId="4" xfId="0" applyNumberFormat="1" applyFont="1" applyFill="1" applyBorder="1" applyAlignment="1" applyProtection="1">
      <alignment wrapText="1"/>
      <protection locked="0"/>
    </xf>
    <xf fontId="12" fillId="4" borderId="2" numFmtId="0" xfId="0" applyFont="1" applyFill="1" applyBorder="1" applyAlignment="1" applyProtection="1">
      <alignment wrapText="1"/>
      <protection locked="0"/>
    </xf>
    <xf fontId="12" fillId="4" borderId="2" numFmtId="4" xfId="0" applyNumberFormat="1" applyFont="1" applyFill="1" applyBorder="1" applyAlignment="1" applyProtection="1">
      <alignment wrapText="1"/>
      <protection locked="0"/>
    </xf>
    <xf fontId="12" fillId="4" borderId="2" numFmtId="3" xfId="0" applyNumberFormat="1" applyFont="1" applyFill="1" applyBorder="1" applyAlignment="1" applyProtection="1">
      <alignment wrapText="1"/>
      <protection locked="0"/>
    </xf>
    <xf fontId="6" fillId="4" borderId="2" numFmtId="49" xfId="0" applyNumberFormat="1" applyFont="1" applyFill="1" applyBorder="1" applyAlignment="1">
      <alignment horizontal="left" wrapText="1"/>
    </xf>
    <xf fontId="6" fillId="4" borderId="2" numFmtId="4" xfId="54" applyNumberFormat="1" applyFont="1" applyFill="1" applyBorder="1" applyAlignment="1">
      <alignment wrapText="1"/>
    </xf>
    <xf fontId="6" fillId="3" borderId="2" numFmtId="3" xfId="0" applyNumberFormat="1" applyFont="1" applyFill="1" applyBorder="1" applyAlignment="1">
      <alignment wrapText="1"/>
    </xf>
    <xf fontId="28" fillId="3" borderId="0" numFmtId="0" xfId="0" applyFont="1" applyFill="1"/>
    <xf fontId="6" fillId="3" borderId="6" numFmtId="4" xfId="0" applyNumberFormat="1" applyFont="1" applyFill="1" applyBorder="1" applyAlignment="1">
      <alignment wrapText="1"/>
    </xf>
    <xf fontId="6" fillId="3" borderId="2" numFmtId="3" xfId="54" applyNumberFormat="1" applyFont="1" applyFill="1" applyBorder="1" applyAlignment="1">
      <alignment wrapText="1"/>
    </xf>
    <xf fontId="6" fillId="3" borderId="6" numFmtId="3" xfId="0" applyNumberFormat="1" applyFont="1" applyFill="1" applyBorder="1" applyAlignment="1">
      <alignment wrapText="1"/>
    </xf>
    <xf fontId="6" fillId="3" borderId="0" numFmtId="4" xfId="54" applyNumberFormat="1" applyFont="1" applyFill="1" applyAlignment="1">
      <alignment wrapText="1"/>
    </xf>
    <xf fontId="6" fillId="3" borderId="2" numFmtId="4" xfId="0" applyNumberFormat="1" applyFont="1" applyFill="1" applyBorder="1" applyAlignment="1" applyProtection="1">
      <alignment wrapText="1"/>
      <protection locked="0"/>
    </xf>
    <xf fontId="6" fillId="3" borderId="2" numFmtId="3" xfId="0" applyNumberFormat="1" applyFont="1" applyFill="1" applyBorder="1" applyAlignment="1" applyProtection="1">
      <alignment wrapText="1"/>
      <protection locked="0"/>
    </xf>
    <xf fontId="6" fillId="3" borderId="0" numFmtId="4" xfId="0" applyNumberFormat="1" applyFont="1" applyFill="1" applyAlignment="1" applyProtection="1">
      <alignment wrapText="1"/>
      <protection locked="0"/>
    </xf>
    <xf fontId="6" fillId="3" borderId="0" numFmtId="3" xfId="0" applyNumberFormat="1" applyFont="1" applyFill="1" applyAlignment="1" applyProtection="1">
      <alignment wrapText="1"/>
      <protection locked="0"/>
    </xf>
    <xf fontId="29" fillId="3" borderId="2" numFmtId="4" xfId="43" applyNumberFormat="1" applyFont="1" applyFill="1" applyBorder="1" applyAlignment="1">
      <alignment wrapText="1"/>
    </xf>
    <xf fontId="6" fillId="3" borderId="2" numFmtId="4" xfId="248" applyNumberFormat="1" applyFont="1" applyFill="1" applyBorder="1" applyAlignment="1">
      <alignment wrapText="1"/>
    </xf>
    <xf fontId="6" fillId="3" borderId="2" numFmtId="4" xfId="17" applyNumberFormat="1" applyFont="1" applyFill="1" applyBorder="1" applyAlignment="1">
      <alignment wrapText="1"/>
    </xf>
    <xf fontId="6" fillId="3" borderId="2" numFmtId="3" xfId="17" applyNumberFormat="1" applyFont="1" applyFill="1" applyBorder="1" applyAlignment="1">
      <alignment wrapText="1"/>
    </xf>
    <xf fontId="6" fillId="3" borderId="0" numFmtId="4" xfId="17" applyNumberFormat="1" applyFont="1" applyFill="1" applyAlignment="1">
      <alignment wrapText="1"/>
    </xf>
    <xf fontId="23" fillId="3" borderId="0" numFmtId="0" xfId="0" applyFont="1" applyFill="1"/>
    <xf fontId="6" fillId="3" borderId="2" numFmtId="0" xfId="0" applyFont="1" applyFill="1" applyBorder="1" applyAlignment="1" applyProtection="1">
      <alignment horizontal="center" wrapText="1"/>
    </xf>
    <xf fontId="6" fillId="3" borderId="2" numFmtId="0" xfId="0" applyFont="1" applyFill="1" applyBorder="1" applyAlignment="1" applyProtection="1">
      <alignment wrapText="1"/>
    </xf>
    <xf fontId="6" fillId="3" borderId="2" numFmtId="4" xfId="0" applyNumberFormat="1" applyFont="1" applyFill="1" applyBorder="1" applyAlignment="1" applyProtection="1">
      <alignment wrapText="1"/>
    </xf>
    <xf fontId="6" fillId="3" borderId="2" numFmtId="3" xfId="0" applyNumberFormat="1" applyFont="1" applyFill="1" applyBorder="1" applyAlignment="1" applyProtection="1">
      <alignment wrapText="1"/>
    </xf>
    <xf fontId="6" fillId="3" borderId="2" numFmtId="4" xfId="54" applyNumberFormat="1" applyFont="1" applyFill="1" applyBorder="1" applyAlignment="1" applyProtection="1">
      <alignment wrapText="1"/>
    </xf>
    <xf fontId="6" fillId="3" borderId="0" numFmtId="4" xfId="0" applyNumberFormat="1" applyFont="1" applyFill="1" applyAlignment="1" applyProtection="1">
      <alignment wrapText="1"/>
    </xf>
    <xf fontId="6" fillId="3" borderId="2" numFmtId="3" xfId="0" applyNumberFormat="1" applyFont="1" applyFill="1" applyBorder="1" applyAlignment="1">
      <alignment horizontal="center" wrapText="1"/>
    </xf>
    <xf fontId="6" fillId="3" borderId="2" numFmtId="166" xfId="0" applyNumberFormat="1" applyFont="1" applyFill="1" applyBorder="1" applyAlignment="1">
      <alignment horizontal="left" wrapText="1"/>
    </xf>
    <xf fontId="6" fillId="3" borderId="8" numFmtId="4" xfId="54" applyNumberFormat="1" applyFont="1" applyFill="1" applyBorder="1" applyAlignment="1">
      <alignment wrapText="1"/>
    </xf>
    <xf fontId="6" fillId="3" borderId="19" numFmtId="4" xfId="0" applyNumberFormat="1" applyFont="1" applyFill="1" applyBorder="1" applyAlignment="1">
      <alignment wrapText="1"/>
    </xf>
    <xf fontId="6" fillId="3" borderId="23" numFmtId="172" xfId="54" applyNumberFormat="1" applyFont="1" applyFill="1" applyBorder="1" applyAlignment="1">
      <alignment horizontal="right" wrapText="1"/>
    </xf>
    <xf fontId="6" fillId="3" borderId="20" numFmtId="4" xfId="0" applyNumberFormat="1" applyFont="1" applyFill="1" applyBorder="1" applyAlignment="1">
      <alignment wrapText="1"/>
    </xf>
    <xf fontId="6" fillId="3" borderId="12" numFmtId="172" xfId="54" applyNumberFormat="1" applyFont="1" applyFill="1" applyBorder="1" applyAlignment="1">
      <alignment horizontal="right" wrapText="1"/>
    </xf>
    <xf fontId="6" fillId="3" borderId="6" numFmtId="4" xfId="54" applyNumberFormat="1" applyFont="1" applyFill="1" applyBorder="1" applyAlignment="1">
      <alignment wrapText="1"/>
    </xf>
    <xf fontId="6" fillId="3" borderId="2" numFmtId="172" xfId="54" applyNumberFormat="1" applyFont="1" applyFill="1" applyBorder="1" applyAlignment="1">
      <alignment horizontal="right" wrapText="1"/>
    </xf>
    <xf fontId="6" fillId="4" borderId="6" numFmtId="4" xfId="0" applyNumberFormat="1" applyFont="1" applyFill="1" applyBorder="1" applyAlignment="1">
      <alignment wrapText="1"/>
    </xf>
    <xf fontId="6" fillId="4" borderId="2" numFmtId="3" xfId="54" applyNumberFormat="1" applyFont="1" applyFill="1" applyBorder="1" applyAlignment="1">
      <alignment wrapText="1"/>
    </xf>
    <xf fontId="22" fillId="2" borderId="0" numFmtId="0" xfId="0" applyFont="1" applyFill="1"/>
    <xf fontId="12" fillId="2" borderId="2" numFmtId="4" xfId="0" applyNumberFormat="1" applyFont="1" applyFill="1" applyBorder="1" applyAlignment="1" applyProtection="1">
      <alignment wrapText="1"/>
      <protection locked="0"/>
    </xf>
    <xf fontId="12" fillId="2" borderId="2" numFmtId="3" xfId="0" applyNumberFormat="1" applyFont="1" applyFill="1" applyBorder="1" applyAlignment="1" applyProtection="1">
      <alignment wrapText="1"/>
      <protection locked="0"/>
    </xf>
    <xf fontId="12" fillId="3" borderId="2" numFmtId="0" xfId="0" applyFont="1" applyFill="1" applyBorder="1" applyAlignment="1" applyProtection="1">
      <alignment wrapText="1"/>
      <protection locked="0"/>
    </xf>
    <xf fontId="30" fillId="3" borderId="0" numFmtId="0" xfId="0" applyFont="1" applyFill="1"/>
    <xf fontId="6" fillId="3" borderId="2" numFmtId="49" xfId="0" applyNumberFormat="1" applyFont="1" applyFill="1" applyBorder="1" applyAlignment="1" applyProtection="1">
      <alignment horizontal="left" wrapText="1"/>
    </xf>
    <xf fontId="31" fillId="3" borderId="0" numFmtId="0" xfId="0" applyFont="1" applyFill="1"/>
    <xf fontId="24" fillId="3" borderId="0" numFmtId="0" xfId="0" applyFont="1" applyFill="1"/>
    <xf fontId="12" fillId="3" borderId="2" numFmtId="0" xfId="0" applyFont="1" applyFill="1" applyBorder="1" applyAlignment="1" applyProtection="1">
      <alignment wrapText="1"/>
    </xf>
    <xf fontId="32" fillId="3" borderId="0" numFmtId="0" xfId="0" applyFont="1" applyFill="1"/>
    <xf fontId="12" fillId="3" borderId="0" numFmtId="4" xfId="0" applyNumberFormat="1" applyFont="1" applyFill="1" applyAlignment="1">
      <alignment wrapText="1"/>
    </xf>
    <xf fontId="12" fillId="3" borderId="8" numFmtId="4" xfId="0" applyNumberFormat="1" applyFont="1" applyFill="1" applyBorder="1" applyAlignment="1">
      <alignment wrapText="1"/>
    </xf>
    <xf fontId="12" fillId="3" borderId="8" numFmtId="3" xfId="0" applyNumberFormat="1" applyFont="1" applyFill="1" applyBorder="1" applyAlignment="1">
      <alignment wrapText="1"/>
    </xf>
    <xf fontId="6" fillId="4" borderId="4" numFmtId="4" xfId="0" applyNumberFormat="1" applyFont="1" applyFill="1" applyBorder="1" applyAlignment="1">
      <alignment wrapText="1"/>
    </xf>
    <xf fontId="6" fillId="4" borderId="10" numFmtId="4" xfId="54" applyNumberFormat="1" applyFont="1" applyFill="1" applyBorder="1" applyAlignment="1">
      <alignment wrapText="1"/>
    </xf>
    <xf fontId="15" fillId="0" borderId="0" numFmtId="0" xfId="0" applyFont="1"/>
    <xf fontId="6" fillId="4" borderId="24" numFmtId="4" xfId="0" applyNumberFormat="1" applyFont="1" applyFill="1" applyBorder="1" applyAlignment="1">
      <alignment wrapText="1"/>
    </xf>
    <xf fontId="12" fillId="3" borderId="14" numFmtId="4" xfId="0" applyNumberFormat="1" applyFont="1" applyFill="1" applyBorder="1" applyAlignment="1">
      <alignment wrapText="1"/>
    </xf>
    <xf fontId="12" fillId="3" borderId="14" numFmtId="3" xfId="0" applyNumberFormat="1" applyFont="1" applyFill="1" applyBorder="1" applyAlignment="1">
      <alignment wrapText="1"/>
    </xf>
    <xf fontId="6" fillId="3" borderId="8" numFmtId="4" xfId="0" applyNumberFormat="1" applyFont="1" applyFill="1" applyBorder="1" applyAlignment="1">
      <alignment wrapText="1"/>
    </xf>
    <xf fontId="6" fillId="3" borderId="8" numFmtId="3" xfId="0" applyNumberFormat="1" applyFont="1" applyFill="1" applyBorder="1" applyAlignment="1">
      <alignment wrapText="1"/>
    </xf>
    <xf fontId="28" fillId="4" borderId="0" numFmtId="0" xfId="0" applyFont="1" applyFill="1">
      <protection locked="0"/>
    </xf>
    <xf fontId="13" fillId="4" borderId="0" numFmtId="0" xfId="0" applyFont="1" applyFill="1">
      <protection locked="0"/>
    </xf>
    <xf fontId="6" fillId="3" borderId="18" numFmtId="4" xfId="0" applyNumberFormat="1" applyFont="1" applyFill="1" applyBorder="1" applyAlignment="1">
      <alignment wrapText="1"/>
    </xf>
    <xf fontId="6" fillId="3" borderId="25" numFmtId="172" xfId="54" applyNumberFormat="1" applyFont="1" applyFill="1" applyBorder="1" applyAlignment="1">
      <alignment horizontal="right" wrapText="1"/>
    </xf>
    <xf fontId="6" fillId="3" borderId="26" numFmtId="4" xfId="0" applyNumberFormat="1" applyFont="1" applyFill="1" applyBorder="1" applyAlignment="1">
      <alignment wrapText="1"/>
    </xf>
    <xf fontId="33" fillId="3" borderId="0" numFmtId="0" xfId="0" applyFont="1" applyFill="1"/>
    <xf fontId="6" fillId="3" borderId="21" numFmtId="172" xfId="54" applyNumberFormat="1" applyFont="1" applyFill="1" applyBorder="1" applyAlignment="1">
      <alignment horizontal="right" wrapText="1"/>
    </xf>
    <xf fontId="6" fillId="3" borderId="27" numFmtId="4" xfId="0" applyNumberFormat="1" applyFont="1" applyFill="1" applyBorder="1" applyAlignment="1">
      <alignment wrapText="1"/>
    </xf>
    <xf fontId="12" fillId="4" borderId="2" numFmtId="4" xfId="0" applyNumberFormat="1" applyFont="1" applyFill="1" applyBorder="1" applyAlignment="1">
      <alignment wrapText="1"/>
    </xf>
    <xf fontId="12" fillId="4" borderId="2" numFmtId="3" xfId="0" applyNumberFormat="1" applyFont="1" applyFill="1" applyBorder="1" applyAlignment="1">
      <alignment wrapText="1"/>
    </xf>
    <xf fontId="6" fillId="3" borderId="0" numFmtId="3" xfId="0" applyNumberFormat="1" applyFont="1" applyFill="1" applyAlignment="1" applyProtection="1">
      <alignment wrapText="1"/>
    </xf>
    <xf fontId="6" fillId="3" borderId="2" numFmtId="165" xfId="0" applyNumberFormat="1" applyFont="1" applyFill="1" applyBorder="1" applyAlignment="1" applyProtection="1">
      <alignment horizontal="left" wrapText="1"/>
    </xf>
    <xf fontId="6" fillId="3" borderId="2" numFmtId="0" xfId="0" applyFont="1" applyFill="1" applyBorder="1" applyAlignment="1" applyProtection="1">
      <alignment horizontal="left" wrapText="1"/>
    </xf>
    <xf fontId="6" fillId="3" borderId="6" numFmtId="4" xfId="0" applyNumberFormat="1" applyFont="1" applyFill="1" applyBorder="1" applyAlignment="1" applyProtection="1">
      <alignment wrapText="1"/>
    </xf>
    <xf fontId="6" fillId="3" borderId="2" numFmtId="49" xfId="0" applyNumberFormat="1" applyFont="1" applyFill="1" applyBorder="1" applyAlignment="1" applyProtection="1">
      <alignment wrapText="1"/>
    </xf>
    <xf fontId="6" fillId="3" borderId="2" numFmtId="49" xfId="17" applyNumberFormat="1" applyFont="1" applyFill="1" applyBorder="1" applyAlignment="1" applyProtection="1">
      <alignment wrapText="1"/>
    </xf>
    <xf fontId="6" fillId="3" borderId="2" numFmtId="4" xfId="248" applyNumberFormat="1" applyFont="1" applyFill="1" applyBorder="1" applyAlignment="1" applyProtection="1">
      <alignment wrapText="1"/>
    </xf>
    <xf fontId="6" fillId="3" borderId="2" numFmtId="3" xfId="17" applyNumberFormat="1" applyFont="1" applyFill="1" applyBorder="1" applyAlignment="1" applyProtection="1">
      <alignment wrapText="1"/>
    </xf>
    <xf fontId="6" fillId="3" borderId="2" numFmtId="4" xfId="17" applyNumberFormat="1" applyFont="1" applyFill="1" applyBorder="1" applyAlignment="1" applyProtection="1">
      <alignment wrapText="1"/>
    </xf>
    <xf fontId="6" fillId="3" borderId="0" numFmtId="4" xfId="17" applyNumberFormat="1" applyFont="1" applyFill="1" applyAlignment="1" applyProtection="1">
      <alignment wrapText="1"/>
    </xf>
    <xf fontId="6" fillId="3" borderId="8" numFmtId="0" xfId="0" applyFont="1" applyFill="1" applyBorder="1" applyAlignment="1" applyProtection="1">
      <alignment horizontal="center" wrapText="1"/>
    </xf>
    <xf fontId="6" fillId="3" borderId="8" numFmtId="49" xfId="0" applyNumberFormat="1" applyFont="1" applyFill="1" applyBorder="1" applyAlignment="1" applyProtection="1">
      <alignment wrapText="1"/>
    </xf>
    <xf fontId="6" fillId="3" borderId="8" numFmtId="4" xfId="54" applyNumberFormat="1" applyFont="1" applyFill="1" applyBorder="1" applyAlignment="1" applyProtection="1">
      <alignment wrapText="1"/>
    </xf>
    <xf fontId="6" fillId="3" borderId="8" numFmtId="4" xfId="0" applyNumberFormat="1" applyFont="1" applyFill="1" applyBorder="1" applyAlignment="1" applyProtection="1">
      <alignment wrapText="1"/>
    </xf>
    <xf fontId="6" fillId="3" borderId="8" numFmtId="3" xfId="0" applyNumberFormat="1" applyFont="1" applyFill="1" applyBorder="1" applyAlignment="1" applyProtection="1">
      <alignment wrapText="1"/>
    </xf>
    <xf fontId="6" fillId="4" borderId="10" numFmtId="0" xfId="0" applyFont="1" applyFill="1" applyBorder="1" applyAlignment="1" applyProtection="1">
      <alignment horizontal="center" wrapText="1"/>
    </xf>
    <xf fontId="6" fillId="4" borderId="10" numFmtId="49" xfId="0" applyNumberFormat="1" applyFont="1" applyFill="1" applyBorder="1" applyAlignment="1" applyProtection="1">
      <alignment wrapText="1"/>
    </xf>
    <xf fontId="6" fillId="4" borderId="10" numFmtId="4" xfId="0" applyNumberFormat="1" applyFont="1" applyFill="1" applyBorder="1" applyAlignment="1" applyProtection="1">
      <alignment wrapText="1"/>
    </xf>
    <xf fontId="6" fillId="4" borderId="10" numFmtId="4" xfId="54" applyNumberFormat="1" applyFont="1" applyFill="1" applyBorder="1" applyAlignment="1" applyProtection="1">
      <alignment wrapText="1"/>
    </xf>
    <xf fontId="6" fillId="4" borderId="10" numFmtId="3" xfId="0" applyNumberFormat="1" applyFont="1" applyFill="1" applyBorder="1" applyAlignment="1" applyProtection="1">
      <alignment wrapText="1"/>
    </xf>
    <xf fontId="12" fillId="3" borderId="6" numFmtId="4" xfId="0" applyNumberFormat="1" applyFont="1" applyFill="1" applyBorder="1" applyAlignment="1">
      <alignment wrapText="1"/>
    </xf>
    <xf fontId="6" fillId="3" borderId="4" numFmtId="4" xfId="54" applyNumberFormat="1" applyFont="1" applyFill="1" applyBorder="1" applyAlignment="1">
      <alignment wrapText="1"/>
    </xf>
    <xf fontId="6" fillId="3" borderId="21" numFmtId="164" xfId="54" applyNumberFormat="1" applyFont="1" applyFill="1" applyBorder="1" applyAlignment="1">
      <alignment wrapText="1"/>
    </xf>
    <xf fontId="6" fillId="3" borderId="5" numFmtId="3" xfId="54" applyNumberFormat="1" applyFont="1" applyFill="1" applyBorder="1" applyAlignment="1">
      <alignment wrapText="1"/>
    </xf>
    <xf fontId="6" fillId="3" borderId="10" numFmtId="164" xfId="54" applyNumberFormat="1" applyFont="1" applyFill="1" applyBorder="1" applyAlignment="1">
      <alignment horizontal="right" wrapText="1"/>
    </xf>
    <xf fontId="6" fillId="3" borderId="5" numFmtId="4" xfId="54" applyNumberFormat="1" applyFont="1" applyFill="1" applyBorder="1" applyAlignment="1">
      <alignment wrapText="1"/>
    </xf>
    <xf fontId="6" fillId="3" borderId="4" numFmtId="4" xfId="0" applyNumberFormat="1" applyFont="1" applyFill="1" applyBorder="1" applyAlignment="1">
      <alignment wrapText="1"/>
    </xf>
    <xf fontId="6" fillId="3" borderId="10" numFmtId="164" xfId="54" applyNumberFormat="1" applyFont="1" applyFill="1" applyBorder="1" applyAlignment="1">
      <alignment wrapText="1"/>
    </xf>
    <xf fontId="6" fillId="3" borderId="5" numFmtId="4" xfId="0" applyNumberFormat="1" applyFont="1" applyFill="1" applyBorder="1" applyAlignment="1">
      <alignment wrapText="1"/>
    </xf>
    <xf fontId="6" fillId="3" borderId="23" numFmtId="164" xfId="54" applyNumberFormat="1" applyFont="1" applyFill="1" applyBorder="1" applyAlignment="1">
      <alignment wrapText="1"/>
    </xf>
    <xf fontId="6" fillId="3" borderId="2" numFmtId="4" xfId="0" applyNumberFormat="1" applyFont="1" applyFill="1" applyBorder="1" applyAlignment="1" applyProtection="1">
      <alignment horizontal="right" wrapText="1"/>
    </xf>
    <xf fontId="12" fillId="3" borderId="4" numFmtId="0" xfId="0" applyFont="1" applyFill="1" applyBorder="1" applyAlignment="1" applyProtection="1">
      <alignment wrapText="1"/>
    </xf>
    <xf fontId="12" fillId="3" borderId="5" numFmtId="0" xfId="0" applyFont="1" applyFill="1" applyBorder="1" applyAlignment="1" applyProtection="1">
      <alignment wrapText="1"/>
    </xf>
    <xf fontId="6" fillId="3" borderId="8" numFmtId="0" xfId="0" applyFont="1" applyFill="1" applyBorder="1" applyAlignment="1" applyProtection="1">
      <alignment wrapText="1"/>
    </xf>
    <xf fontId="6" fillId="4" borderId="10" numFmtId="0" xfId="0" applyFont="1" applyFill="1" applyBorder="1" applyAlignment="1" applyProtection="1">
      <alignment horizontal="center" wrapText="1"/>
      <protection locked="0"/>
    </xf>
    <xf fontId="6" fillId="4" borderId="9" numFmtId="0" xfId="0" applyFont="1" applyFill="1" applyBorder="1" applyAlignment="1" applyProtection="1">
      <alignment wrapText="1"/>
    </xf>
    <xf fontId="6" fillId="4" borderId="15" numFmtId="4" xfId="0" applyNumberFormat="1" applyFont="1" applyFill="1" applyBorder="1" applyAlignment="1">
      <alignment wrapText="1"/>
    </xf>
    <xf fontId="6" fillId="4" borderId="16" numFmtId="4" xfId="0" applyNumberFormat="1" applyFont="1" applyFill="1" applyBorder="1" applyAlignment="1">
      <alignment wrapText="1"/>
    </xf>
    <xf fontId="6" fillId="4" borderId="10" numFmtId="4" xfId="0" applyNumberFormat="1" applyFont="1" applyFill="1" applyBorder="1" applyAlignment="1" applyProtection="1">
      <alignment wrapText="1"/>
      <protection locked="0"/>
    </xf>
    <xf fontId="6" fillId="4" borderId="10" numFmtId="3" xfId="0" applyNumberFormat="1" applyFont="1" applyFill="1" applyBorder="1" applyAlignment="1" applyProtection="1">
      <alignment wrapText="1"/>
      <protection locked="0"/>
    </xf>
    <xf fontId="6" fillId="4" borderId="10" numFmtId="2" xfId="0" applyNumberFormat="1" applyFont="1" applyFill="1" applyBorder="1" applyAlignment="1" applyProtection="1">
      <alignment wrapText="1"/>
      <protection locked="0"/>
    </xf>
    <xf fontId="6" fillId="4" borderId="10" numFmtId="0" xfId="0" applyFont="1" applyFill="1" applyBorder="1" applyAlignment="1" applyProtection="1">
      <alignment wrapText="1"/>
    </xf>
    <xf fontId="6" fillId="3" borderId="14" numFmtId="0" xfId="0" applyFont="1" applyFill="1" applyBorder="1" applyAlignment="1" applyProtection="1">
      <alignment wrapText="1"/>
    </xf>
    <xf fontId="6" fillId="3" borderId="14" numFmtId="4" xfId="0" applyNumberFormat="1" applyFont="1" applyFill="1" applyBorder="1" applyAlignment="1">
      <alignment wrapText="1"/>
    </xf>
    <xf fontId="6" fillId="3" borderId="14" numFmtId="4" xfId="0" applyNumberFormat="1" applyFont="1" applyFill="1" applyBorder="1" applyAlignment="1" applyProtection="1">
      <alignment wrapText="1"/>
    </xf>
    <xf fontId="6" fillId="3" borderId="14" numFmtId="3" xfId="0" applyNumberFormat="1" applyFont="1" applyFill="1" applyBorder="1" applyAlignment="1" applyProtection="1">
      <alignment wrapText="1"/>
    </xf>
    <xf fontId="6" fillId="3" borderId="2" numFmtId="3" xfId="0" applyNumberFormat="1" applyFont="1" applyFill="1" applyBorder="1" applyAlignment="1" applyProtection="1">
      <alignment horizontal="center" wrapText="1"/>
    </xf>
    <xf fontId="6" fillId="3" borderId="2" numFmtId="166" xfId="0" applyNumberFormat="1" applyFont="1" applyFill="1" applyBorder="1" applyAlignment="1" applyProtection="1">
      <alignment wrapText="1"/>
    </xf>
    <xf fontId="12" fillId="3" borderId="2" numFmtId="4" xfId="0" applyNumberFormat="1" applyFont="1" applyFill="1" applyBorder="1" applyAlignment="1" applyProtection="1">
      <alignment wrapText="1"/>
    </xf>
    <xf fontId="6" fillId="4" borderId="2" numFmtId="0" xfId="0" applyFont="1" applyFill="1" applyBorder="1" applyAlignment="1" applyProtection="1">
      <alignment wrapText="1"/>
    </xf>
    <xf fontId="6" fillId="4" borderId="2" numFmtId="4" xfId="54" applyNumberFormat="1" applyFont="1" applyFill="1" applyBorder="1" applyAlignment="1" applyProtection="1">
      <alignment wrapText="1"/>
    </xf>
    <xf fontId="6" fillId="4" borderId="2" numFmtId="4" xfId="0" applyNumberFormat="1" applyFont="1" applyFill="1" applyBorder="1" applyAlignment="1" applyProtection="1">
      <alignment wrapText="1"/>
    </xf>
    <xf fontId="6" fillId="4" borderId="2" numFmtId="3" xfId="0" applyNumberFormat="1" applyFont="1" applyFill="1" applyBorder="1" applyAlignment="1" applyProtection="1">
      <alignment wrapText="1"/>
    </xf>
    <xf fontId="6" fillId="4" borderId="0" numFmtId="4" xfId="0" applyNumberFormat="1" applyFont="1" applyFill="1" applyAlignment="1" applyProtection="1">
      <alignment wrapText="1"/>
    </xf>
    <xf fontId="6" fillId="4" borderId="2" numFmtId="0" xfId="0" applyFont="1" applyFill="1" applyBorder="1" applyAlignment="1" applyProtection="1">
      <alignment horizontal="left" wrapText="1"/>
    </xf>
    <xf fontId="6" fillId="3" borderId="0" numFmtId="0" xfId="0" applyFont="1" applyFill="1" applyAlignment="1" applyProtection="1">
      <alignment wrapText="1"/>
      <protection locked="0"/>
    </xf>
    <xf fontId="8" fillId="3" borderId="0" numFmtId="0" xfId="0" applyFont="1" applyFill="1" applyAlignment="1" applyProtection="1">
      <alignment wrapText="1"/>
    </xf>
    <xf fontId="20" fillId="4" borderId="0" numFmtId="0" xfId="0" applyFont="1" applyFill="1" applyAlignment="1" applyProtection="1">
      <alignment wrapText="1"/>
      <protection locked="0"/>
    </xf>
    <xf fontId="12" fillId="4" borderId="0" numFmtId="4" xfId="0" applyNumberFormat="1" applyFont="1" applyFill="1" applyAlignment="1" applyProtection="1">
      <alignment wrapText="1"/>
      <protection locked="0"/>
    </xf>
    <xf fontId="9" fillId="4" borderId="0" numFmtId="0" xfId="0" applyFont="1" applyFill="1" applyAlignment="1" applyProtection="1">
      <alignment wrapText="1"/>
      <protection locked="0"/>
    </xf>
    <xf fontId="9" fillId="4" borderId="0" numFmtId="4" xfId="0" applyNumberFormat="1" applyFont="1" applyFill="1" applyAlignment="1" applyProtection="1">
      <alignment wrapText="1"/>
      <protection locked="0"/>
    </xf>
    <xf fontId="12" fillId="4" borderId="4" numFmtId="0" xfId="0" applyFont="1" applyFill="1" applyBorder="1" applyAlignment="1" applyProtection="1">
      <alignment horizontal="left" wrapText="1"/>
      <protection locked="0"/>
    </xf>
    <xf fontId="12" fillId="4" borderId="5" numFmtId="0" xfId="0" applyFont="1" applyFill="1" applyBorder="1" applyAlignment="1" applyProtection="1">
      <alignment horizontal="left" wrapText="1"/>
      <protection locked="0"/>
    </xf>
    <xf fontId="12" fillId="4" borderId="2" numFmtId="4" xfId="0" applyNumberFormat="1" applyFont="1" applyFill="1" applyBorder="1" applyAlignment="1" applyProtection="1">
      <alignment horizontal="right" wrapText="1"/>
      <protection locked="0"/>
    </xf>
    <xf fontId="12" fillId="4" borderId="2" numFmtId="3" xfId="0" applyNumberFormat="1" applyFont="1" applyFill="1" applyBorder="1" applyAlignment="1" applyProtection="1">
      <alignment horizontal="right" wrapText="1"/>
      <protection locked="0"/>
    </xf>
    <xf fontId="12" fillId="3" borderId="2" numFmtId="3" xfId="0" applyNumberFormat="1" applyFont="1" applyFill="1" applyBorder="1" applyAlignment="1" applyProtection="1">
      <alignment wrapText="1"/>
    </xf>
    <xf fontId="12" fillId="3" borderId="0" numFmtId="4" xfId="0" applyNumberFormat="1" applyFont="1" applyFill="1" applyAlignment="1" applyProtection="1">
      <alignment wrapText="1"/>
    </xf>
    <xf fontId="12" fillId="0" borderId="4" numFmtId="0" xfId="0" applyFont="1" applyBorder="1" applyAlignment="1" applyProtection="1">
      <alignment wrapText="1"/>
    </xf>
    <xf fontId="12" fillId="0" borderId="5" numFmtId="0" xfId="0" applyFont="1" applyBorder="1" applyAlignment="1" applyProtection="1">
      <alignment wrapText="1"/>
    </xf>
    <xf fontId="12" fillId="4" borderId="28" numFmtId="4" xfId="0" applyNumberFormat="1" applyFont="1" applyFill="1" applyBorder="1" applyAlignment="1" applyProtection="1">
      <alignment wrapText="1"/>
      <protection locked="0"/>
    </xf>
    <xf fontId="12" fillId="4" borderId="25" numFmtId="4" xfId="0" applyNumberFormat="1" applyFont="1" applyFill="1" applyBorder="1" applyAlignment="1" applyProtection="1">
      <alignment wrapText="1"/>
      <protection locked="0"/>
    </xf>
    <xf fontId="12" fillId="4" borderId="25" numFmtId="3" xfId="0" applyNumberFormat="1" applyFont="1" applyFill="1" applyBorder="1" applyAlignment="1" applyProtection="1">
      <alignment wrapText="1"/>
      <protection locked="0"/>
    </xf>
    <xf fontId="6" fillId="3" borderId="2" numFmtId="3" xfId="0" applyNumberFormat="1" applyFont="1" applyFill="1" applyBorder="1" applyAlignment="1" applyProtection="1">
      <alignment horizontal="right" wrapText="1"/>
    </xf>
    <xf fontId="6" fillId="4" borderId="2" numFmtId="0" xfId="0" applyFont="1" applyFill="1" applyBorder="1" applyAlignment="1" applyProtection="1">
      <alignment wrapText="1"/>
      <protection locked="0"/>
    </xf>
    <xf fontId="6" fillId="0" borderId="2" numFmtId="4" xfId="0" applyNumberFormat="1" applyFont="1" applyBorder="1" applyAlignment="1" applyProtection="1">
      <alignment wrapText="1"/>
    </xf>
    <xf fontId="6" fillId="0" borderId="2" numFmtId="4" xfId="0" applyNumberFormat="1" applyFont="1" applyBorder="1" applyAlignment="1" applyProtection="1">
      <alignment horizontal="right" wrapText="1"/>
    </xf>
    <xf fontId="6" fillId="0" borderId="2" numFmtId="3" xfId="0" applyNumberFormat="1" applyFont="1" applyBorder="1" applyAlignment="1" applyProtection="1">
      <alignment horizontal="right" wrapText="1"/>
    </xf>
    <xf fontId="12" fillId="3" borderId="4" numFmtId="166" xfId="0" applyNumberFormat="1" applyFont="1" applyFill="1" applyBorder="1" applyAlignment="1" applyProtection="1">
      <alignment wrapText="1"/>
    </xf>
    <xf fontId="12" fillId="3" borderId="5" numFmtId="166" xfId="0" applyNumberFormat="1" applyFont="1" applyFill="1" applyBorder="1" applyAlignment="1" applyProtection="1">
      <alignment wrapText="1"/>
    </xf>
    <xf fontId="6" fillId="3" borderId="0" numFmtId="3" xfId="0" applyNumberFormat="1" applyFont="1" applyFill="1" applyAlignment="1" applyProtection="1">
      <alignment horizontal="center" wrapText="1"/>
    </xf>
    <xf fontId="6" fillId="3" borderId="0" numFmtId="166" xfId="0" applyNumberFormat="1" applyFont="1" applyFill="1" applyAlignment="1" applyProtection="1">
      <alignment wrapText="1"/>
    </xf>
    <xf fontId="6" fillId="3" borderId="0" numFmtId="4" xfId="54" applyNumberFormat="1" applyFont="1" applyFill="1" applyAlignment="1" applyProtection="1">
      <alignment wrapText="1"/>
    </xf>
    <xf fontId="6" fillId="4" borderId="0" numFmtId="0" xfId="0" applyFont="1" applyFill="1" applyAlignment="1" applyProtection="1">
      <alignment wrapText="1"/>
      <protection locked="0"/>
    </xf>
    <xf fontId="6" fillId="4" borderId="0" numFmtId="4" xfId="0" applyNumberFormat="1" applyFont="1" applyFill="1" applyAlignment="1" applyProtection="1">
      <alignment wrapText="1"/>
      <protection locked="0"/>
    </xf>
    <xf fontId="6" fillId="0" borderId="0" numFmtId="0" xfId="0" applyFont="1" applyAlignment="1">
      <alignment wrapText="1"/>
      <protection locked="0"/>
    </xf>
    <xf fontId="6" fillId="0" borderId="0" numFmtId="4" xfId="0" applyNumberFormat="1" applyFont="1" applyAlignment="1">
      <alignment wrapText="1"/>
      <protection locked="0"/>
    </xf>
    <xf fontId="6" fillId="0" borderId="22" numFmtId="4" xfId="0" applyNumberFormat="1" applyFont="1" applyBorder="1" applyAlignment="1">
      <alignment wrapText="1"/>
      <protection locked="0"/>
    </xf>
  </cellXfs>
  <cellStyles count="4260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/>
    <cellStyle name="Обычный 10" xfId="6"/>
    <cellStyle name="Обычный 11" xfId="7"/>
    <cellStyle name="Обычный 12" xfId="8"/>
    <cellStyle name="Обычный 13" xfId="9"/>
    <cellStyle name="Обычный 14" xfId="10"/>
    <cellStyle name="Обычный 15" xfId="11"/>
    <cellStyle name="Обычный 16" xfId="12"/>
    <cellStyle name="Обычный 17" xfId="13"/>
    <cellStyle name="Обычный 18" xfId="14"/>
    <cellStyle name="Обычный 19" xfId="15"/>
    <cellStyle name="Обычный 2" xfId="16"/>
    <cellStyle name="Обычный 2 2" xfId="17"/>
    <cellStyle name="Обычный 2 2 2" xfId="18"/>
    <cellStyle name="Обычный 2 2 2 2" xfId="19"/>
    <cellStyle name="Обычный 2 2 2 3" xfId="20"/>
    <cellStyle name="Обычный 2 2 3" xfId="21"/>
    <cellStyle name="Обычный 2 2 4" xfId="22"/>
    <cellStyle name="Обычный 2 2 5" xfId="23"/>
    <cellStyle name="Обычный 2 3" xfId="24"/>
    <cellStyle name="Обычный 2 3 2" xfId="25"/>
    <cellStyle name="Обычный 2 3 3" xfId="26"/>
    <cellStyle name="Обычный 2 4" xfId="27"/>
    <cellStyle name="Обычный 2 4 2" xfId="28"/>
    <cellStyle name="Обычный 2 5" xfId="29"/>
    <cellStyle name="Обычный 20" xfId="30"/>
    <cellStyle name="Обычный 21" xfId="31"/>
    <cellStyle name="Обычный 22" xfId="32"/>
    <cellStyle name="Обычный 23" xfId="33"/>
    <cellStyle name="Обычный 23 2" xfId="34"/>
    <cellStyle name="Обычный 24" xfId="35"/>
    <cellStyle name="Обычный 25" xfId="36"/>
    <cellStyle name="Обычный 26" xfId="37"/>
    <cellStyle name="Обычный 3" xfId="38"/>
    <cellStyle name="Обычный 3 2" xfId="39"/>
    <cellStyle name="Обычный 3 3" xfId="40"/>
    <cellStyle name="Обычный 3 4" xfId="41"/>
    <cellStyle name="Обычный 3 5" xfId="42"/>
    <cellStyle name="Обычный 3 6" xfId="43"/>
    <cellStyle name="Обычный 4" xfId="44"/>
    <cellStyle name="Обычный 4 2" xfId="45"/>
    <cellStyle name="Обычный 4 3" xfId="46"/>
    <cellStyle name="Обычный 4 4" xfId="47"/>
    <cellStyle name="Обычный 5" xfId="48"/>
    <cellStyle name="Обычный 5 2" xfId="49"/>
    <cellStyle name="Обычный 6" xfId="50"/>
    <cellStyle name="Обычный 7" xfId="51"/>
    <cellStyle name="Обычный 8" xfId="52"/>
    <cellStyle name="Обычный 9" xfId="53"/>
    <cellStyle name="Финансовый" xfId="54" builtinId="3"/>
    <cellStyle name="Финансовый 10" xfId="55"/>
    <cellStyle name="Финансовый 10 2" xfId="56"/>
    <cellStyle name="Финансовый 11" xfId="57"/>
    <cellStyle name="Финансовый 11 10" xfId="58"/>
    <cellStyle name="Финансовый 11 11" xfId="59"/>
    <cellStyle name="Финансовый 11 12" xfId="60"/>
    <cellStyle name="Финансовый 11 13" xfId="61"/>
    <cellStyle name="Финансовый 11 2" xfId="62"/>
    <cellStyle name="Финансовый 11 2 2" xfId="63"/>
    <cellStyle name="Финансовый 11 2 2 2" xfId="64"/>
    <cellStyle name="Финансовый 11 2 2 2 2" xfId="65"/>
    <cellStyle name="Финансовый 11 2 2 2 2 2" xfId="66"/>
    <cellStyle name="Финансовый 11 2 2 2 2 3" xfId="67"/>
    <cellStyle name="Финансовый 11 2 2 2 3" xfId="68"/>
    <cellStyle name="Финансовый 11 2 2 2 4" xfId="69"/>
    <cellStyle name="Финансовый 11 2 2 3" xfId="70"/>
    <cellStyle name="Финансовый 11 2 2 3 2" xfId="71"/>
    <cellStyle name="Финансовый 11 2 2 3 3" xfId="72"/>
    <cellStyle name="Финансовый 11 2 2 4" xfId="73"/>
    <cellStyle name="Финансовый 11 2 2 5" xfId="74"/>
    <cellStyle name="Финансовый 11 2 3" xfId="75"/>
    <cellStyle name="Финансовый 11 2 3 2" xfId="76"/>
    <cellStyle name="Финансовый 11 2 3 2 2" xfId="77"/>
    <cellStyle name="Финансовый 11 2 3 2 2 2" xfId="78"/>
    <cellStyle name="Финансовый 11 2 3 2 2 3" xfId="79"/>
    <cellStyle name="Финансовый 11 2 3 2 3" xfId="80"/>
    <cellStyle name="Финансовый 11 2 3 2 4" xfId="81"/>
    <cellStyle name="Финансовый 11 2 3 3" xfId="82"/>
    <cellStyle name="Финансовый 11 2 3 3 2" xfId="83"/>
    <cellStyle name="Финансовый 11 2 3 3 3" xfId="84"/>
    <cellStyle name="Финансовый 11 2 3 4" xfId="85"/>
    <cellStyle name="Финансовый 11 2 3 5" xfId="86"/>
    <cellStyle name="Финансовый 11 2 4" xfId="87"/>
    <cellStyle name="Финансовый 11 2 4 2" xfId="88"/>
    <cellStyle name="Финансовый 11 2 4 2 2" xfId="89"/>
    <cellStyle name="Финансовый 11 2 4 2 3" xfId="90"/>
    <cellStyle name="Финансовый 11 2 4 3" xfId="91"/>
    <cellStyle name="Финансовый 11 2 4 4" xfId="92"/>
    <cellStyle name="Финансовый 11 2 5" xfId="93"/>
    <cellStyle name="Финансовый 11 2 5 2" xfId="94"/>
    <cellStyle name="Финансовый 11 2 5 3" xfId="95"/>
    <cellStyle name="Финансовый 11 2 6" xfId="96"/>
    <cellStyle name="Финансовый 11 2 7" xfId="97"/>
    <cellStyle name="Финансовый 11 2 8" xfId="98"/>
    <cellStyle name="Финансовый 11 3" xfId="99"/>
    <cellStyle name="Финансовый 11 3 2" xfId="100"/>
    <cellStyle name="Финансовый 11 3 2 2" xfId="101"/>
    <cellStyle name="Финансовый 11 3 2 2 2" xfId="102"/>
    <cellStyle name="Финансовый 11 3 2 2 3" xfId="103"/>
    <cellStyle name="Финансовый 11 3 2 3" xfId="104"/>
    <cellStyle name="Финансовый 11 3 2 4" xfId="105"/>
    <cellStyle name="Финансовый 11 3 3" xfId="106"/>
    <cellStyle name="Финансовый 11 3 3 2" xfId="107"/>
    <cellStyle name="Финансовый 11 3 3 3" xfId="108"/>
    <cellStyle name="Финансовый 11 3 4" xfId="109"/>
    <cellStyle name="Финансовый 11 3 5" xfId="110"/>
    <cellStyle name="Финансовый 11 4" xfId="111"/>
    <cellStyle name="Финансовый 11 4 2" xfId="112"/>
    <cellStyle name="Финансовый 11 4 2 2" xfId="113"/>
    <cellStyle name="Финансовый 11 4 2 2 2" xfId="114"/>
    <cellStyle name="Финансовый 11 4 2 2 3" xfId="115"/>
    <cellStyle name="Финансовый 11 4 2 3" xfId="116"/>
    <cellStyle name="Финансовый 11 4 2 4" xfId="117"/>
    <cellStyle name="Финансовый 11 4 3" xfId="118"/>
    <cellStyle name="Финансовый 11 4 3 2" xfId="119"/>
    <cellStyle name="Финансовый 11 4 3 3" xfId="120"/>
    <cellStyle name="Финансовый 11 4 4" xfId="121"/>
    <cellStyle name="Финансовый 11 4 5" xfId="122"/>
    <cellStyle name="Финансовый 11 5" xfId="123"/>
    <cellStyle name="Финансовый 11 5 2" xfId="124"/>
    <cellStyle name="Финансовый 11 5 2 2" xfId="125"/>
    <cellStyle name="Финансовый 11 5 2 3" xfId="126"/>
    <cellStyle name="Финансовый 11 5 3" xfId="127"/>
    <cellStyle name="Финансовый 11 5 4" xfId="128"/>
    <cellStyle name="Финансовый 11 6" xfId="129"/>
    <cellStyle name="Финансовый 11 6 2" xfId="130"/>
    <cellStyle name="Финансовый 11 6 2 2" xfId="131"/>
    <cellStyle name="Финансовый 11 6 2 3" xfId="132"/>
    <cellStyle name="Финансовый 11 6 3" xfId="133"/>
    <cellStyle name="Финансовый 11 6 4" xfId="134"/>
    <cellStyle name="Финансовый 11 7" xfId="135"/>
    <cellStyle name="Финансовый 11 7 2" xfId="136"/>
    <cellStyle name="Финансовый 11 7 2 2" xfId="137"/>
    <cellStyle name="Финансовый 11 7 2 3" xfId="138"/>
    <cellStyle name="Финансовый 11 7 3" xfId="139"/>
    <cellStyle name="Финансовый 11 7 4" xfId="140"/>
    <cellStyle name="Финансовый 11 8" xfId="141"/>
    <cellStyle name="Финансовый 11 8 2" xfId="142"/>
    <cellStyle name="Финансовый 11 8 2 2" xfId="143"/>
    <cellStyle name="Финансовый 11 8 2 3" xfId="144"/>
    <cellStyle name="Финансовый 11 8 3" xfId="145"/>
    <cellStyle name="Финансовый 11 8 4" xfId="146"/>
    <cellStyle name="Финансовый 11 9" xfId="147"/>
    <cellStyle name="Финансовый 11 9 2" xfId="148"/>
    <cellStyle name="Финансовый 11 9 3" xfId="149"/>
    <cellStyle name="Финансовый 12" xfId="150"/>
    <cellStyle name="Финансовый 12 10" xfId="151"/>
    <cellStyle name="Финансовый 12 11" xfId="152"/>
    <cellStyle name="Финансовый 12 2" xfId="153"/>
    <cellStyle name="Финансовый 12 2 2" xfId="154"/>
    <cellStyle name="Финансовый 12 2 2 2" xfId="155"/>
    <cellStyle name="Финансовый 12 2 2 2 2" xfId="156"/>
    <cellStyle name="Финансовый 12 2 2 2 3" xfId="157"/>
    <cellStyle name="Финансовый 12 2 2 3" xfId="158"/>
    <cellStyle name="Финансовый 12 2 2 4" xfId="159"/>
    <cellStyle name="Финансовый 12 2 3" xfId="160"/>
    <cellStyle name="Финансовый 12 2 3 2" xfId="161"/>
    <cellStyle name="Финансовый 12 2 3 3" xfId="162"/>
    <cellStyle name="Финансовый 12 2 4" xfId="163"/>
    <cellStyle name="Финансовый 12 2 5" xfId="164"/>
    <cellStyle name="Финансовый 12 3" xfId="165"/>
    <cellStyle name="Финансовый 12 3 2" xfId="166"/>
    <cellStyle name="Финансовый 12 3 2 2" xfId="167"/>
    <cellStyle name="Финансовый 12 3 2 2 2" xfId="168"/>
    <cellStyle name="Финансовый 12 3 2 2 3" xfId="169"/>
    <cellStyle name="Финансовый 12 3 2 3" xfId="170"/>
    <cellStyle name="Финансовый 12 3 2 4" xfId="171"/>
    <cellStyle name="Финансовый 12 3 3" xfId="172"/>
    <cellStyle name="Финансовый 12 3 3 2" xfId="173"/>
    <cellStyle name="Финансовый 12 3 3 3" xfId="174"/>
    <cellStyle name="Финансовый 12 3 4" xfId="175"/>
    <cellStyle name="Финансовый 12 3 5" xfId="176"/>
    <cellStyle name="Финансовый 12 4" xfId="177"/>
    <cellStyle name="Финансовый 12 4 2" xfId="178"/>
    <cellStyle name="Финансовый 12 4 2 2" xfId="179"/>
    <cellStyle name="Финансовый 12 4 2 3" xfId="180"/>
    <cellStyle name="Финансовый 12 4 3" xfId="181"/>
    <cellStyle name="Финансовый 12 4 4" xfId="182"/>
    <cellStyle name="Финансовый 12 5" xfId="183"/>
    <cellStyle name="Финансовый 12 5 2" xfId="184"/>
    <cellStyle name="Финансовый 12 5 2 2" xfId="185"/>
    <cellStyle name="Финансовый 12 5 2 3" xfId="186"/>
    <cellStyle name="Финансовый 12 5 3" xfId="187"/>
    <cellStyle name="Финансовый 12 5 4" xfId="188"/>
    <cellStyle name="Финансовый 12 6" xfId="189"/>
    <cellStyle name="Финансовый 12 6 2" xfId="190"/>
    <cellStyle name="Финансовый 12 6 2 2" xfId="191"/>
    <cellStyle name="Финансовый 12 6 2 3" xfId="192"/>
    <cellStyle name="Финансовый 12 6 3" xfId="193"/>
    <cellStyle name="Финансовый 12 6 4" xfId="194"/>
    <cellStyle name="Финансовый 12 7" xfId="195"/>
    <cellStyle name="Финансовый 12 7 2" xfId="196"/>
    <cellStyle name="Финансовый 12 7 2 2" xfId="197"/>
    <cellStyle name="Финансовый 12 7 2 3" xfId="198"/>
    <cellStyle name="Финансовый 12 7 3" xfId="199"/>
    <cellStyle name="Финансовый 12 7 4" xfId="200"/>
    <cellStyle name="Финансовый 12 8" xfId="201"/>
    <cellStyle name="Финансовый 12 8 2" xfId="202"/>
    <cellStyle name="Финансовый 12 8 3" xfId="203"/>
    <cellStyle name="Финансовый 12 9" xfId="204"/>
    <cellStyle name="Финансовый 13" xfId="205"/>
    <cellStyle name="Финансовый 13 2" xfId="206"/>
    <cellStyle name="Финансовый 13 2 2" xfId="207"/>
    <cellStyle name="Финансовый 13 2 2 2" xfId="208"/>
    <cellStyle name="Финансовый 13 2 2 3" xfId="209"/>
    <cellStyle name="Финансовый 13 2 3" xfId="210"/>
    <cellStyle name="Финансовый 13 2 4" xfId="211"/>
    <cellStyle name="Финансовый 13 3" xfId="212"/>
    <cellStyle name="Финансовый 13 3 2" xfId="213"/>
    <cellStyle name="Финансовый 13 3 3" xfId="214"/>
    <cellStyle name="Финансовый 13 4" xfId="215"/>
    <cellStyle name="Финансовый 13 5" xfId="216"/>
    <cellStyle name="Финансовый 13 6" xfId="217"/>
    <cellStyle name="Финансовый 14" xfId="218"/>
    <cellStyle name="Финансовый 14 2" xfId="219"/>
    <cellStyle name="Финансовый 14 2 2" xfId="220"/>
    <cellStyle name="Финансовый 14 2 2 2" xfId="221"/>
    <cellStyle name="Финансовый 14 2 2 3" xfId="222"/>
    <cellStyle name="Финансовый 14 2 3" xfId="223"/>
    <cellStyle name="Финансовый 14 2 4" xfId="224"/>
    <cellStyle name="Финансовый 14 3" xfId="225"/>
    <cellStyle name="Финансовый 14 3 2" xfId="226"/>
    <cellStyle name="Финансовый 14 3 3" xfId="227"/>
    <cellStyle name="Финансовый 14 4" xfId="228"/>
    <cellStyle name="Финансовый 14 5" xfId="229"/>
    <cellStyle name="Финансовый 15" xfId="230"/>
    <cellStyle name="Финансовый 15 2" xfId="231"/>
    <cellStyle name="Финансовый 15 2 2" xfId="232"/>
    <cellStyle name="Финансовый 15 2 3" xfId="233"/>
    <cellStyle name="Финансовый 15 3" xfId="234"/>
    <cellStyle name="Финансовый 15 4" xfId="235"/>
    <cellStyle name="Финансовый 15 5" xfId="236"/>
    <cellStyle name="Финансовый 16" xfId="237"/>
    <cellStyle name="Финансовый 16 2" xfId="238"/>
    <cellStyle name="Финансовый 16 2 2" xfId="239"/>
    <cellStyle name="Финансовый 16 2 3" xfId="240"/>
    <cellStyle name="Финансовый 16 3" xfId="241"/>
    <cellStyle name="Финансовый 16 4" xfId="242"/>
    <cellStyle name="Финансовый 17" xfId="243"/>
    <cellStyle name="Финансовый 17 2" xfId="244"/>
    <cellStyle name="Финансовый 17 3" xfId="245"/>
    <cellStyle name="Финансовый 18" xfId="246"/>
    <cellStyle name="Финансовый 19" xfId="247"/>
    <cellStyle name="Финансовый 2" xfId="248"/>
    <cellStyle name="Финансовый 2 10" xfId="249"/>
    <cellStyle name="Финансовый 2 10 2" xfId="250"/>
    <cellStyle name="Финансовый 2 10 2 2" xfId="251"/>
    <cellStyle name="Финансовый 2 10 2 2 2" xfId="252"/>
    <cellStyle name="Финансовый 2 10 2 2 2 2" xfId="253"/>
    <cellStyle name="Финансовый 2 10 2 2 2 3" xfId="254"/>
    <cellStyle name="Финансовый 2 10 2 2 3" xfId="255"/>
    <cellStyle name="Финансовый 2 10 2 2 4" xfId="256"/>
    <cellStyle name="Финансовый 2 10 2 3" xfId="257"/>
    <cellStyle name="Финансовый 2 10 2 3 2" xfId="258"/>
    <cellStyle name="Финансовый 2 10 2 3 3" xfId="259"/>
    <cellStyle name="Финансовый 2 10 2 4" xfId="260"/>
    <cellStyle name="Финансовый 2 10 2 5" xfId="261"/>
    <cellStyle name="Финансовый 2 10 3" xfId="262"/>
    <cellStyle name="Финансовый 2 10 3 2" xfId="263"/>
    <cellStyle name="Финансовый 2 10 3 2 2" xfId="264"/>
    <cellStyle name="Финансовый 2 10 3 2 2 2" xfId="265"/>
    <cellStyle name="Финансовый 2 10 3 2 2 3" xfId="266"/>
    <cellStyle name="Финансовый 2 10 3 2 3" xfId="267"/>
    <cellStyle name="Финансовый 2 10 3 2 4" xfId="268"/>
    <cellStyle name="Финансовый 2 10 3 3" xfId="269"/>
    <cellStyle name="Финансовый 2 10 3 3 2" xfId="270"/>
    <cellStyle name="Финансовый 2 10 3 3 3" xfId="271"/>
    <cellStyle name="Финансовый 2 10 3 4" xfId="272"/>
    <cellStyle name="Финансовый 2 10 3 5" xfId="273"/>
    <cellStyle name="Финансовый 2 10 4" xfId="274"/>
    <cellStyle name="Финансовый 2 10 4 2" xfId="275"/>
    <cellStyle name="Финансовый 2 10 4 2 2" xfId="276"/>
    <cellStyle name="Финансовый 2 10 4 2 3" xfId="277"/>
    <cellStyle name="Финансовый 2 10 4 3" xfId="278"/>
    <cellStyle name="Финансовый 2 10 4 4" xfId="279"/>
    <cellStyle name="Финансовый 2 10 5" xfId="280"/>
    <cellStyle name="Финансовый 2 10 5 2" xfId="281"/>
    <cellStyle name="Финансовый 2 10 5 3" xfId="282"/>
    <cellStyle name="Финансовый 2 10 6" xfId="283"/>
    <cellStyle name="Финансовый 2 10 7" xfId="284"/>
    <cellStyle name="Финансовый 2 10 8" xfId="285"/>
    <cellStyle name="Финансовый 2 11" xfId="286"/>
    <cellStyle name="Финансовый 2 11 2" xfId="287"/>
    <cellStyle name="Финансовый 2 11 2 2" xfId="288"/>
    <cellStyle name="Финансовый 2 11 2 2 2" xfId="289"/>
    <cellStyle name="Финансовый 2 11 2 2 3" xfId="290"/>
    <cellStyle name="Финансовый 2 11 2 3" xfId="291"/>
    <cellStyle name="Финансовый 2 11 2 4" xfId="292"/>
    <cellStyle name="Финансовый 2 11 3" xfId="293"/>
    <cellStyle name="Финансовый 2 11 3 2" xfId="294"/>
    <cellStyle name="Финансовый 2 11 3 3" xfId="295"/>
    <cellStyle name="Финансовый 2 11 4" xfId="296"/>
    <cellStyle name="Финансовый 2 11 5" xfId="297"/>
    <cellStyle name="Финансовый 2 12" xfId="298"/>
    <cellStyle name="Финансовый 2 12 2" xfId="299"/>
    <cellStyle name="Финансовый 2 12 2 2" xfId="300"/>
    <cellStyle name="Финансовый 2 12 2 2 2" xfId="301"/>
    <cellStyle name="Финансовый 2 12 2 2 3" xfId="302"/>
    <cellStyle name="Финансовый 2 12 2 3" xfId="303"/>
    <cellStyle name="Финансовый 2 12 2 4" xfId="304"/>
    <cellStyle name="Финансовый 2 12 3" xfId="305"/>
    <cellStyle name="Финансовый 2 12 3 2" xfId="306"/>
    <cellStyle name="Финансовый 2 12 3 3" xfId="307"/>
    <cellStyle name="Финансовый 2 12 4" xfId="308"/>
    <cellStyle name="Финансовый 2 12 5" xfId="309"/>
    <cellStyle name="Финансовый 2 13" xfId="310"/>
    <cellStyle name="Финансовый 2 13 2" xfId="311"/>
    <cellStyle name="Финансовый 2 13 2 2" xfId="312"/>
    <cellStyle name="Финансовый 2 13 2 3" xfId="313"/>
    <cellStyle name="Финансовый 2 13 3" xfId="314"/>
    <cellStyle name="Финансовый 2 13 4" xfId="315"/>
    <cellStyle name="Финансовый 2 14" xfId="316"/>
    <cellStyle name="Финансовый 2 14 2" xfId="317"/>
    <cellStyle name="Финансовый 2 14 2 2" xfId="318"/>
    <cellStyle name="Финансовый 2 14 2 3" xfId="319"/>
    <cellStyle name="Финансовый 2 14 3" xfId="320"/>
    <cellStyle name="Финансовый 2 14 4" xfId="321"/>
    <cellStyle name="Финансовый 2 15" xfId="322"/>
    <cellStyle name="Финансовый 2 15 2" xfId="323"/>
    <cellStyle name="Финансовый 2 15 2 2" xfId="324"/>
    <cellStyle name="Финансовый 2 15 2 3" xfId="325"/>
    <cellStyle name="Финансовый 2 15 3" xfId="326"/>
    <cellStyle name="Финансовый 2 15 4" xfId="327"/>
    <cellStyle name="Финансовый 2 16" xfId="328"/>
    <cellStyle name="Финансовый 2 16 2" xfId="329"/>
    <cellStyle name="Финансовый 2 16 2 2" xfId="330"/>
    <cellStyle name="Финансовый 2 16 2 3" xfId="331"/>
    <cellStyle name="Финансовый 2 16 3" xfId="332"/>
    <cellStyle name="Финансовый 2 16 4" xfId="333"/>
    <cellStyle name="Финансовый 2 17" xfId="334"/>
    <cellStyle name="Финансовый 2 17 2" xfId="335"/>
    <cellStyle name="Финансовый 2 17 3" xfId="336"/>
    <cellStyle name="Финансовый 2 18" xfId="337"/>
    <cellStyle name="Финансовый 2 19" xfId="338"/>
    <cellStyle name="Финансовый 2 2" xfId="339"/>
    <cellStyle name="Финансовый 2 2 2" xfId="340"/>
    <cellStyle name="Финансовый 2 2 3" xfId="341"/>
    <cellStyle name="Финансовый 2 20" xfId="342"/>
    <cellStyle name="Финансовый 2 21" xfId="343"/>
    <cellStyle name="Финансовый 2 3" xfId="344"/>
    <cellStyle name="Финансовый 2 3 10" xfId="345"/>
    <cellStyle name="Финансовый 2 3 10 2" xfId="346"/>
    <cellStyle name="Финансовый 2 3 10 2 2" xfId="347"/>
    <cellStyle name="Финансовый 2 3 10 2 3" xfId="348"/>
    <cellStyle name="Финансовый 2 3 10 3" xfId="349"/>
    <cellStyle name="Финансовый 2 3 10 4" xfId="350"/>
    <cellStyle name="Финансовый 2 3 11" xfId="351"/>
    <cellStyle name="Финансовый 2 3 11 2" xfId="352"/>
    <cellStyle name="Финансовый 2 3 11 2 2" xfId="353"/>
    <cellStyle name="Финансовый 2 3 11 2 3" xfId="354"/>
    <cellStyle name="Финансовый 2 3 11 3" xfId="355"/>
    <cellStyle name="Финансовый 2 3 11 4" xfId="356"/>
    <cellStyle name="Финансовый 2 3 12" xfId="357"/>
    <cellStyle name="Финансовый 2 3 12 2" xfId="358"/>
    <cellStyle name="Финансовый 2 3 12 2 2" xfId="359"/>
    <cellStyle name="Финансовый 2 3 12 2 3" xfId="360"/>
    <cellStyle name="Финансовый 2 3 12 3" xfId="361"/>
    <cellStyle name="Финансовый 2 3 12 4" xfId="362"/>
    <cellStyle name="Финансовый 2 3 13" xfId="363"/>
    <cellStyle name="Финансовый 2 3 13 2" xfId="364"/>
    <cellStyle name="Финансовый 2 3 13 3" xfId="365"/>
    <cellStyle name="Финансовый 2 3 14" xfId="366"/>
    <cellStyle name="Финансовый 2 3 15" xfId="367"/>
    <cellStyle name="Финансовый 2 3 16" xfId="368"/>
    <cellStyle name="Финансовый 2 3 17" xfId="369"/>
    <cellStyle name="Финансовый 2 3 2" xfId="370"/>
    <cellStyle name="Финансовый 2 3 2 10" xfId="371"/>
    <cellStyle name="Финансовый 2 3 2 10 2" xfId="372"/>
    <cellStyle name="Финансовый 2 3 2 10 2 2" xfId="373"/>
    <cellStyle name="Финансовый 2 3 2 10 2 3" xfId="374"/>
    <cellStyle name="Финансовый 2 3 2 10 3" xfId="375"/>
    <cellStyle name="Финансовый 2 3 2 10 4" xfId="376"/>
    <cellStyle name="Финансовый 2 3 2 11" xfId="377"/>
    <cellStyle name="Финансовый 2 3 2 11 2" xfId="378"/>
    <cellStyle name="Финансовый 2 3 2 11 2 2" xfId="379"/>
    <cellStyle name="Финансовый 2 3 2 11 2 3" xfId="380"/>
    <cellStyle name="Финансовый 2 3 2 11 3" xfId="381"/>
    <cellStyle name="Финансовый 2 3 2 11 4" xfId="382"/>
    <cellStyle name="Финансовый 2 3 2 12" xfId="383"/>
    <cellStyle name="Финансовый 2 3 2 12 2" xfId="384"/>
    <cellStyle name="Финансовый 2 3 2 12 3" xfId="385"/>
    <cellStyle name="Финансовый 2 3 2 13" xfId="386"/>
    <cellStyle name="Финансовый 2 3 2 14" xfId="387"/>
    <cellStyle name="Финансовый 2 3 2 15" xfId="388"/>
    <cellStyle name="Финансовый 2 3 2 16" xfId="389"/>
    <cellStyle name="Финансовый 2 3 2 2" xfId="390"/>
    <cellStyle name="Финансовый 2 3 2 2 10" xfId="391"/>
    <cellStyle name="Финансовый 2 3 2 2 10 2" xfId="392"/>
    <cellStyle name="Финансовый 2 3 2 2 10 3" xfId="393"/>
    <cellStyle name="Финансовый 2 3 2 2 11" xfId="394"/>
    <cellStyle name="Финансовый 2 3 2 2 12" xfId="395"/>
    <cellStyle name="Финансовый 2 3 2 2 13" xfId="396"/>
    <cellStyle name="Финансовый 2 3 2 2 14" xfId="397"/>
    <cellStyle name="Финансовый 2 3 2 2 2" xfId="398"/>
    <cellStyle name="Финансовый 2 3 2 2 2 10" xfId="399"/>
    <cellStyle name="Финансовый 2 3 2 2 2 10 2" xfId="400"/>
    <cellStyle name="Финансовый 2 3 2 2 2 10 3" xfId="401"/>
    <cellStyle name="Финансовый 2 3 2 2 2 11" xfId="402"/>
    <cellStyle name="Финансовый 2 3 2 2 2 12" xfId="403"/>
    <cellStyle name="Финансовый 2 3 2 2 2 13" xfId="404"/>
    <cellStyle name="Финансовый 2 3 2 2 2 14" xfId="405"/>
    <cellStyle name="Финансовый 2 3 2 2 2 15" xfId="406"/>
    <cellStyle name="Финансовый 2 3 2 2 2 2" xfId="407"/>
    <cellStyle name="Финансовый 2 3 2 2 2 2 10" xfId="408"/>
    <cellStyle name="Финансовый 2 3 2 2 2 2 11" xfId="409"/>
    <cellStyle name="Финансовый 2 3 2 2 2 2 12" xfId="410"/>
    <cellStyle name="Финансовый 2 3 2 2 2 2 13" xfId="411"/>
    <cellStyle name="Финансовый 2 3 2 2 2 2 2" xfId="412"/>
    <cellStyle name="Финансовый 2 3 2 2 2 2 2 2" xfId="413"/>
    <cellStyle name="Финансовый 2 3 2 2 2 2 2 2 2" xfId="414"/>
    <cellStyle name="Финансовый 2 3 2 2 2 2 2 2 2 2" xfId="415"/>
    <cellStyle name="Финансовый 2 3 2 2 2 2 2 2 2 2 2" xfId="416"/>
    <cellStyle name="Финансовый 2 3 2 2 2 2 2 2 2 2 3" xfId="417"/>
    <cellStyle name="Финансовый 2 3 2 2 2 2 2 2 2 3" xfId="418"/>
    <cellStyle name="Финансовый 2 3 2 2 2 2 2 2 2 4" xfId="419"/>
    <cellStyle name="Финансовый 2 3 2 2 2 2 2 2 3" xfId="420"/>
    <cellStyle name="Финансовый 2 3 2 2 2 2 2 2 3 2" xfId="421"/>
    <cellStyle name="Финансовый 2 3 2 2 2 2 2 2 3 3" xfId="422"/>
    <cellStyle name="Финансовый 2 3 2 2 2 2 2 2 4" xfId="423"/>
    <cellStyle name="Финансовый 2 3 2 2 2 2 2 2 5" xfId="424"/>
    <cellStyle name="Финансовый 2 3 2 2 2 2 2 3" xfId="425"/>
    <cellStyle name="Финансовый 2 3 2 2 2 2 2 3 2" xfId="426"/>
    <cellStyle name="Финансовый 2 3 2 2 2 2 2 3 2 2" xfId="427"/>
    <cellStyle name="Финансовый 2 3 2 2 2 2 2 3 2 2 2" xfId="428"/>
    <cellStyle name="Финансовый 2 3 2 2 2 2 2 3 2 2 3" xfId="429"/>
    <cellStyle name="Финансовый 2 3 2 2 2 2 2 3 2 3" xfId="430"/>
    <cellStyle name="Финансовый 2 3 2 2 2 2 2 3 2 4" xfId="431"/>
    <cellStyle name="Финансовый 2 3 2 2 2 2 2 3 3" xfId="432"/>
    <cellStyle name="Финансовый 2 3 2 2 2 2 2 3 3 2" xfId="433"/>
    <cellStyle name="Финансовый 2 3 2 2 2 2 2 3 3 3" xfId="434"/>
    <cellStyle name="Финансовый 2 3 2 2 2 2 2 3 4" xfId="435"/>
    <cellStyle name="Финансовый 2 3 2 2 2 2 2 3 5" xfId="436"/>
    <cellStyle name="Финансовый 2 3 2 2 2 2 2 4" xfId="437"/>
    <cellStyle name="Финансовый 2 3 2 2 2 2 2 4 2" xfId="438"/>
    <cellStyle name="Финансовый 2 3 2 2 2 2 2 4 2 2" xfId="439"/>
    <cellStyle name="Финансовый 2 3 2 2 2 2 2 4 2 3" xfId="440"/>
    <cellStyle name="Финансовый 2 3 2 2 2 2 2 4 3" xfId="441"/>
    <cellStyle name="Финансовый 2 3 2 2 2 2 2 4 4" xfId="442"/>
    <cellStyle name="Финансовый 2 3 2 2 2 2 2 5" xfId="443"/>
    <cellStyle name="Финансовый 2 3 2 2 2 2 2 5 2" xfId="444"/>
    <cellStyle name="Финансовый 2 3 2 2 2 2 2 5 3" xfId="445"/>
    <cellStyle name="Финансовый 2 3 2 2 2 2 2 6" xfId="446"/>
    <cellStyle name="Финансовый 2 3 2 2 2 2 2 7" xfId="447"/>
    <cellStyle name="Финансовый 2 3 2 2 2 2 2 8" xfId="448"/>
    <cellStyle name="Финансовый 2 3 2 2 2 2 3" xfId="449"/>
    <cellStyle name="Финансовый 2 3 2 2 2 2 3 2" xfId="450"/>
    <cellStyle name="Финансовый 2 3 2 2 2 2 3 2 2" xfId="451"/>
    <cellStyle name="Финансовый 2 3 2 2 2 2 3 2 2 2" xfId="452"/>
    <cellStyle name="Финансовый 2 3 2 2 2 2 3 2 2 3" xfId="453"/>
    <cellStyle name="Финансовый 2 3 2 2 2 2 3 2 3" xfId="454"/>
    <cellStyle name="Финансовый 2 3 2 2 2 2 3 2 4" xfId="455"/>
    <cellStyle name="Финансовый 2 3 2 2 2 2 3 3" xfId="456"/>
    <cellStyle name="Финансовый 2 3 2 2 2 2 3 3 2" xfId="457"/>
    <cellStyle name="Финансовый 2 3 2 2 2 2 3 3 3" xfId="458"/>
    <cellStyle name="Финансовый 2 3 2 2 2 2 3 4" xfId="459"/>
    <cellStyle name="Финансовый 2 3 2 2 2 2 3 5" xfId="460"/>
    <cellStyle name="Финансовый 2 3 2 2 2 2 4" xfId="461"/>
    <cellStyle name="Финансовый 2 3 2 2 2 2 4 2" xfId="462"/>
    <cellStyle name="Финансовый 2 3 2 2 2 2 4 2 2" xfId="463"/>
    <cellStyle name="Финансовый 2 3 2 2 2 2 4 2 2 2" xfId="464"/>
    <cellStyle name="Финансовый 2 3 2 2 2 2 4 2 2 3" xfId="465"/>
    <cellStyle name="Финансовый 2 3 2 2 2 2 4 2 3" xfId="466"/>
    <cellStyle name="Финансовый 2 3 2 2 2 2 4 2 4" xfId="467"/>
    <cellStyle name="Финансовый 2 3 2 2 2 2 4 3" xfId="468"/>
    <cellStyle name="Финансовый 2 3 2 2 2 2 4 3 2" xfId="469"/>
    <cellStyle name="Финансовый 2 3 2 2 2 2 4 3 3" xfId="470"/>
    <cellStyle name="Финансовый 2 3 2 2 2 2 4 4" xfId="471"/>
    <cellStyle name="Финансовый 2 3 2 2 2 2 4 5" xfId="472"/>
    <cellStyle name="Финансовый 2 3 2 2 2 2 5" xfId="473"/>
    <cellStyle name="Финансовый 2 3 2 2 2 2 5 2" xfId="474"/>
    <cellStyle name="Финансовый 2 3 2 2 2 2 5 2 2" xfId="475"/>
    <cellStyle name="Финансовый 2 3 2 2 2 2 5 2 3" xfId="476"/>
    <cellStyle name="Финансовый 2 3 2 2 2 2 5 3" xfId="477"/>
    <cellStyle name="Финансовый 2 3 2 2 2 2 5 4" xfId="478"/>
    <cellStyle name="Финансовый 2 3 2 2 2 2 6" xfId="479"/>
    <cellStyle name="Финансовый 2 3 2 2 2 2 6 2" xfId="480"/>
    <cellStyle name="Финансовый 2 3 2 2 2 2 6 2 2" xfId="481"/>
    <cellStyle name="Финансовый 2 3 2 2 2 2 6 2 3" xfId="482"/>
    <cellStyle name="Финансовый 2 3 2 2 2 2 6 3" xfId="483"/>
    <cellStyle name="Финансовый 2 3 2 2 2 2 6 4" xfId="484"/>
    <cellStyle name="Финансовый 2 3 2 2 2 2 7" xfId="485"/>
    <cellStyle name="Финансовый 2 3 2 2 2 2 7 2" xfId="486"/>
    <cellStyle name="Финансовый 2 3 2 2 2 2 7 2 2" xfId="487"/>
    <cellStyle name="Финансовый 2 3 2 2 2 2 7 2 3" xfId="488"/>
    <cellStyle name="Финансовый 2 3 2 2 2 2 7 3" xfId="489"/>
    <cellStyle name="Финансовый 2 3 2 2 2 2 7 4" xfId="490"/>
    <cellStyle name="Финансовый 2 3 2 2 2 2 8" xfId="491"/>
    <cellStyle name="Финансовый 2 3 2 2 2 2 8 2" xfId="492"/>
    <cellStyle name="Финансовый 2 3 2 2 2 2 8 2 2" xfId="493"/>
    <cellStyle name="Финансовый 2 3 2 2 2 2 8 2 3" xfId="494"/>
    <cellStyle name="Финансовый 2 3 2 2 2 2 8 3" xfId="495"/>
    <cellStyle name="Финансовый 2 3 2 2 2 2 8 4" xfId="496"/>
    <cellStyle name="Финансовый 2 3 2 2 2 2 9" xfId="497"/>
    <cellStyle name="Финансовый 2 3 2 2 2 2 9 2" xfId="498"/>
    <cellStyle name="Финансовый 2 3 2 2 2 2 9 3" xfId="499"/>
    <cellStyle name="Финансовый 2 3 2 2 2 3" xfId="500"/>
    <cellStyle name="Финансовый 2 3 2 2 2 3 2" xfId="501"/>
    <cellStyle name="Финансовый 2 3 2 2 2 3 2 2" xfId="502"/>
    <cellStyle name="Финансовый 2 3 2 2 2 3 2 2 2" xfId="503"/>
    <cellStyle name="Финансовый 2 3 2 2 2 3 2 2 2 2" xfId="504"/>
    <cellStyle name="Финансовый 2 3 2 2 2 3 2 2 2 3" xfId="505"/>
    <cellStyle name="Финансовый 2 3 2 2 2 3 2 2 3" xfId="506"/>
    <cellStyle name="Финансовый 2 3 2 2 2 3 2 2 4" xfId="507"/>
    <cellStyle name="Финансовый 2 3 2 2 2 3 2 3" xfId="508"/>
    <cellStyle name="Финансовый 2 3 2 2 2 3 2 3 2" xfId="509"/>
    <cellStyle name="Финансовый 2 3 2 2 2 3 2 3 3" xfId="510"/>
    <cellStyle name="Финансовый 2 3 2 2 2 3 2 4" xfId="511"/>
    <cellStyle name="Финансовый 2 3 2 2 2 3 2 5" xfId="512"/>
    <cellStyle name="Финансовый 2 3 2 2 2 3 3" xfId="513"/>
    <cellStyle name="Финансовый 2 3 2 2 2 3 3 2" xfId="514"/>
    <cellStyle name="Финансовый 2 3 2 2 2 3 3 2 2" xfId="515"/>
    <cellStyle name="Финансовый 2 3 2 2 2 3 3 2 2 2" xfId="516"/>
    <cellStyle name="Финансовый 2 3 2 2 2 3 3 2 2 3" xfId="517"/>
    <cellStyle name="Финансовый 2 3 2 2 2 3 3 2 3" xfId="518"/>
    <cellStyle name="Финансовый 2 3 2 2 2 3 3 2 4" xfId="519"/>
    <cellStyle name="Финансовый 2 3 2 2 2 3 3 3" xfId="520"/>
    <cellStyle name="Финансовый 2 3 2 2 2 3 3 3 2" xfId="521"/>
    <cellStyle name="Финансовый 2 3 2 2 2 3 3 3 3" xfId="522"/>
    <cellStyle name="Финансовый 2 3 2 2 2 3 3 4" xfId="523"/>
    <cellStyle name="Финансовый 2 3 2 2 2 3 3 5" xfId="524"/>
    <cellStyle name="Финансовый 2 3 2 2 2 3 4" xfId="525"/>
    <cellStyle name="Финансовый 2 3 2 2 2 3 4 2" xfId="526"/>
    <cellStyle name="Финансовый 2 3 2 2 2 3 4 2 2" xfId="527"/>
    <cellStyle name="Финансовый 2 3 2 2 2 3 4 2 3" xfId="528"/>
    <cellStyle name="Финансовый 2 3 2 2 2 3 4 3" xfId="529"/>
    <cellStyle name="Финансовый 2 3 2 2 2 3 4 4" xfId="530"/>
    <cellStyle name="Финансовый 2 3 2 2 2 3 5" xfId="531"/>
    <cellStyle name="Финансовый 2 3 2 2 2 3 5 2" xfId="532"/>
    <cellStyle name="Финансовый 2 3 2 2 2 3 5 3" xfId="533"/>
    <cellStyle name="Финансовый 2 3 2 2 2 3 6" xfId="534"/>
    <cellStyle name="Финансовый 2 3 2 2 2 3 7" xfId="535"/>
    <cellStyle name="Финансовый 2 3 2 2 2 3 8" xfId="536"/>
    <cellStyle name="Финансовый 2 3 2 2 2 4" xfId="537"/>
    <cellStyle name="Финансовый 2 3 2 2 2 4 2" xfId="538"/>
    <cellStyle name="Финансовый 2 3 2 2 2 4 2 2" xfId="539"/>
    <cellStyle name="Финансовый 2 3 2 2 2 4 2 2 2" xfId="540"/>
    <cellStyle name="Финансовый 2 3 2 2 2 4 2 2 3" xfId="541"/>
    <cellStyle name="Финансовый 2 3 2 2 2 4 2 3" xfId="542"/>
    <cellStyle name="Финансовый 2 3 2 2 2 4 2 4" xfId="543"/>
    <cellStyle name="Финансовый 2 3 2 2 2 4 3" xfId="544"/>
    <cellStyle name="Финансовый 2 3 2 2 2 4 3 2" xfId="545"/>
    <cellStyle name="Финансовый 2 3 2 2 2 4 3 3" xfId="546"/>
    <cellStyle name="Финансовый 2 3 2 2 2 4 4" xfId="547"/>
    <cellStyle name="Финансовый 2 3 2 2 2 4 5" xfId="548"/>
    <cellStyle name="Финансовый 2 3 2 2 2 4 6" xfId="549"/>
    <cellStyle name="Финансовый 2 3 2 2 2 5" xfId="550"/>
    <cellStyle name="Финансовый 2 3 2 2 2 5 2" xfId="551"/>
    <cellStyle name="Финансовый 2 3 2 2 2 5 2 2" xfId="552"/>
    <cellStyle name="Финансовый 2 3 2 2 2 5 2 2 2" xfId="553"/>
    <cellStyle name="Финансовый 2 3 2 2 2 5 2 2 3" xfId="554"/>
    <cellStyle name="Финансовый 2 3 2 2 2 5 2 3" xfId="555"/>
    <cellStyle name="Финансовый 2 3 2 2 2 5 2 4" xfId="556"/>
    <cellStyle name="Финансовый 2 3 2 2 2 5 3" xfId="557"/>
    <cellStyle name="Финансовый 2 3 2 2 2 5 3 2" xfId="558"/>
    <cellStyle name="Финансовый 2 3 2 2 2 5 3 3" xfId="559"/>
    <cellStyle name="Финансовый 2 3 2 2 2 5 4" xfId="560"/>
    <cellStyle name="Финансовый 2 3 2 2 2 5 5" xfId="561"/>
    <cellStyle name="Финансовый 2 3 2 2 2 6" xfId="562"/>
    <cellStyle name="Финансовый 2 3 2 2 2 6 2" xfId="563"/>
    <cellStyle name="Финансовый 2 3 2 2 2 6 2 2" xfId="564"/>
    <cellStyle name="Финансовый 2 3 2 2 2 6 2 3" xfId="565"/>
    <cellStyle name="Финансовый 2 3 2 2 2 6 3" xfId="566"/>
    <cellStyle name="Финансовый 2 3 2 2 2 6 4" xfId="567"/>
    <cellStyle name="Финансовый 2 3 2 2 2 7" xfId="568"/>
    <cellStyle name="Финансовый 2 3 2 2 2 7 2" xfId="569"/>
    <cellStyle name="Финансовый 2 3 2 2 2 7 2 2" xfId="570"/>
    <cellStyle name="Финансовый 2 3 2 2 2 7 2 3" xfId="571"/>
    <cellStyle name="Финансовый 2 3 2 2 2 7 3" xfId="572"/>
    <cellStyle name="Финансовый 2 3 2 2 2 7 4" xfId="573"/>
    <cellStyle name="Финансовый 2 3 2 2 2 8" xfId="574"/>
    <cellStyle name="Финансовый 2 3 2 2 2 8 2" xfId="575"/>
    <cellStyle name="Финансовый 2 3 2 2 2 8 2 2" xfId="576"/>
    <cellStyle name="Финансовый 2 3 2 2 2 8 2 3" xfId="577"/>
    <cellStyle name="Финансовый 2 3 2 2 2 8 3" xfId="578"/>
    <cellStyle name="Финансовый 2 3 2 2 2 8 4" xfId="579"/>
    <cellStyle name="Финансовый 2 3 2 2 2 9" xfId="580"/>
    <cellStyle name="Финансовый 2 3 2 2 2 9 2" xfId="581"/>
    <cellStyle name="Финансовый 2 3 2 2 2 9 2 2" xfId="582"/>
    <cellStyle name="Финансовый 2 3 2 2 2 9 2 3" xfId="583"/>
    <cellStyle name="Финансовый 2 3 2 2 2 9 3" xfId="584"/>
    <cellStyle name="Финансовый 2 3 2 2 2 9 4" xfId="585"/>
    <cellStyle name="Финансовый 2 3 2 2 3" xfId="586"/>
    <cellStyle name="Финансовый 2 3 2 2 3 2" xfId="587"/>
    <cellStyle name="Финансовый 2 3 2 2 3 2 2" xfId="588"/>
    <cellStyle name="Финансовый 2 3 2 2 3 2 2 2" xfId="589"/>
    <cellStyle name="Финансовый 2 3 2 2 3 2 2 2 2" xfId="590"/>
    <cellStyle name="Финансовый 2 3 2 2 3 2 2 2 3" xfId="591"/>
    <cellStyle name="Финансовый 2 3 2 2 3 2 2 3" xfId="592"/>
    <cellStyle name="Финансовый 2 3 2 2 3 2 2 4" xfId="593"/>
    <cellStyle name="Финансовый 2 3 2 2 3 2 3" xfId="594"/>
    <cellStyle name="Финансовый 2 3 2 2 3 2 3 2" xfId="595"/>
    <cellStyle name="Финансовый 2 3 2 2 3 2 3 3" xfId="596"/>
    <cellStyle name="Финансовый 2 3 2 2 3 2 4" xfId="597"/>
    <cellStyle name="Финансовый 2 3 2 2 3 2 5" xfId="598"/>
    <cellStyle name="Финансовый 2 3 2 2 3 3" xfId="599"/>
    <cellStyle name="Финансовый 2 3 2 2 3 3 2" xfId="600"/>
    <cellStyle name="Финансовый 2 3 2 2 3 3 2 2" xfId="601"/>
    <cellStyle name="Финансовый 2 3 2 2 3 3 2 2 2" xfId="602"/>
    <cellStyle name="Финансовый 2 3 2 2 3 3 2 2 3" xfId="603"/>
    <cellStyle name="Финансовый 2 3 2 2 3 3 2 3" xfId="604"/>
    <cellStyle name="Финансовый 2 3 2 2 3 3 2 4" xfId="605"/>
    <cellStyle name="Финансовый 2 3 2 2 3 3 3" xfId="606"/>
    <cellStyle name="Финансовый 2 3 2 2 3 3 3 2" xfId="607"/>
    <cellStyle name="Финансовый 2 3 2 2 3 3 3 3" xfId="608"/>
    <cellStyle name="Финансовый 2 3 2 2 3 3 4" xfId="609"/>
    <cellStyle name="Финансовый 2 3 2 2 3 3 5" xfId="610"/>
    <cellStyle name="Финансовый 2 3 2 2 3 4" xfId="611"/>
    <cellStyle name="Финансовый 2 3 2 2 3 4 2" xfId="612"/>
    <cellStyle name="Финансовый 2 3 2 2 3 4 2 2" xfId="613"/>
    <cellStyle name="Финансовый 2 3 2 2 3 4 2 3" xfId="614"/>
    <cellStyle name="Финансовый 2 3 2 2 3 4 3" xfId="615"/>
    <cellStyle name="Финансовый 2 3 2 2 3 4 4" xfId="616"/>
    <cellStyle name="Финансовый 2 3 2 2 3 5" xfId="617"/>
    <cellStyle name="Финансовый 2 3 2 2 3 5 2" xfId="618"/>
    <cellStyle name="Финансовый 2 3 2 2 3 5 3" xfId="619"/>
    <cellStyle name="Финансовый 2 3 2 2 3 6" xfId="620"/>
    <cellStyle name="Финансовый 2 3 2 2 3 7" xfId="621"/>
    <cellStyle name="Финансовый 2 3 2 2 3 8" xfId="622"/>
    <cellStyle name="Финансовый 2 3 2 2 4" xfId="623"/>
    <cellStyle name="Финансовый 2 3 2 2 4 2" xfId="624"/>
    <cellStyle name="Финансовый 2 3 2 2 4 2 2" xfId="625"/>
    <cellStyle name="Финансовый 2 3 2 2 4 2 2 2" xfId="626"/>
    <cellStyle name="Финансовый 2 3 2 2 4 2 2 3" xfId="627"/>
    <cellStyle name="Финансовый 2 3 2 2 4 2 3" xfId="628"/>
    <cellStyle name="Финансовый 2 3 2 2 4 2 4" xfId="629"/>
    <cellStyle name="Финансовый 2 3 2 2 4 3" xfId="630"/>
    <cellStyle name="Финансовый 2 3 2 2 4 3 2" xfId="631"/>
    <cellStyle name="Финансовый 2 3 2 2 4 3 3" xfId="632"/>
    <cellStyle name="Финансовый 2 3 2 2 4 4" xfId="633"/>
    <cellStyle name="Финансовый 2 3 2 2 4 5" xfId="634"/>
    <cellStyle name="Финансовый 2 3 2 2 5" xfId="635"/>
    <cellStyle name="Финансовый 2 3 2 2 5 2" xfId="636"/>
    <cellStyle name="Финансовый 2 3 2 2 5 2 2" xfId="637"/>
    <cellStyle name="Финансовый 2 3 2 2 5 2 2 2" xfId="638"/>
    <cellStyle name="Финансовый 2 3 2 2 5 2 2 3" xfId="639"/>
    <cellStyle name="Финансовый 2 3 2 2 5 2 3" xfId="640"/>
    <cellStyle name="Финансовый 2 3 2 2 5 2 4" xfId="641"/>
    <cellStyle name="Финансовый 2 3 2 2 5 3" xfId="642"/>
    <cellStyle name="Финансовый 2 3 2 2 5 3 2" xfId="643"/>
    <cellStyle name="Финансовый 2 3 2 2 5 3 3" xfId="644"/>
    <cellStyle name="Финансовый 2 3 2 2 5 4" xfId="645"/>
    <cellStyle name="Финансовый 2 3 2 2 5 5" xfId="646"/>
    <cellStyle name="Финансовый 2 3 2 2 6" xfId="647"/>
    <cellStyle name="Финансовый 2 3 2 2 6 2" xfId="648"/>
    <cellStyle name="Финансовый 2 3 2 2 6 2 2" xfId="649"/>
    <cellStyle name="Финансовый 2 3 2 2 6 2 3" xfId="650"/>
    <cellStyle name="Финансовый 2 3 2 2 6 3" xfId="651"/>
    <cellStyle name="Финансовый 2 3 2 2 6 4" xfId="652"/>
    <cellStyle name="Финансовый 2 3 2 2 7" xfId="653"/>
    <cellStyle name="Финансовый 2 3 2 2 7 2" xfId="654"/>
    <cellStyle name="Финансовый 2 3 2 2 7 2 2" xfId="655"/>
    <cellStyle name="Финансовый 2 3 2 2 7 2 3" xfId="656"/>
    <cellStyle name="Финансовый 2 3 2 2 7 3" xfId="657"/>
    <cellStyle name="Финансовый 2 3 2 2 7 4" xfId="658"/>
    <cellStyle name="Финансовый 2 3 2 2 8" xfId="659"/>
    <cellStyle name="Финансовый 2 3 2 2 8 2" xfId="660"/>
    <cellStyle name="Финансовый 2 3 2 2 8 2 2" xfId="661"/>
    <cellStyle name="Финансовый 2 3 2 2 8 2 3" xfId="662"/>
    <cellStyle name="Финансовый 2 3 2 2 8 3" xfId="663"/>
    <cellStyle name="Финансовый 2 3 2 2 8 4" xfId="664"/>
    <cellStyle name="Финансовый 2 3 2 2 9" xfId="665"/>
    <cellStyle name="Финансовый 2 3 2 2 9 2" xfId="666"/>
    <cellStyle name="Финансовый 2 3 2 2 9 2 2" xfId="667"/>
    <cellStyle name="Финансовый 2 3 2 2 9 2 3" xfId="668"/>
    <cellStyle name="Финансовый 2 3 2 2 9 3" xfId="669"/>
    <cellStyle name="Финансовый 2 3 2 2 9 4" xfId="670"/>
    <cellStyle name="Финансовый 2 3 2 3" xfId="671"/>
    <cellStyle name="Финансовый 2 3 2 3 10" xfId="672"/>
    <cellStyle name="Финансовый 2 3 2 3 11" xfId="673"/>
    <cellStyle name="Финансовый 2 3 2 3 12" xfId="674"/>
    <cellStyle name="Финансовый 2 3 2 3 13" xfId="675"/>
    <cellStyle name="Финансовый 2 3 2 3 2" xfId="676"/>
    <cellStyle name="Финансовый 2 3 2 3 2 2" xfId="677"/>
    <cellStyle name="Финансовый 2 3 2 3 2 2 2" xfId="678"/>
    <cellStyle name="Финансовый 2 3 2 3 2 2 2 2" xfId="679"/>
    <cellStyle name="Финансовый 2 3 2 3 2 2 2 2 2" xfId="680"/>
    <cellStyle name="Финансовый 2 3 2 3 2 2 2 2 3" xfId="681"/>
    <cellStyle name="Финансовый 2 3 2 3 2 2 2 3" xfId="682"/>
    <cellStyle name="Финансовый 2 3 2 3 2 2 2 4" xfId="683"/>
    <cellStyle name="Финансовый 2 3 2 3 2 2 3" xfId="684"/>
    <cellStyle name="Финансовый 2 3 2 3 2 2 3 2" xfId="685"/>
    <cellStyle name="Финансовый 2 3 2 3 2 2 3 3" xfId="686"/>
    <cellStyle name="Финансовый 2 3 2 3 2 2 4" xfId="687"/>
    <cellStyle name="Финансовый 2 3 2 3 2 2 5" xfId="688"/>
    <cellStyle name="Финансовый 2 3 2 3 2 3" xfId="689"/>
    <cellStyle name="Финансовый 2 3 2 3 2 3 2" xfId="690"/>
    <cellStyle name="Финансовый 2 3 2 3 2 3 2 2" xfId="691"/>
    <cellStyle name="Финансовый 2 3 2 3 2 3 2 2 2" xfId="692"/>
    <cellStyle name="Финансовый 2 3 2 3 2 3 2 2 3" xfId="693"/>
    <cellStyle name="Финансовый 2 3 2 3 2 3 2 3" xfId="694"/>
    <cellStyle name="Финансовый 2 3 2 3 2 3 2 4" xfId="695"/>
    <cellStyle name="Финансовый 2 3 2 3 2 3 3" xfId="696"/>
    <cellStyle name="Финансовый 2 3 2 3 2 3 3 2" xfId="697"/>
    <cellStyle name="Финансовый 2 3 2 3 2 3 3 3" xfId="698"/>
    <cellStyle name="Финансовый 2 3 2 3 2 3 4" xfId="699"/>
    <cellStyle name="Финансовый 2 3 2 3 2 3 5" xfId="700"/>
    <cellStyle name="Финансовый 2 3 2 3 2 4" xfId="701"/>
    <cellStyle name="Финансовый 2 3 2 3 2 4 2" xfId="702"/>
    <cellStyle name="Финансовый 2 3 2 3 2 4 2 2" xfId="703"/>
    <cellStyle name="Финансовый 2 3 2 3 2 4 2 3" xfId="704"/>
    <cellStyle name="Финансовый 2 3 2 3 2 4 3" xfId="705"/>
    <cellStyle name="Финансовый 2 3 2 3 2 4 4" xfId="706"/>
    <cellStyle name="Финансовый 2 3 2 3 2 5" xfId="707"/>
    <cellStyle name="Финансовый 2 3 2 3 2 5 2" xfId="708"/>
    <cellStyle name="Финансовый 2 3 2 3 2 5 3" xfId="709"/>
    <cellStyle name="Финансовый 2 3 2 3 2 6" xfId="710"/>
    <cellStyle name="Финансовый 2 3 2 3 2 7" xfId="711"/>
    <cellStyle name="Финансовый 2 3 2 3 2 8" xfId="712"/>
    <cellStyle name="Финансовый 2 3 2 3 3" xfId="713"/>
    <cellStyle name="Финансовый 2 3 2 3 3 2" xfId="714"/>
    <cellStyle name="Финансовый 2 3 2 3 3 2 2" xfId="715"/>
    <cellStyle name="Финансовый 2 3 2 3 3 2 2 2" xfId="716"/>
    <cellStyle name="Финансовый 2 3 2 3 3 2 2 3" xfId="717"/>
    <cellStyle name="Финансовый 2 3 2 3 3 2 3" xfId="718"/>
    <cellStyle name="Финансовый 2 3 2 3 3 2 4" xfId="719"/>
    <cellStyle name="Финансовый 2 3 2 3 3 3" xfId="720"/>
    <cellStyle name="Финансовый 2 3 2 3 3 3 2" xfId="721"/>
    <cellStyle name="Финансовый 2 3 2 3 3 3 3" xfId="722"/>
    <cellStyle name="Финансовый 2 3 2 3 3 4" xfId="723"/>
    <cellStyle name="Финансовый 2 3 2 3 3 5" xfId="724"/>
    <cellStyle name="Финансовый 2 3 2 3 4" xfId="725"/>
    <cellStyle name="Финансовый 2 3 2 3 4 2" xfId="726"/>
    <cellStyle name="Финансовый 2 3 2 3 4 2 2" xfId="727"/>
    <cellStyle name="Финансовый 2 3 2 3 4 2 2 2" xfId="728"/>
    <cellStyle name="Финансовый 2 3 2 3 4 2 2 3" xfId="729"/>
    <cellStyle name="Финансовый 2 3 2 3 4 2 3" xfId="730"/>
    <cellStyle name="Финансовый 2 3 2 3 4 2 4" xfId="731"/>
    <cellStyle name="Финансовый 2 3 2 3 4 3" xfId="732"/>
    <cellStyle name="Финансовый 2 3 2 3 4 3 2" xfId="733"/>
    <cellStyle name="Финансовый 2 3 2 3 4 3 3" xfId="734"/>
    <cellStyle name="Финансовый 2 3 2 3 4 4" xfId="735"/>
    <cellStyle name="Финансовый 2 3 2 3 4 5" xfId="736"/>
    <cellStyle name="Финансовый 2 3 2 3 5" xfId="737"/>
    <cellStyle name="Финансовый 2 3 2 3 5 2" xfId="738"/>
    <cellStyle name="Финансовый 2 3 2 3 5 2 2" xfId="739"/>
    <cellStyle name="Финансовый 2 3 2 3 5 2 3" xfId="740"/>
    <cellStyle name="Финансовый 2 3 2 3 5 3" xfId="741"/>
    <cellStyle name="Финансовый 2 3 2 3 5 4" xfId="742"/>
    <cellStyle name="Финансовый 2 3 2 3 6" xfId="743"/>
    <cellStyle name="Финансовый 2 3 2 3 6 2" xfId="744"/>
    <cellStyle name="Финансовый 2 3 2 3 6 2 2" xfId="745"/>
    <cellStyle name="Финансовый 2 3 2 3 6 2 3" xfId="746"/>
    <cellStyle name="Финансовый 2 3 2 3 6 3" xfId="747"/>
    <cellStyle name="Финансовый 2 3 2 3 6 4" xfId="748"/>
    <cellStyle name="Финансовый 2 3 2 3 7" xfId="749"/>
    <cellStyle name="Финансовый 2 3 2 3 7 2" xfId="750"/>
    <cellStyle name="Финансовый 2 3 2 3 7 2 2" xfId="751"/>
    <cellStyle name="Финансовый 2 3 2 3 7 2 3" xfId="752"/>
    <cellStyle name="Финансовый 2 3 2 3 7 3" xfId="753"/>
    <cellStyle name="Финансовый 2 3 2 3 7 4" xfId="754"/>
    <cellStyle name="Финансовый 2 3 2 3 8" xfId="755"/>
    <cellStyle name="Финансовый 2 3 2 3 8 2" xfId="756"/>
    <cellStyle name="Финансовый 2 3 2 3 8 2 2" xfId="757"/>
    <cellStyle name="Финансовый 2 3 2 3 8 2 3" xfId="758"/>
    <cellStyle name="Финансовый 2 3 2 3 8 3" xfId="759"/>
    <cellStyle name="Финансовый 2 3 2 3 8 4" xfId="760"/>
    <cellStyle name="Финансовый 2 3 2 3 9" xfId="761"/>
    <cellStyle name="Финансовый 2 3 2 3 9 2" xfId="762"/>
    <cellStyle name="Финансовый 2 3 2 3 9 3" xfId="763"/>
    <cellStyle name="Финансовый 2 3 2 4" xfId="764"/>
    <cellStyle name="Финансовый 2 3 2 4 10" xfId="765"/>
    <cellStyle name="Финансовый 2 3 2 4 11" xfId="766"/>
    <cellStyle name="Финансовый 2 3 2 4 12" xfId="767"/>
    <cellStyle name="Финансовый 2 3 2 4 13" xfId="768"/>
    <cellStyle name="Финансовый 2 3 2 4 2" xfId="769"/>
    <cellStyle name="Финансовый 2 3 2 4 2 2" xfId="770"/>
    <cellStyle name="Финансовый 2 3 2 4 2 2 2" xfId="771"/>
    <cellStyle name="Финансовый 2 3 2 4 2 2 2 2" xfId="772"/>
    <cellStyle name="Финансовый 2 3 2 4 2 2 2 2 2" xfId="773"/>
    <cellStyle name="Финансовый 2 3 2 4 2 2 2 2 3" xfId="774"/>
    <cellStyle name="Финансовый 2 3 2 4 2 2 2 3" xfId="775"/>
    <cellStyle name="Финансовый 2 3 2 4 2 2 2 4" xfId="776"/>
    <cellStyle name="Финансовый 2 3 2 4 2 2 3" xfId="777"/>
    <cellStyle name="Финансовый 2 3 2 4 2 2 3 2" xfId="778"/>
    <cellStyle name="Финансовый 2 3 2 4 2 2 3 3" xfId="779"/>
    <cellStyle name="Финансовый 2 3 2 4 2 2 4" xfId="780"/>
    <cellStyle name="Финансовый 2 3 2 4 2 2 5" xfId="781"/>
    <cellStyle name="Финансовый 2 3 2 4 2 3" xfId="782"/>
    <cellStyle name="Финансовый 2 3 2 4 2 3 2" xfId="783"/>
    <cellStyle name="Финансовый 2 3 2 4 2 3 2 2" xfId="784"/>
    <cellStyle name="Финансовый 2 3 2 4 2 3 2 2 2" xfId="785"/>
    <cellStyle name="Финансовый 2 3 2 4 2 3 2 2 3" xfId="786"/>
    <cellStyle name="Финансовый 2 3 2 4 2 3 2 3" xfId="787"/>
    <cellStyle name="Финансовый 2 3 2 4 2 3 2 4" xfId="788"/>
    <cellStyle name="Финансовый 2 3 2 4 2 3 3" xfId="789"/>
    <cellStyle name="Финансовый 2 3 2 4 2 3 3 2" xfId="790"/>
    <cellStyle name="Финансовый 2 3 2 4 2 3 3 3" xfId="791"/>
    <cellStyle name="Финансовый 2 3 2 4 2 3 4" xfId="792"/>
    <cellStyle name="Финансовый 2 3 2 4 2 3 5" xfId="793"/>
    <cellStyle name="Финансовый 2 3 2 4 2 4" xfId="794"/>
    <cellStyle name="Финансовый 2 3 2 4 2 4 2" xfId="795"/>
    <cellStyle name="Финансовый 2 3 2 4 2 4 2 2" xfId="796"/>
    <cellStyle name="Финансовый 2 3 2 4 2 4 2 3" xfId="797"/>
    <cellStyle name="Финансовый 2 3 2 4 2 4 3" xfId="798"/>
    <cellStyle name="Финансовый 2 3 2 4 2 4 4" xfId="799"/>
    <cellStyle name="Финансовый 2 3 2 4 2 5" xfId="800"/>
    <cellStyle name="Финансовый 2 3 2 4 2 5 2" xfId="801"/>
    <cellStyle name="Финансовый 2 3 2 4 2 5 3" xfId="802"/>
    <cellStyle name="Финансовый 2 3 2 4 2 6" xfId="803"/>
    <cellStyle name="Финансовый 2 3 2 4 2 7" xfId="804"/>
    <cellStyle name="Финансовый 2 3 2 4 2 8" xfId="805"/>
    <cellStyle name="Финансовый 2 3 2 4 3" xfId="806"/>
    <cellStyle name="Финансовый 2 3 2 4 3 2" xfId="807"/>
    <cellStyle name="Финансовый 2 3 2 4 3 2 2" xfId="808"/>
    <cellStyle name="Финансовый 2 3 2 4 3 2 2 2" xfId="809"/>
    <cellStyle name="Финансовый 2 3 2 4 3 2 2 3" xfId="810"/>
    <cellStyle name="Финансовый 2 3 2 4 3 2 3" xfId="811"/>
    <cellStyle name="Финансовый 2 3 2 4 3 2 4" xfId="812"/>
    <cellStyle name="Финансовый 2 3 2 4 3 3" xfId="813"/>
    <cellStyle name="Финансовый 2 3 2 4 3 3 2" xfId="814"/>
    <cellStyle name="Финансовый 2 3 2 4 3 3 3" xfId="815"/>
    <cellStyle name="Финансовый 2 3 2 4 3 4" xfId="816"/>
    <cellStyle name="Финансовый 2 3 2 4 3 5" xfId="817"/>
    <cellStyle name="Финансовый 2 3 2 4 4" xfId="818"/>
    <cellStyle name="Финансовый 2 3 2 4 4 2" xfId="819"/>
    <cellStyle name="Финансовый 2 3 2 4 4 2 2" xfId="820"/>
    <cellStyle name="Финансовый 2 3 2 4 4 2 2 2" xfId="821"/>
    <cellStyle name="Финансовый 2 3 2 4 4 2 2 3" xfId="822"/>
    <cellStyle name="Финансовый 2 3 2 4 4 2 3" xfId="823"/>
    <cellStyle name="Финансовый 2 3 2 4 4 2 4" xfId="824"/>
    <cellStyle name="Финансовый 2 3 2 4 4 3" xfId="825"/>
    <cellStyle name="Финансовый 2 3 2 4 4 3 2" xfId="826"/>
    <cellStyle name="Финансовый 2 3 2 4 4 3 3" xfId="827"/>
    <cellStyle name="Финансовый 2 3 2 4 4 4" xfId="828"/>
    <cellStyle name="Финансовый 2 3 2 4 4 5" xfId="829"/>
    <cellStyle name="Финансовый 2 3 2 4 5" xfId="830"/>
    <cellStyle name="Финансовый 2 3 2 4 5 2" xfId="831"/>
    <cellStyle name="Финансовый 2 3 2 4 5 2 2" xfId="832"/>
    <cellStyle name="Финансовый 2 3 2 4 5 2 3" xfId="833"/>
    <cellStyle name="Финансовый 2 3 2 4 5 3" xfId="834"/>
    <cellStyle name="Финансовый 2 3 2 4 5 4" xfId="835"/>
    <cellStyle name="Финансовый 2 3 2 4 6" xfId="836"/>
    <cellStyle name="Финансовый 2 3 2 4 6 2" xfId="837"/>
    <cellStyle name="Финансовый 2 3 2 4 6 2 2" xfId="838"/>
    <cellStyle name="Финансовый 2 3 2 4 6 2 3" xfId="839"/>
    <cellStyle name="Финансовый 2 3 2 4 6 3" xfId="840"/>
    <cellStyle name="Финансовый 2 3 2 4 6 4" xfId="841"/>
    <cellStyle name="Финансовый 2 3 2 4 7" xfId="842"/>
    <cellStyle name="Финансовый 2 3 2 4 7 2" xfId="843"/>
    <cellStyle name="Финансовый 2 3 2 4 7 2 2" xfId="844"/>
    <cellStyle name="Финансовый 2 3 2 4 7 2 3" xfId="845"/>
    <cellStyle name="Финансовый 2 3 2 4 7 3" xfId="846"/>
    <cellStyle name="Финансовый 2 3 2 4 7 4" xfId="847"/>
    <cellStyle name="Финансовый 2 3 2 4 8" xfId="848"/>
    <cellStyle name="Финансовый 2 3 2 4 8 2" xfId="849"/>
    <cellStyle name="Финансовый 2 3 2 4 8 2 2" xfId="850"/>
    <cellStyle name="Финансовый 2 3 2 4 8 2 3" xfId="851"/>
    <cellStyle name="Финансовый 2 3 2 4 8 3" xfId="852"/>
    <cellStyle name="Финансовый 2 3 2 4 8 4" xfId="853"/>
    <cellStyle name="Финансовый 2 3 2 4 9" xfId="854"/>
    <cellStyle name="Финансовый 2 3 2 4 9 2" xfId="855"/>
    <cellStyle name="Финансовый 2 3 2 4 9 3" xfId="856"/>
    <cellStyle name="Финансовый 2 3 2 5" xfId="857"/>
    <cellStyle name="Финансовый 2 3 2 5 2" xfId="858"/>
    <cellStyle name="Финансовый 2 3 2 5 2 2" xfId="859"/>
    <cellStyle name="Финансовый 2 3 2 5 2 2 2" xfId="860"/>
    <cellStyle name="Финансовый 2 3 2 5 2 2 2 2" xfId="861"/>
    <cellStyle name="Финансовый 2 3 2 5 2 2 2 3" xfId="862"/>
    <cellStyle name="Финансовый 2 3 2 5 2 2 3" xfId="863"/>
    <cellStyle name="Финансовый 2 3 2 5 2 2 4" xfId="864"/>
    <cellStyle name="Финансовый 2 3 2 5 2 3" xfId="865"/>
    <cellStyle name="Финансовый 2 3 2 5 2 3 2" xfId="866"/>
    <cellStyle name="Финансовый 2 3 2 5 2 3 3" xfId="867"/>
    <cellStyle name="Финансовый 2 3 2 5 2 4" xfId="868"/>
    <cellStyle name="Финансовый 2 3 2 5 2 5" xfId="869"/>
    <cellStyle name="Финансовый 2 3 2 5 3" xfId="870"/>
    <cellStyle name="Финансовый 2 3 2 5 3 2" xfId="871"/>
    <cellStyle name="Финансовый 2 3 2 5 3 2 2" xfId="872"/>
    <cellStyle name="Финансовый 2 3 2 5 3 2 2 2" xfId="873"/>
    <cellStyle name="Финансовый 2 3 2 5 3 2 2 3" xfId="874"/>
    <cellStyle name="Финансовый 2 3 2 5 3 2 3" xfId="875"/>
    <cellStyle name="Финансовый 2 3 2 5 3 2 4" xfId="876"/>
    <cellStyle name="Финансовый 2 3 2 5 3 3" xfId="877"/>
    <cellStyle name="Финансовый 2 3 2 5 3 3 2" xfId="878"/>
    <cellStyle name="Финансовый 2 3 2 5 3 3 3" xfId="879"/>
    <cellStyle name="Финансовый 2 3 2 5 3 4" xfId="880"/>
    <cellStyle name="Финансовый 2 3 2 5 3 5" xfId="881"/>
    <cellStyle name="Финансовый 2 3 2 5 4" xfId="882"/>
    <cellStyle name="Финансовый 2 3 2 5 4 2" xfId="883"/>
    <cellStyle name="Финансовый 2 3 2 5 4 2 2" xfId="884"/>
    <cellStyle name="Финансовый 2 3 2 5 4 2 3" xfId="885"/>
    <cellStyle name="Финансовый 2 3 2 5 4 3" xfId="886"/>
    <cellStyle name="Финансовый 2 3 2 5 4 4" xfId="887"/>
    <cellStyle name="Финансовый 2 3 2 5 5" xfId="888"/>
    <cellStyle name="Финансовый 2 3 2 5 5 2" xfId="889"/>
    <cellStyle name="Финансовый 2 3 2 5 5 3" xfId="890"/>
    <cellStyle name="Финансовый 2 3 2 5 6" xfId="891"/>
    <cellStyle name="Финансовый 2 3 2 5 7" xfId="892"/>
    <cellStyle name="Финансовый 2 3 2 5 8" xfId="893"/>
    <cellStyle name="Финансовый 2 3 2 6" xfId="894"/>
    <cellStyle name="Финансовый 2 3 2 6 2" xfId="895"/>
    <cellStyle name="Финансовый 2 3 2 6 2 2" xfId="896"/>
    <cellStyle name="Финансовый 2 3 2 6 2 2 2" xfId="897"/>
    <cellStyle name="Финансовый 2 3 2 6 2 2 3" xfId="898"/>
    <cellStyle name="Финансовый 2 3 2 6 2 3" xfId="899"/>
    <cellStyle name="Финансовый 2 3 2 6 2 4" xfId="900"/>
    <cellStyle name="Финансовый 2 3 2 6 3" xfId="901"/>
    <cellStyle name="Финансовый 2 3 2 6 3 2" xfId="902"/>
    <cellStyle name="Финансовый 2 3 2 6 3 3" xfId="903"/>
    <cellStyle name="Финансовый 2 3 2 6 4" xfId="904"/>
    <cellStyle name="Финансовый 2 3 2 6 5" xfId="905"/>
    <cellStyle name="Финансовый 2 3 2 7" xfId="906"/>
    <cellStyle name="Финансовый 2 3 2 7 2" xfId="907"/>
    <cellStyle name="Финансовый 2 3 2 7 2 2" xfId="908"/>
    <cellStyle name="Финансовый 2 3 2 7 2 2 2" xfId="909"/>
    <cellStyle name="Финансовый 2 3 2 7 2 2 3" xfId="910"/>
    <cellStyle name="Финансовый 2 3 2 7 2 3" xfId="911"/>
    <cellStyle name="Финансовый 2 3 2 7 2 4" xfId="912"/>
    <cellStyle name="Финансовый 2 3 2 7 3" xfId="913"/>
    <cellStyle name="Финансовый 2 3 2 7 3 2" xfId="914"/>
    <cellStyle name="Финансовый 2 3 2 7 3 3" xfId="915"/>
    <cellStyle name="Финансовый 2 3 2 7 4" xfId="916"/>
    <cellStyle name="Финансовый 2 3 2 7 5" xfId="917"/>
    <cellStyle name="Финансовый 2 3 2 8" xfId="918"/>
    <cellStyle name="Финансовый 2 3 2 8 2" xfId="919"/>
    <cellStyle name="Финансовый 2 3 2 8 2 2" xfId="920"/>
    <cellStyle name="Финансовый 2 3 2 8 2 3" xfId="921"/>
    <cellStyle name="Финансовый 2 3 2 8 3" xfId="922"/>
    <cellStyle name="Финансовый 2 3 2 8 4" xfId="923"/>
    <cellStyle name="Финансовый 2 3 2 9" xfId="924"/>
    <cellStyle name="Финансовый 2 3 2 9 2" xfId="925"/>
    <cellStyle name="Финансовый 2 3 2 9 2 2" xfId="926"/>
    <cellStyle name="Финансовый 2 3 2 9 2 3" xfId="927"/>
    <cellStyle name="Финансовый 2 3 2 9 3" xfId="928"/>
    <cellStyle name="Финансовый 2 3 2 9 4" xfId="929"/>
    <cellStyle name="Финансовый 2 3 3" xfId="930"/>
    <cellStyle name="Финансовый 2 3 3 10" xfId="931"/>
    <cellStyle name="Финансовый 2 3 3 10 2" xfId="932"/>
    <cellStyle name="Финансовый 2 3 3 10 3" xfId="933"/>
    <cellStyle name="Финансовый 2 3 3 11" xfId="934"/>
    <cellStyle name="Финансовый 2 3 3 12" xfId="935"/>
    <cellStyle name="Финансовый 2 3 3 13" xfId="936"/>
    <cellStyle name="Финансовый 2 3 3 14" xfId="937"/>
    <cellStyle name="Финансовый 2 3 3 2" xfId="938"/>
    <cellStyle name="Финансовый 2 3 3 2 10" xfId="939"/>
    <cellStyle name="Финансовый 2 3 3 2 11" xfId="940"/>
    <cellStyle name="Финансовый 2 3 3 2 12" xfId="941"/>
    <cellStyle name="Финансовый 2 3 3 2 13" xfId="942"/>
    <cellStyle name="Финансовый 2 3 3 2 2" xfId="943"/>
    <cellStyle name="Финансовый 2 3 3 2 2 2" xfId="944"/>
    <cellStyle name="Финансовый 2 3 3 2 2 2 2" xfId="945"/>
    <cellStyle name="Финансовый 2 3 3 2 2 2 2 2" xfId="946"/>
    <cellStyle name="Финансовый 2 3 3 2 2 2 2 2 2" xfId="947"/>
    <cellStyle name="Финансовый 2 3 3 2 2 2 2 2 3" xfId="948"/>
    <cellStyle name="Финансовый 2 3 3 2 2 2 2 3" xfId="949"/>
    <cellStyle name="Финансовый 2 3 3 2 2 2 2 4" xfId="950"/>
    <cellStyle name="Финансовый 2 3 3 2 2 2 3" xfId="951"/>
    <cellStyle name="Финансовый 2 3 3 2 2 2 3 2" xfId="952"/>
    <cellStyle name="Финансовый 2 3 3 2 2 2 3 3" xfId="953"/>
    <cellStyle name="Финансовый 2 3 3 2 2 2 4" xfId="954"/>
    <cellStyle name="Финансовый 2 3 3 2 2 2 5" xfId="955"/>
    <cellStyle name="Финансовый 2 3 3 2 2 3" xfId="956"/>
    <cellStyle name="Финансовый 2 3 3 2 2 3 2" xfId="957"/>
    <cellStyle name="Финансовый 2 3 3 2 2 3 2 2" xfId="958"/>
    <cellStyle name="Финансовый 2 3 3 2 2 3 2 2 2" xfId="959"/>
    <cellStyle name="Финансовый 2 3 3 2 2 3 2 2 3" xfId="960"/>
    <cellStyle name="Финансовый 2 3 3 2 2 3 2 3" xfId="961"/>
    <cellStyle name="Финансовый 2 3 3 2 2 3 2 4" xfId="962"/>
    <cellStyle name="Финансовый 2 3 3 2 2 3 3" xfId="963"/>
    <cellStyle name="Финансовый 2 3 3 2 2 3 3 2" xfId="964"/>
    <cellStyle name="Финансовый 2 3 3 2 2 3 3 3" xfId="965"/>
    <cellStyle name="Финансовый 2 3 3 2 2 3 4" xfId="966"/>
    <cellStyle name="Финансовый 2 3 3 2 2 3 5" xfId="967"/>
    <cellStyle name="Финансовый 2 3 3 2 2 4" xfId="968"/>
    <cellStyle name="Финансовый 2 3 3 2 2 4 2" xfId="969"/>
    <cellStyle name="Финансовый 2 3 3 2 2 4 2 2" xfId="970"/>
    <cellStyle name="Финансовый 2 3 3 2 2 4 2 3" xfId="971"/>
    <cellStyle name="Финансовый 2 3 3 2 2 4 3" xfId="972"/>
    <cellStyle name="Финансовый 2 3 3 2 2 4 4" xfId="973"/>
    <cellStyle name="Финансовый 2 3 3 2 2 5" xfId="974"/>
    <cellStyle name="Финансовый 2 3 3 2 2 5 2" xfId="975"/>
    <cellStyle name="Финансовый 2 3 3 2 2 5 3" xfId="976"/>
    <cellStyle name="Финансовый 2 3 3 2 2 6" xfId="977"/>
    <cellStyle name="Финансовый 2 3 3 2 2 7" xfId="978"/>
    <cellStyle name="Финансовый 2 3 3 2 2 8" xfId="979"/>
    <cellStyle name="Финансовый 2 3 3 2 3" xfId="980"/>
    <cellStyle name="Финансовый 2 3 3 2 3 2" xfId="981"/>
    <cellStyle name="Финансовый 2 3 3 2 3 2 2" xfId="982"/>
    <cellStyle name="Финансовый 2 3 3 2 3 2 2 2" xfId="983"/>
    <cellStyle name="Финансовый 2 3 3 2 3 2 2 3" xfId="984"/>
    <cellStyle name="Финансовый 2 3 3 2 3 2 3" xfId="985"/>
    <cellStyle name="Финансовый 2 3 3 2 3 2 4" xfId="986"/>
    <cellStyle name="Финансовый 2 3 3 2 3 3" xfId="987"/>
    <cellStyle name="Финансовый 2 3 3 2 3 3 2" xfId="988"/>
    <cellStyle name="Финансовый 2 3 3 2 3 3 3" xfId="989"/>
    <cellStyle name="Финансовый 2 3 3 2 3 4" xfId="990"/>
    <cellStyle name="Финансовый 2 3 3 2 3 5" xfId="991"/>
    <cellStyle name="Финансовый 2 3 3 2 4" xfId="992"/>
    <cellStyle name="Финансовый 2 3 3 2 4 2" xfId="993"/>
    <cellStyle name="Финансовый 2 3 3 2 4 2 2" xfId="994"/>
    <cellStyle name="Финансовый 2 3 3 2 4 2 2 2" xfId="995"/>
    <cellStyle name="Финансовый 2 3 3 2 4 2 2 3" xfId="996"/>
    <cellStyle name="Финансовый 2 3 3 2 4 2 3" xfId="997"/>
    <cellStyle name="Финансовый 2 3 3 2 4 2 4" xfId="998"/>
    <cellStyle name="Финансовый 2 3 3 2 4 3" xfId="999"/>
    <cellStyle name="Финансовый 2 3 3 2 4 3 2" xfId="1000"/>
    <cellStyle name="Финансовый 2 3 3 2 4 3 3" xfId="1001"/>
    <cellStyle name="Финансовый 2 3 3 2 4 4" xfId="1002"/>
    <cellStyle name="Финансовый 2 3 3 2 4 5" xfId="1003"/>
    <cellStyle name="Финансовый 2 3 3 2 5" xfId="1004"/>
    <cellStyle name="Финансовый 2 3 3 2 5 2" xfId="1005"/>
    <cellStyle name="Финансовый 2 3 3 2 5 2 2" xfId="1006"/>
    <cellStyle name="Финансовый 2 3 3 2 5 2 3" xfId="1007"/>
    <cellStyle name="Финансовый 2 3 3 2 5 3" xfId="1008"/>
    <cellStyle name="Финансовый 2 3 3 2 5 4" xfId="1009"/>
    <cellStyle name="Финансовый 2 3 3 2 6" xfId="1010"/>
    <cellStyle name="Финансовый 2 3 3 2 6 2" xfId="1011"/>
    <cellStyle name="Финансовый 2 3 3 2 6 2 2" xfId="1012"/>
    <cellStyle name="Финансовый 2 3 3 2 6 2 3" xfId="1013"/>
    <cellStyle name="Финансовый 2 3 3 2 6 3" xfId="1014"/>
    <cellStyle name="Финансовый 2 3 3 2 6 4" xfId="1015"/>
    <cellStyle name="Финансовый 2 3 3 2 7" xfId="1016"/>
    <cellStyle name="Финансовый 2 3 3 2 7 2" xfId="1017"/>
    <cellStyle name="Финансовый 2 3 3 2 7 2 2" xfId="1018"/>
    <cellStyle name="Финансовый 2 3 3 2 7 2 3" xfId="1019"/>
    <cellStyle name="Финансовый 2 3 3 2 7 3" xfId="1020"/>
    <cellStyle name="Финансовый 2 3 3 2 7 4" xfId="1021"/>
    <cellStyle name="Финансовый 2 3 3 2 8" xfId="1022"/>
    <cellStyle name="Финансовый 2 3 3 2 8 2" xfId="1023"/>
    <cellStyle name="Финансовый 2 3 3 2 8 2 2" xfId="1024"/>
    <cellStyle name="Финансовый 2 3 3 2 8 2 3" xfId="1025"/>
    <cellStyle name="Финансовый 2 3 3 2 8 3" xfId="1026"/>
    <cellStyle name="Финансовый 2 3 3 2 8 4" xfId="1027"/>
    <cellStyle name="Финансовый 2 3 3 2 9" xfId="1028"/>
    <cellStyle name="Финансовый 2 3 3 2 9 2" xfId="1029"/>
    <cellStyle name="Финансовый 2 3 3 2 9 3" xfId="1030"/>
    <cellStyle name="Финансовый 2 3 3 3" xfId="1031"/>
    <cellStyle name="Финансовый 2 3 3 3 2" xfId="1032"/>
    <cellStyle name="Финансовый 2 3 3 3 2 2" xfId="1033"/>
    <cellStyle name="Финансовый 2 3 3 3 2 2 2" xfId="1034"/>
    <cellStyle name="Финансовый 2 3 3 3 2 2 2 2" xfId="1035"/>
    <cellStyle name="Финансовый 2 3 3 3 2 2 2 3" xfId="1036"/>
    <cellStyle name="Финансовый 2 3 3 3 2 2 3" xfId="1037"/>
    <cellStyle name="Финансовый 2 3 3 3 2 2 4" xfId="1038"/>
    <cellStyle name="Финансовый 2 3 3 3 2 3" xfId="1039"/>
    <cellStyle name="Финансовый 2 3 3 3 2 3 2" xfId="1040"/>
    <cellStyle name="Финансовый 2 3 3 3 2 3 3" xfId="1041"/>
    <cellStyle name="Финансовый 2 3 3 3 2 4" xfId="1042"/>
    <cellStyle name="Финансовый 2 3 3 3 2 5" xfId="1043"/>
    <cellStyle name="Финансовый 2 3 3 3 3" xfId="1044"/>
    <cellStyle name="Финансовый 2 3 3 3 3 2" xfId="1045"/>
    <cellStyle name="Финансовый 2 3 3 3 3 2 2" xfId="1046"/>
    <cellStyle name="Финансовый 2 3 3 3 3 2 2 2" xfId="1047"/>
    <cellStyle name="Финансовый 2 3 3 3 3 2 2 3" xfId="1048"/>
    <cellStyle name="Финансовый 2 3 3 3 3 2 3" xfId="1049"/>
    <cellStyle name="Финансовый 2 3 3 3 3 2 4" xfId="1050"/>
    <cellStyle name="Финансовый 2 3 3 3 3 3" xfId="1051"/>
    <cellStyle name="Финансовый 2 3 3 3 3 3 2" xfId="1052"/>
    <cellStyle name="Финансовый 2 3 3 3 3 3 3" xfId="1053"/>
    <cellStyle name="Финансовый 2 3 3 3 3 4" xfId="1054"/>
    <cellStyle name="Финансовый 2 3 3 3 3 5" xfId="1055"/>
    <cellStyle name="Финансовый 2 3 3 3 4" xfId="1056"/>
    <cellStyle name="Финансовый 2 3 3 3 4 2" xfId="1057"/>
    <cellStyle name="Финансовый 2 3 3 3 4 2 2" xfId="1058"/>
    <cellStyle name="Финансовый 2 3 3 3 4 2 3" xfId="1059"/>
    <cellStyle name="Финансовый 2 3 3 3 4 3" xfId="1060"/>
    <cellStyle name="Финансовый 2 3 3 3 4 4" xfId="1061"/>
    <cellStyle name="Финансовый 2 3 3 3 5" xfId="1062"/>
    <cellStyle name="Финансовый 2 3 3 3 5 2" xfId="1063"/>
    <cellStyle name="Финансовый 2 3 3 3 5 3" xfId="1064"/>
    <cellStyle name="Финансовый 2 3 3 3 6" xfId="1065"/>
    <cellStyle name="Финансовый 2 3 3 3 7" xfId="1066"/>
    <cellStyle name="Финансовый 2 3 3 3 8" xfId="1067"/>
    <cellStyle name="Финансовый 2 3 3 4" xfId="1068"/>
    <cellStyle name="Финансовый 2 3 3 4 2" xfId="1069"/>
    <cellStyle name="Финансовый 2 3 3 4 2 2" xfId="1070"/>
    <cellStyle name="Финансовый 2 3 3 4 2 2 2" xfId="1071"/>
    <cellStyle name="Финансовый 2 3 3 4 2 2 3" xfId="1072"/>
    <cellStyle name="Финансовый 2 3 3 4 2 3" xfId="1073"/>
    <cellStyle name="Финансовый 2 3 3 4 2 4" xfId="1074"/>
    <cellStyle name="Финансовый 2 3 3 4 3" xfId="1075"/>
    <cellStyle name="Финансовый 2 3 3 4 3 2" xfId="1076"/>
    <cellStyle name="Финансовый 2 3 3 4 3 3" xfId="1077"/>
    <cellStyle name="Финансовый 2 3 3 4 4" xfId="1078"/>
    <cellStyle name="Финансовый 2 3 3 4 5" xfId="1079"/>
    <cellStyle name="Финансовый 2 3 3 5" xfId="1080"/>
    <cellStyle name="Финансовый 2 3 3 5 2" xfId="1081"/>
    <cellStyle name="Финансовый 2 3 3 5 2 2" xfId="1082"/>
    <cellStyle name="Финансовый 2 3 3 5 2 2 2" xfId="1083"/>
    <cellStyle name="Финансовый 2 3 3 5 2 2 3" xfId="1084"/>
    <cellStyle name="Финансовый 2 3 3 5 2 3" xfId="1085"/>
    <cellStyle name="Финансовый 2 3 3 5 2 4" xfId="1086"/>
    <cellStyle name="Финансовый 2 3 3 5 3" xfId="1087"/>
    <cellStyle name="Финансовый 2 3 3 5 3 2" xfId="1088"/>
    <cellStyle name="Финансовый 2 3 3 5 3 3" xfId="1089"/>
    <cellStyle name="Финансовый 2 3 3 5 4" xfId="1090"/>
    <cellStyle name="Финансовый 2 3 3 5 5" xfId="1091"/>
    <cellStyle name="Финансовый 2 3 3 6" xfId="1092"/>
    <cellStyle name="Финансовый 2 3 3 6 2" xfId="1093"/>
    <cellStyle name="Финансовый 2 3 3 6 2 2" xfId="1094"/>
    <cellStyle name="Финансовый 2 3 3 6 2 3" xfId="1095"/>
    <cellStyle name="Финансовый 2 3 3 6 3" xfId="1096"/>
    <cellStyle name="Финансовый 2 3 3 6 4" xfId="1097"/>
    <cellStyle name="Финансовый 2 3 3 7" xfId="1098"/>
    <cellStyle name="Финансовый 2 3 3 7 2" xfId="1099"/>
    <cellStyle name="Финансовый 2 3 3 7 2 2" xfId="1100"/>
    <cellStyle name="Финансовый 2 3 3 7 2 3" xfId="1101"/>
    <cellStyle name="Финансовый 2 3 3 7 3" xfId="1102"/>
    <cellStyle name="Финансовый 2 3 3 7 4" xfId="1103"/>
    <cellStyle name="Финансовый 2 3 3 8" xfId="1104"/>
    <cellStyle name="Финансовый 2 3 3 8 2" xfId="1105"/>
    <cellStyle name="Финансовый 2 3 3 8 2 2" xfId="1106"/>
    <cellStyle name="Финансовый 2 3 3 8 2 3" xfId="1107"/>
    <cellStyle name="Финансовый 2 3 3 8 3" xfId="1108"/>
    <cellStyle name="Финансовый 2 3 3 8 4" xfId="1109"/>
    <cellStyle name="Финансовый 2 3 3 9" xfId="1110"/>
    <cellStyle name="Финансовый 2 3 3 9 2" xfId="1111"/>
    <cellStyle name="Финансовый 2 3 3 9 2 2" xfId="1112"/>
    <cellStyle name="Финансовый 2 3 3 9 2 3" xfId="1113"/>
    <cellStyle name="Финансовый 2 3 3 9 3" xfId="1114"/>
    <cellStyle name="Финансовый 2 3 3 9 4" xfId="1115"/>
    <cellStyle name="Финансовый 2 3 4" xfId="1116"/>
    <cellStyle name="Финансовый 2 3 4 10" xfId="1117"/>
    <cellStyle name="Финансовый 2 3 4 11" xfId="1118"/>
    <cellStyle name="Финансовый 2 3 4 12" xfId="1119"/>
    <cellStyle name="Финансовый 2 3 4 13" xfId="1120"/>
    <cellStyle name="Финансовый 2 3 4 2" xfId="1121"/>
    <cellStyle name="Финансовый 2 3 4 2 2" xfId="1122"/>
    <cellStyle name="Финансовый 2 3 4 2 2 2" xfId="1123"/>
    <cellStyle name="Финансовый 2 3 4 2 2 2 2" xfId="1124"/>
    <cellStyle name="Финансовый 2 3 4 2 2 2 2 2" xfId="1125"/>
    <cellStyle name="Финансовый 2 3 4 2 2 2 2 3" xfId="1126"/>
    <cellStyle name="Финансовый 2 3 4 2 2 2 3" xfId="1127"/>
    <cellStyle name="Финансовый 2 3 4 2 2 2 4" xfId="1128"/>
    <cellStyle name="Финансовый 2 3 4 2 2 3" xfId="1129"/>
    <cellStyle name="Финансовый 2 3 4 2 2 3 2" xfId="1130"/>
    <cellStyle name="Финансовый 2 3 4 2 2 3 3" xfId="1131"/>
    <cellStyle name="Финансовый 2 3 4 2 2 4" xfId="1132"/>
    <cellStyle name="Финансовый 2 3 4 2 2 5" xfId="1133"/>
    <cellStyle name="Финансовый 2 3 4 2 3" xfId="1134"/>
    <cellStyle name="Финансовый 2 3 4 2 3 2" xfId="1135"/>
    <cellStyle name="Финансовый 2 3 4 2 3 2 2" xfId="1136"/>
    <cellStyle name="Финансовый 2 3 4 2 3 2 2 2" xfId="1137"/>
    <cellStyle name="Финансовый 2 3 4 2 3 2 2 3" xfId="1138"/>
    <cellStyle name="Финансовый 2 3 4 2 3 2 3" xfId="1139"/>
    <cellStyle name="Финансовый 2 3 4 2 3 2 4" xfId="1140"/>
    <cellStyle name="Финансовый 2 3 4 2 3 3" xfId="1141"/>
    <cellStyle name="Финансовый 2 3 4 2 3 3 2" xfId="1142"/>
    <cellStyle name="Финансовый 2 3 4 2 3 3 3" xfId="1143"/>
    <cellStyle name="Финансовый 2 3 4 2 3 4" xfId="1144"/>
    <cellStyle name="Финансовый 2 3 4 2 3 5" xfId="1145"/>
    <cellStyle name="Финансовый 2 3 4 2 4" xfId="1146"/>
    <cellStyle name="Финансовый 2 3 4 2 4 2" xfId="1147"/>
    <cellStyle name="Финансовый 2 3 4 2 4 2 2" xfId="1148"/>
    <cellStyle name="Финансовый 2 3 4 2 4 2 3" xfId="1149"/>
    <cellStyle name="Финансовый 2 3 4 2 4 3" xfId="1150"/>
    <cellStyle name="Финансовый 2 3 4 2 4 4" xfId="1151"/>
    <cellStyle name="Финансовый 2 3 4 2 5" xfId="1152"/>
    <cellStyle name="Финансовый 2 3 4 2 5 2" xfId="1153"/>
    <cellStyle name="Финансовый 2 3 4 2 5 3" xfId="1154"/>
    <cellStyle name="Финансовый 2 3 4 2 6" xfId="1155"/>
    <cellStyle name="Финансовый 2 3 4 2 7" xfId="1156"/>
    <cellStyle name="Финансовый 2 3 4 2 8" xfId="1157"/>
    <cellStyle name="Финансовый 2 3 4 3" xfId="1158"/>
    <cellStyle name="Финансовый 2 3 4 3 2" xfId="1159"/>
    <cellStyle name="Финансовый 2 3 4 3 2 2" xfId="1160"/>
    <cellStyle name="Финансовый 2 3 4 3 2 2 2" xfId="1161"/>
    <cellStyle name="Финансовый 2 3 4 3 2 2 3" xfId="1162"/>
    <cellStyle name="Финансовый 2 3 4 3 2 3" xfId="1163"/>
    <cellStyle name="Финансовый 2 3 4 3 2 4" xfId="1164"/>
    <cellStyle name="Финансовый 2 3 4 3 3" xfId="1165"/>
    <cellStyle name="Финансовый 2 3 4 3 3 2" xfId="1166"/>
    <cellStyle name="Финансовый 2 3 4 3 3 3" xfId="1167"/>
    <cellStyle name="Финансовый 2 3 4 3 4" xfId="1168"/>
    <cellStyle name="Финансовый 2 3 4 3 5" xfId="1169"/>
    <cellStyle name="Финансовый 2 3 4 4" xfId="1170"/>
    <cellStyle name="Финансовый 2 3 4 4 2" xfId="1171"/>
    <cellStyle name="Финансовый 2 3 4 4 2 2" xfId="1172"/>
    <cellStyle name="Финансовый 2 3 4 4 2 2 2" xfId="1173"/>
    <cellStyle name="Финансовый 2 3 4 4 2 2 3" xfId="1174"/>
    <cellStyle name="Финансовый 2 3 4 4 2 3" xfId="1175"/>
    <cellStyle name="Финансовый 2 3 4 4 2 4" xfId="1176"/>
    <cellStyle name="Финансовый 2 3 4 4 3" xfId="1177"/>
    <cellStyle name="Финансовый 2 3 4 4 3 2" xfId="1178"/>
    <cellStyle name="Финансовый 2 3 4 4 3 3" xfId="1179"/>
    <cellStyle name="Финансовый 2 3 4 4 4" xfId="1180"/>
    <cellStyle name="Финансовый 2 3 4 4 5" xfId="1181"/>
    <cellStyle name="Финансовый 2 3 4 5" xfId="1182"/>
    <cellStyle name="Финансовый 2 3 4 5 2" xfId="1183"/>
    <cellStyle name="Финансовый 2 3 4 5 2 2" xfId="1184"/>
    <cellStyle name="Финансовый 2 3 4 5 2 3" xfId="1185"/>
    <cellStyle name="Финансовый 2 3 4 5 3" xfId="1186"/>
    <cellStyle name="Финансовый 2 3 4 5 4" xfId="1187"/>
    <cellStyle name="Финансовый 2 3 4 6" xfId="1188"/>
    <cellStyle name="Финансовый 2 3 4 6 2" xfId="1189"/>
    <cellStyle name="Финансовый 2 3 4 6 2 2" xfId="1190"/>
    <cellStyle name="Финансовый 2 3 4 6 2 3" xfId="1191"/>
    <cellStyle name="Финансовый 2 3 4 6 3" xfId="1192"/>
    <cellStyle name="Финансовый 2 3 4 6 4" xfId="1193"/>
    <cellStyle name="Финансовый 2 3 4 7" xfId="1194"/>
    <cellStyle name="Финансовый 2 3 4 7 2" xfId="1195"/>
    <cellStyle name="Финансовый 2 3 4 7 2 2" xfId="1196"/>
    <cellStyle name="Финансовый 2 3 4 7 2 3" xfId="1197"/>
    <cellStyle name="Финансовый 2 3 4 7 3" xfId="1198"/>
    <cellStyle name="Финансовый 2 3 4 7 4" xfId="1199"/>
    <cellStyle name="Финансовый 2 3 4 8" xfId="1200"/>
    <cellStyle name="Финансовый 2 3 4 8 2" xfId="1201"/>
    <cellStyle name="Финансовый 2 3 4 8 2 2" xfId="1202"/>
    <cellStyle name="Финансовый 2 3 4 8 2 3" xfId="1203"/>
    <cellStyle name="Финансовый 2 3 4 8 3" xfId="1204"/>
    <cellStyle name="Финансовый 2 3 4 8 4" xfId="1205"/>
    <cellStyle name="Финансовый 2 3 4 9" xfId="1206"/>
    <cellStyle name="Финансовый 2 3 4 9 2" xfId="1207"/>
    <cellStyle name="Финансовый 2 3 4 9 3" xfId="1208"/>
    <cellStyle name="Финансовый 2 3 5" xfId="1209"/>
    <cellStyle name="Финансовый 2 3 5 10" xfId="1210"/>
    <cellStyle name="Финансовый 2 3 5 11" xfId="1211"/>
    <cellStyle name="Финансовый 2 3 5 12" xfId="1212"/>
    <cellStyle name="Финансовый 2 3 5 13" xfId="1213"/>
    <cellStyle name="Финансовый 2 3 5 2" xfId="1214"/>
    <cellStyle name="Финансовый 2 3 5 2 2" xfId="1215"/>
    <cellStyle name="Финансовый 2 3 5 2 2 2" xfId="1216"/>
    <cellStyle name="Финансовый 2 3 5 2 2 2 2" xfId="1217"/>
    <cellStyle name="Финансовый 2 3 5 2 2 2 2 2" xfId="1218"/>
    <cellStyle name="Финансовый 2 3 5 2 2 2 2 3" xfId="1219"/>
    <cellStyle name="Финансовый 2 3 5 2 2 2 3" xfId="1220"/>
    <cellStyle name="Финансовый 2 3 5 2 2 2 4" xfId="1221"/>
    <cellStyle name="Финансовый 2 3 5 2 2 3" xfId="1222"/>
    <cellStyle name="Финансовый 2 3 5 2 2 3 2" xfId="1223"/>
    <cellStyle name="Финансовый 2 3 5 2 2 3 3" xfId="1224"/>
    <cellStyle name="Финансовый 2 3 5 2 2 4" xfId="1225"/>
    <cellStyle name="Финансовый 2 3 5 2 2 5" xfId="1226"/>
    <cellStyle name="Финансовый 2 3 5 2 3" xfId="1227"/>
    <cellStyle name="Финансовый 2 3 5 2 3 2" xfId="1228"/>
    <cellStyle name="Финансовый 2 3 5 2 3 2 2" xfId="1229"/>
    <cellStyle name="Финансовый 2 3 5 2 3 2 2 2" xfId="1230"/>
    <cellStyle name="Финансовый 2 3 5 2 3 2 2 3" xfId="1231"/>
    <cellStyle name="Финансовый 2 3 5 2 3 2 3" xfId="1232"/>
    <cellStyle name="Финансовый 2 3 5 2 3 2 4" xfId="1233"/>
    <cellStyle name="Финансовый 2 3 5 2 3 3" xfId="1234"/>
    <cellStyle name="Финансовый 2 3 5 2 3 3 2" xfId="1235"/>
    <cellStyle name="Финансовый 2 3 5 2 3 3 3" xfId="1236"/>
    <cellStyle name="Финансовый 2 3 5 2 3 4" xfId="1237"/>
    <cellStyle name="Финансовый 2 3 5 2 3 5" xfId="1238"/>
    <cellStyle name="Финансовый 2 3 5 2 4" xfId="1239"/>
    <cellStyle name="Финансовый 2 3 5 2 4 2" xfId="1240"/>
    <cellStyle name="Финансовый 2 3 5 2 4 2 2" xfId="1241"/>
    <cellStyle name="Финансовый 2 3 5 2 4 2 3" xfId="1242"/>
    <cellStyle name="Финансовый 2 3 5 2 4 3" xfId="1243"/>
    <cellStyle name="Финансовый 2 3 5 2 4 4" xfId="1244"/>
    <cellStyle name="Финансовый 2 3 5 2 5" xfId="1245"/>
    <cellStyle name="Финансовый 2 3 5 2 5 2" xfId="1246"/>
    <cellStyle name="Финансовый 2 3 5 2 5 3" xfId="1247"/>
    <cellStyle name="Финансовый 2 3 5 2 6" xfId="1248"/>
    <cellStyle name="Финансовый 2 3 5 2 7" xfId="1249"/>
    <cellStyle name="Финансовый 2 3 5 2 8" xfId="1250"/>
    <cellStyle name="Финансовый 2 3 5 3" xfId="1251"/>
    <cellStyle name="Финансовый 2 3 5 3 2" xfId="1252"/>
    <cellStyle name="Финансовый 2 3 5 3 2 2" xfId="1253"/>
    <cellStyle name="Финансовый 2 3 5 3 2 2 2" xfId="1254"/>
    <cellStyle name="Финансовый 2 3 5 3 2 2 3" xfId="1255"/>
    <cellStyle name="Финансовый 2 3 5 3 2 3" xfId="1256"/>
    <cellStyle name="Финансовый 2 3 5 3 2 4" xfId="1257"/>
    <cellStyle name="Финансовый 2 3 5 3 3" xfId="1258"/>
    <cellStyle name="Финансовый 2 3 5 3 3 2" xfId="1259"/>
    <cellStyle name="Финансовый 2 3 5 3 3 3" xfId="1260"/>
    <cellStyle name="Финансовый 2 3 5 3 4" xfId="1261"/>
    <cellStyle name="Финансовый 2 3 5 3 5" xfId="1262"/>
    <cellStyle name="Финансовый 2 3 5 4" xfId="1263"/>
    <cellStyle name="Финансовый 2 3 5 4 2" xfId="1264"/>
    <cellStyle name="Финансовый 2 3 5 4 2 2" xfId="1265"/>
    <cellStyle name="Финансовый 2 3 5 4 2 2 2" xfId="1266"/>
    <cellStyle name="Финансовый 2 3 5 4 2 2 3" xfId="1267"/>
    <cellStyle name="Финансовый 2 3 5 4 2 3" xfId="1268"/>
    <cellStyle name="Финансовый 2 3 5 4 2 4" xfId="1269"/>
    <cellStyle name="Финансовый 2 3 5 4 3" xfId="1270"/>
    <cellStyle name="Финансовый 2 3 5 4 3 2" xfId="1271"/>
    <cellStyle name="Финансовый 2 3 5 4 3 3" xfId="1272"/>
    <cellStyle name="Финансовый 2 3 5 4 4" xfId="1273"/>
    <cellStyle name="Финансовый 2 3 5 4 5" xfId="1274"/>
    <cellStyle name="Финансовый 2 3 5 5" xfId="1275"/>
    <cellStyle name="Финансовый 2 3 5 5 2" xfId="1276"/>
    <cellStyle name="Финансовый 2 3 5 5 2 2" xfId="1277"/>
    <cellStyle name="Финансовый 2 3 5 5 2 3" xfId="1278"/>
    <cellStyle name="Финансовый 2 3 5 5 3" xfId="1279"/>
    <cellStyle name="Финансовый 2 3 5 5 4" xfId="1280"/>
    <cellStyle name="Финансовый 2 3 5 6" xfId="1281"/>
    <cellStyle name="Финансовый 2 3 5 6 2" xfId="1282"/>
    <cellStyle name="Финансовый 2 3 5 6 2 2" xfId="1283"/>
    <cellStyle name="Финансовый 2 3 5 6 2 3" xfId="1284"/>
    <cellStyle name="Финансовый 2 3 5 6 3" xfId="1285"/>
    <cellStyle name="Финансовый 2 3 5 6 4" xfId="1286"/>
    <cellStyle name="Финансовый 2 3 5 7" xfId="1287"/>
    <cellStyle name="Финансовый 2 3 5 7 2" xfId="1288"/>
    <cellStyle name="Финансовый 2 3 5 7 2 2" xfId="1289"/>
    <cellStyle name="Финансовый 2 3 5 7 2 3" xfId="1290"/>
    <cellStyle name="Финансовый 2 3 5 7 3" xfId="1291"/>
    <cellStyle name="Финансовый 2 3 5 7 4" xfId="1292"/>
    <cellStyle name="Финансовый 2 3 5 8" xfId="1293"/>
    <cellStyle name="Финансовый 2 3 5 8 2" xfId="1294"/>
    <cellStyle name="Финансовый 2 3 5 8 2 2" xfId="1295"/>
    <cellStyle name="Финансовый 2 3 5 8 2 3" xfId="1296"/>
    <cellStyle name="Финансовый 2 3 5 8 3" xfId="1297"/>
    <cellStyle name="Финансовый 2 3 5 8 4" xfId="1298"/>
    <cellStyle name="Финансовый 2 3 5 9" xfId="1299"/>
    <cellStyle name="Финансовый 2 3 5 9 2" xfId="1300"/>
    <cellStyle name="Финансовый 2 3 5 9 3" xfId="1301"/>
    <cellStyle name="Финансовый 2 3 6" xfId="1302"/>
    <cellStyle name="Финансовый 2 3 6 2" xfId="1303"/>
    <cellStyle name="Финансовый 2 3 6 2 2" xfId="1304"/>
    <cellStyle name="Финансовый 2 3 6 2 2 2" xfId="1305"/>
    <cellStyle name="Финансовый 2 3 6 2 2 2 2" xfId="1306"/>
    <cellStyle name="Финансовый 2 3 6 2 2 2 3" xfId="1307"/>
    <cellStyle name="Финансовый 2 3 6 2 2 3" xfId="1308"/>
    <cellStyle name="Финансовый 2 3 6 2 2 4" xfId="1309"/>
    <cellStyle name="Финансовый 2 3 6 2 3" xfId="1310"/>
    <cellStyle name="Финансовый 2 3 6 2 3 2" xfId="1311"/>
    <cellStyle name="Финансовый 2 3 6 2 3 3" xfId="1312"/>
    <cellStyle name="Финансовый 2 3 6 2 4" xfId="1313"/>
    <cellStyle name="Финансовый 2 3 6 2 5" xfId="1314"/>
    <cellStyle name="Финансовый 2 3 6 3" xfId="1315"/>
    <cellStyle name="Финансовый 2 3 6 3 2" xfId="1316"/>
    <cellStyle name="Финансовый 2 3 6 3 2 2" xfId="1317"/>
    <cellStyle name="Финансовый 2 3 6 3 2 2 2" xfId="1318"/>
    <cellStyle name="Финансовый 2 3 6 3 2 2 3" xfId="1319"/>
    <cellStyle name="Финансовый 2 3 6 3 2 3" xfId="1320"/>
    <cellStyle name="Финансовый 2 3 6 3 2 4" xfId="1321"/>
    <cellStyle name="Финансовый 2 3 6 3 3" xfId="1322"/>
    <cellStyle name="Финансовый 2 3 6 3 3 2" xfId="1323"/>
    <cellStyle name="Финансовый 2 3 6 3 3 3" xfId="1324"/>
    <cellStyle name="Финансовый 2 3 6 3 4" xfId="1325"/>
    <cellStyle name="Финансовый 2 3 6 3 5" xfId="1326"/>
    <cellStyle name="Финансовый 2 3 6 4" xfId="1327"/>
    <cellStyle name="Финансовый 2 3 6 4 2" xfId="1328"/>
    <cellStyle name="Финансовый 2 3 6 4 2 2" xfId="1329"/>
    <cellStyle name="Финансовый 2 3 6 4 2 3" xfId="1330"/>
    <cellStyle name="Финансовый 2 3 6 4 3" xfId="1331"/>
    <cellStyle name="Финансовый 2 3 6 4 4" xfId="1332"/>
    <cellStyle name="Финансовый 2 3 6 5" xfId="1333"/>
    <cellStyle name="Финансовый 2 3 6 5 2" xfId="1334"/>
    <cellStyle name="Финансовый 2 3 6 5 3" xfId="1335"/>
    <cellStyle name="Финансовый 2 3 6 6" xfId="1336"/>
    <cellStyle name="Финансовый 2 3 6 7" xfId="1337"/>
    <cellStyle name="Финансовый 2 3 6 8" xfId="1338"/>
    <cellStyle name="Финансовый 2 3 7" xfId="1339"/>
    <cellStyle name="Финансовый 2 3 7 2" xfId="1340"/>
    <cellStyle name="Финансовый 2 3 7 2 2" xfId="1341"/>
    <cellStyle name="Финансовый 2 3 7 2 2 2" xfId="1342"/>
    <cellStyle name="Финансовый 2 3 7 2 2 3" xfId="1343"/>
    <cellStyle name="Финансовый 2 3 7 2 3" xfId="1344"/>
    <cellStyle name="Финансовый 2 3 7 2 4" xfId="1345"/>
    <cellStyle name="Финансовый 2 3 7 3" xfId="1346"/>
    <cellStyle name="Финансовый 2 3 7 3 2" xfId="1347"/>
    <cellStyle name="Финансовый 2 3 7 3 3" xfId="1348"/>
    <cellStyle name="Финансовый 2 3 7 4" xfId="1349"/>
    <cellStyle name="Финансовый 2 3 7 5" xfId="1350"/>
    <cellStyle name="Финансовый 2 3 8" xfId="1351"/>
    <cellStyle name="Финансовый 2 3 8 2" xfId="1352"/>
    <cellStyle name="Финансовый 2 3 8 2 2" xfId="1353"/>
    <cellStyle name="Финансовый 2 3 8 2 2 2" xfId="1354"/>
    <cellStyle name="Финансовый 2 3 8 2 2 3" xfId="1355"/>
    <cellStyle name="Финансовый 2 3 8 2 3" xfId="1356"/>
    <cellStyle name="Финансовый 2 3 8 2 4" xfId="1357"/>
    <cellStyle name="Финансовый 2 3 8 3" xfId="1358"/>
    <cellStyle name="Финансовый 2 3 8 3 2" xfId="1359"/>
    <cellStyle name="Финансовый 2 3 8 3 3" xfId="1360"/>
    <cellStyle name="Финансовый 2 3 8 4" xfId="1361"/>
    <cellStyle name="Финансовый 2 3 8 5" xfId="1362"/>
    <cellStyle name="Финансовый 2 3 9" xfId="1363"/>
    <cellStyle name="Финансовый 2 3 9 2" xfId="1364"/>
    <cellStyle name="Финансовый 2 3 9 2 2" xfId="1365"/>
    <cellStyle name="Финансовый 2 3 9 2 3" xfId="1366"/>
    <cellStyle name="Финансовый 2 3 9 3" xfId="1367"/>
    <cellStyle name="Финансовый 2 3 9 4" xfId="1368"/>
    <cellStyle name="Финансовый 2 4" xfId="1369"/>
    <cellStyle name="Финансовый 2 4 10" xfId="1370"/>
    <cellStyle name="Финансовый 2 4 10 2" xfId="1371"/>
    <cellStyle name="Финансовый 2 4 10 2 2" xfId="1372"/>
    <cellStyle name="Финансовый 2 4 10 2 3" xfId="1373"/>
    <cellStyle name="Финансовый 2 4 10 3" xfId="1374"/>
    <cellStyle name="Финансовый 2 4 10 4" xfId="1375"/>
    <cellStyle name="Финансовый 2 4 11" xfId="1376"/>
    <cellStyle name="Финансовый 2 4 11 2" xfId="1377"/>
    <cellStyle name="Финансовый 2 4 11 2 2" xfId="1378"/>
    <cellStyle name="Финансовый 2 4 11 2 3" xfId="1379"/>
    <cellStyle name="Финансовый 2 4 11 3" xfId="1380"/>
    <cellStyle name="Финансовый 2 4 11 4" xfId="1381"/>
    <cellStyle name="Финансовый 2 4 12" xfId="1382"/>
    <cellStyle name="Финансовый 2 4 12 2" xfId="1383"/>
    <cellStyle name="Финансовый 2 4 12 3" xfId="1384"/>
    <cellStyle name="Финансовый 2 4 13" xfId="1385"/>
    <cellStyle name="Финансовый 2 4 14" xfId="1386"/>
    <cellStyle name="Финансовый 2 4 15" xfId="1387"/>
    <cellStyle name="Финансовый 2 4 16" xfId="1388"/>
    <cellStyle name="Финансовый 2 4 2" xfId="1389"/>
    <cellStyle name="Финансовый 2 4 2 10" xfId="1390"/>
    <cellStyle name="Финансовый 2 4 2 10 2" xfId="1391"/>
    <cellStyle name="Финансовый 2 4 2 10 3" xfId="1392"/>
    <cellStyle name="Финансовый 2 4 2 11" xfId="1393"/>
    <cellStyle name="Финансовый 2 4 2 12" xfId="1394"/>
    <cellStyle name="Финансовый 2 4 2 13" xfId="1395"/>
    <cellStyle name="Финансовый 2 4 2 14" xfId="1396"/>
    <cellStyle name="Финансовый 2 4 2 2" xfId="1397"/>
    <cellStyle name="Финансовый 2 4 2 2 10" xfId="1398"/>
    <cellStyle name="Финансовый 2 4 2 2 11" xfId="1399"/>
    <cellStyle name="Финансовый 2 4 2 2 12" xfId="1400"/>
    <cellStyle name="Финансовый 2 4 2 2 13" xfId="1401"/>
    <cellStyle name="Финансовый 2 4 2 2 2" xfId="1402"/>
    <cellStyle name="Финансовый 2 4 2 2 2 2" xfId="1403"/>
    <cellStyle name="Финансовый 2 4 2 2 2 2 2" xfId="1404"/>
    <cellStyle name="Финансовый 2 4 2 2 2 2 2 2" xfId="1405"/>
    <cellStyle name="Финансовый 2 4 2 2 2 2 2 2 2" xfId="1406"/>
    <cellStyle name="Финансовый 2 4 2 2 2 2 2 2 3" xfId="1407"/>
    <cellStyle name="Финансовый 2 4 2 2 2 2 2 3" xfId="1408"/>
    <cellStyle name="Финансовый 2 4 2 2 2 2 2 4" xfId="1409"/>
    <cellStyle name="Финансовый 2 4 2 2 2 2 3" xfId="1410"/>
    <cellStyle name="Финансовый 2 4 2 2 2 2 3 2" xfId="1411"/>
    <cellStyle name="Финансовый 2 4 2 2 2 2 3 3" xfId="1412"/>
    <cellStyle name="Финансовый 2 4 2 2 2 2 4" xfId="1413"/>
    <cellStyle name="Финансовый 2 4 2 2 2 2 5" xfId="1414"/>
    <cellStyle name="Финансовый 2 4 2 2 2 3" xfId="1415"/>
    <cellStyle name="Финансовый 2 4 2 2 2 3 2" xfId="1416"/>
    <cellStyle name="Финансовый 2 4 2 2 2 3 2 2" xfId="1417"/>
    <cellStyle name="Финансовый 2 4 2 2 2 3 2 2 2" xfId="1418"/>
    <cellStyle name="Финансовый 2 4 2 2 2 3 2 2 3" xfId="1419"/>
    <cellStyle name="Финансовый 2 4 2 2 2 3 2 3" xfId="1420"/>
    <cellStyle name="Финансовый 2 4 2 2 2 3 2 4" xfId="1421"/>
    <cellStyle name="Финансовый 2 4 2 2 2 3 3" xfId="1422"/>
    <cellStyle name="Финансовый 2 4 2 2 2 3 3 2" xfId="1423"/>
    <cellStyle name="Финансовый 2 4 2 2 2 3 3 3" xfId="1424"/>
    <cellStyle name="Финансовый 2 4 2 2 2 3 4" xfId="1425"/>
    <cellStyle name="Финансовый 2 4 2 2 2 3 5" xfId="1426"/>
    <cellStyle name="Финансовый 2 4 2 2 2 4" xfId="1427"/>
    <cellStyle name="Финансовый 2 4 2 2 2 4 2" xfId="1428"/>
    <cellStyle name="Финансовый 2 4 2 2 2 4 2 2" xfId="1429"/>
    <cellStyle name="Финансовый 2 4 2 2 2 4 2 3" xfId="1430"/>
    <cellStyle name="Финансовый 2 4 2 2 2 4 3" xfId="1431"/>
    <cellStyle name="Финансовый 2 4 2 2 2 4 4" xfId="1432"/>
    <cellStyle name="Финансовый 2 4 2 2 2 5" xfId="1433"/>
    <cellStyle name="Финансовый 2 4 2 2 2 5 2" xfId="1434"/>
    <cellStyle name="Финансовый 2 4 2 2 2 5 3" xfId="1435"/>
    <cellStyle name="Финансовый 2 4 2 2 2 6" xfId="1436"/>
    <cellStyle name="Финансовый 2 4 2 2 2 7" xfId="1437"/>
    <cellStyle name="Финансовый 2 4 2 2 2 8" xfId="1438"/>
    <cellStyle name="Финансовый 2 4 2 2 3" xfId="1439"/>
    <cellStyle name="Финансовый 2 4 2 2 3 2" xfId="1440"/>
    <cellStyle name="Финансовый 2 4 2 2 3 2 2" xfId="1441"/>
    <cellStyle name="Финансовый 2 4 2 2 3 2 2 2" xfId="1442"/>
    <cellStyle name="Финансовый 2 4 2 2 3 2 2 3" xfId="1443"/>
    <cellStyle name="Финансовый 2 4 2 2 3 2 3" xfId="1444"/>
    <cellStyle name="Финансовый 2 4 2 2 3 2 4" xfId="1445"/>
    <cellStyle name="Финансовый 2 4 2 2 3 3" xfId="1446"/>
    <cellStyle name="Финансовый 2 4 2 2 3 3 2" xfId="1447"/>
    <cellStyle name="Финансовый 2 4 2 2 3 3 3" xfId="1448"/>
    <cellStyle name="Финансовый 2 4 2 2 3 4" xfId="1449"/>
    <cellStyle name="Финансовый 2 4 2 2 3 5" xfId="1450"/>
    <cellStyle name="Финансовый 2 4 2 2 4" xfId="1451"/>
    <cellStyle name="Финансовый 2 4 2 2 4 2" xfId="1452"/>
    <cellStyle name="Финансовый 2 4 2 2 4 2 2" xfId="1453"/>
    <cellStyle name="Финансовый 2 4 2 2 4 2 2 2" xfId="1454"/>
    <cellStyle name="Финансовый 2 4 2 2 4 2 2 3" xfId="1455"/>
    <cellStyle name="Финансовый 2 4 2 2 4 2 3" xfId="1456"/>
    <cellStyle name="Финансовый 2 4 2 2 4 2 4" xfId="1457"/>
    <cellStyle name="Финансовый 2 4 2 2 4 3" xfId="1458"/>
    <cellStyle name="Финансовый 2 4 2 2 4 3 2" xfId="1459"/>
    <cellStyle name="Финансовый 2 4 2 2 4 3 3" xfId="1460"/>
    <cellStyle name="Финансовый 2 4 2 2 4 4" xfId="1461"/>
    <cellStyle name="Финансовый 2 4 2 2 4 5" xfId="1462"/>
    <cellStyle name="Финансовый 2 4 2 2 5" xfId="1463"/>
    <cellStyle name="Финансовый 2 4 2 2 5 2" xfId="1464"/>
    <cellStyle name="Финансовый 2 4 2 2 5 2 2" xfId="1465"/>
    <cellStyle name="Финансовый 2 4 2 2 5 2 3" xfId="1466"/>
    <cellStyle name="Финансовый 2 4 2 2 5 3" xfId="1467"/>
    <cellStyle name="Финансовый 2 4 2 2 5 4" xfId="1468"/>
    <cellStyle name="Финансовый 2 4 2 2 6" xfId="1469"/>
    <cellStyle name="Финансовый 2 4 2 2 6 2" xfId="1470"/>
    <cellStyle name="Финансовый 2 4 2 2 6 2 2" xfId="1471"/>
    <cellStyle name="Финансовый 2 4 2 2 6 2 3" xfId="1472"/>
    <cellStyle name="Финансовый 2 4 2 2 6 3" xfId="1473"/>
    <cellStyle name="Финансовый 2 4 2 2 6 4" xfId="1474"/>
    <cellStyle name="Финансовый 2 4 2 2 7" xfId="1475"/>
    <cellStyle name="Финансовый 2 4 2 2 7 2" xfId="1476"/>
    <cellStyle name="Финансовый 2 4 2 2 7 2 2" xfId="1477"/>
    <cellStyle name="Финансовый 2 4 2 2 7 2 3" xfId="1478"/>
    <cellStyle name="Финансовый 2 4 2 2 7 3" xfId="1479"/>
    <cellStyle name="Финансовый 2 4 2 2 7 4" xfId="1480"/>
    <cellStyle name="Финансовый 2 4 2 2 8" xfId="1481"/>
    <cellStyle name="Финансовый 2 4 2 2 8 2" xfId="1482"/>
    <cellStyle name="Финансовый 2 4 2 2 8 2 2" xfId="1483"/>
    <cellStyle name="Финансовый 2 4 2 2 8 2 3" xfId="1484"/>
    <cellStyle name="Финансовый 2 4 2 2 8 3" xfId="1485"/>
    <cellStyle name="Финансовый 2 4 2 2 8 4" xfId="1486"/>
    <cellStyle name="Финансовый 2 4 2 2 9" xfId="1487"/>
    <cellStyle name="Финансовый 2 4 2 2 9 2" xfId="1488"/>
    <cellStyle name="Финансовый 2 4 2 2 9 3" xfId="1489"/>
    <cellStyle name="Финансовый 2 4 2 3" xfId="1490"/>
    <cellStyle name="Финансовый 2 4 2 3 2" xfId="1491"/>
    <cellStyle name="Финансовый 2 4 2 3 2 2" xfId="1492"/>
    <cellStyle name="Финансовый 2 4 2 3 2 2 2" xfId="1493"/>
    <cellStyle name="Финансовый 2 4 2 3 2 2 2 2" xfId="1494"/>
    <cellStyle name="Финансовый 2 4 2 3 2 2 2 3" xfId="1495"/>
    <cellStyle name="Финансовый 2 4 2 3 2 2 3" xfId="1496"/>
    <cellStyle name="Финансовый 2 4 2 3 2 2 4" xfId="1497"/>
    <cellStyle name="Финансовый 2 4 2 3 2 3" xfId="1498"/>
    <cellStyle name="Финансовый 2 4 2 3 2 3 2" xfId="1499"/>
    <cellStyle name="Финансовый 2 4 2 3 2 3 3" xfId="1500"/>
    <cellStyle name="Финансовый 2 4 2 3 2 4" xfId="1501"/>
    <cellStyle name="Финансовый 2 4 2 3 2 5" xfId="1502"/>
    <cellStyle name="Финансовый 2 4 2 3 3" xfId="1503"/>
    <cellStyle name="Финансовый 2 4 2 3 3 2" xfId="1504"/>
    <cellStyle name="Финансовый 2 4 2 3 3 2 2" xfId="1505"/>
    <cellStyle name="Финансовый 2 4 2 3 3 2 2 2" xfId="1506"/>
    <cellStyle name="Финансовый 2 4 2 3 3 2 2 3" xfId="1507"/>
    <cellStyle name="Финансовый 2 4 2 3 3 2 3" xfId="1508"/>
    <cellStyle name="Финансовый 2 4 2 3 3 2 4" xfId="1509"/>
    <cellStyle name="Финансовый 2 4 2 3 3 3" xfId="1510"/>
    <cellStyle name="Финансовый 2 4 2 3 3 3 2" xfId="1511"/>
    <cellStyle name="Финансовый 2 4 2 3 3 3 3" xfId="1512"/>
    <cellStyle name="Финансовый 2 4 2 3 3 4" xfId="1513"/>
    <cellStyle name="Финансовый 2 4 2 3 3 5" xfId="1514"/>
    <cellStyle name="Финансовый 2 4 2 3 4" xfId="1515"/>
    <cellStyle name="Финансовый 2 4 2 3 4 2" xfId="1516"/>
    <cellStyle name="Финансовый 2 4 2 3 4 2 2" xfId="1517"/>
    <cellStyle name="Финансовый 2 4 2 3 4 2 3" xfId="1518"/>
    <cellStyle name="Финансовый 2 4 2 3 4 3" xfId="1519"/>
    <cellStyle name="Финансовый 2 4 2 3 4 4" xfId="1520"/>
    <cellStyle name="Финансовый 2 4 2 3 5" xfId="1521"/>
    <cellStyle name="Финансовый 2 4 2 3 5 2" xfId="1522"/>
    <cellStyle name="Финансовый 2 4 2 3 5 3" xfId="1523"/>
    <cellStyle name="Финансовый 2 4 2 3 6" xfId="1524"/>
    <cellStyle name="Финансовый 2 4 2 3 7" xfId="1525"/>
    <cellStyle name="Финансовый 2 4 2 3 8" xfId="1526"/>
    <cellStyle name="Финансовый 2 4 2 4" xfId="1527"/>
    <cellStyle name="Финансовый 2 4 2 4 2" xfId="1528"/>
    <cellStyle name="Финансовый 2 4 2 4 2 2" xfId="1529"/>
    <cellStyle name="Финансовый 2 4 2 4 2 2 2" xfId="1530"/>
    <cellStyle name="Финансовый 2 4 2 4 2 2 3" xfId="1531"/>
    <cellStyle name="Финансовый 2 4 2 4 2 3" xfId="1532"/>
    <cellStyle name="Финансовый 2 4 2 4 2 4" xfId="1533"/>
    <cellStyle name="Финансовый 2 4 2 4 3" xfId="1534"/>
    <cellStyle name="Финансовый 2 4 2 4 3 2" xfId="1535"/>
    <cellStyle name="Финансовый 2 4 2 4 3 3" xfId="1536"/>
    <cellStyle name="Финансовый 2 4 2 4 4" xfId="1537"/>
    <cellStyle name="Финансовый 2 4 2 4 5" xfId="1538"/>
    <cellStyle name="Финансовый 2 4 2 5" xfId="1539"/>
    <cellStyle name="Финансовый 2 4 2 5 2" xfId="1540"/>
    <cellStyle name="Финансовый 2 4 2 5 2 2" xfId="1541"/>
    <cellStyle name="Финансовый 2 4 2 5 2 2 2" xfId="1542"/>
    <cellStyle name="Финансовый 2 4 2 5 2 2 3" xfId="1543"/>
    <cellStyle name="Финансовый 2 4 2 5 2 3" xfId="1544"/>
    <cellStyle name="Финансовый 2 4 2 5 2 4" xfId="1545"/>
    <cellStyle name="Финансовый 2 4 2 5 3" xfId="1546"/>
    <cellStyle name="Финансовый 2 4 2 5 3 2" xfId="1547"/>
    <cellStyle name="Финансовый 2 4 2 5 3 3" xfId="1548"/>
    <cellStyle name="Финансовый 2 4 2 5 4" xfId="1549"/>
    <cellStyle name="Финансовый 2 4 2 5 5" xfId="1550"/>
    <cellStyle name="Финансовый 2 4 2 6" xfId="1551"/>
    <cellStyle name="Финансовый 2 4 2 6 2" xfId="1552"/>
    <cellStyle name="Финансовый 2 4 2 6 2 2" xfId="1553"/>
    <cellStyle name="Финансовый 2 4 2 6 2 3" xfId="1554"/>
    <cellStyle name="Финансовый 2 4 2 6 3" xfId="1555"/>
    <cellStyle name="Финансовый 2 4 2 6 4" xfId="1556"/>
    <cellStyle name="Финансовый 2 4 2 7" xfId="1557"/>
    <cellStyle name="Финансовый 2 4 2 7 2" xfId="1558"/>
    <cellStyle name="Финансовый 2 4 2 7 2 2" xfId="1559"/>
    <cellStyle name="Финансовый 2 4 2 7 2 3" xfId="1560"/>
    <cellStyle name="Финансовый 2 4 2 7 3" xfId="1561"/>
    <cellStyle name="Финансовый 2 4 2 7 4" xfId="1562"/>
    <cellStyle name="Финансовый 2 4 2 8" xfId="1563"/>
    <cellStyle name="Финансовый 2 4 2 8 2" xfId="1564"/>
    <cellStyle name="Финансовый 2 4 2 8 2 2" xfId="1565"/>
    <cellStyle name="Финансовый 2 4 2 8 2 3" xfId="1566"/>
    <cellStyle name="Финансовый 2 4 2 8 3" xfId="1567"/>
    <cellStyle name="Финансовый 2 4 2 8 4" xfId="1568"/>
    <cellStyle name="Финансовый 2 4 2 9" xfId="1569"/>
    <cellStyle name="Финансовый 2 4 2 9 2" xfId="1570"/>
    <cellStyle name="Финансовый 2 4 2 9 2 2" xfId="1571"/>
    <cellStyle name="Финансовый 2 4 2 9 2 3" xfId="1572"/>
    <cellStyle name="Финансовый 2 4 2 9 3" xfId="1573"/>
    <cellStyle name="Финансовый 2 4 2 9 4" xfId="1574"/>
    <cellStyle name="Финансовый 2 4 3" xfId="1575"/>
    <cellStyle name="Финансовый 2 4 3 10" xfId="1576"/>
    <cellStyle name="Финансовый 2 4 3 11" xfId="1577"/>
    <cellStyle name="Финансовый 2 4 3 12" xfId="1578"/>
    <cellStyle name="Финансовый 2 4 3 13" xfId="1579"/>
    <cellStyle name="Финансовый 2 4 3 2" xfId="1580"/>
    <cellStyle name="Финансовый 2 4 3 2 2" xfId="1581"/>
    <cellStyle name="Финансовый 2 4 3 2 2 2" xfId="1582"/>
    <cellStyle name="Финансовый 2 4 3 2 2 2 2" xfId="1583"/>
    <cellStyle name="Финансовый 2 4 3 2 2 2 2 2" xfId="1584"/>
    <cellStyle name="Финансовый 2 4 3 2 2 2 2 3" xfId="1585"/>
    <cellStyle name="Финансовый 2 4 3 2 2 2 3" xfId="1586"/>
    <cellStyle name="Финансовый 2 4 3 2 2 2 4" xfId="1587"/>
    <cellStyle name="Финансовый 2 4 3 2 2 3" xfId="1588"/>
    <cellStyle name="Финансовый 2 4 3 2 2 3 2" xfId="1589"/>
    <cellStyle name="Финансовый 2 4 3 2 2 3 3" xfId="1590"/>
    <cellStyle name="Финансовый 2 4 3 2 2 4" xfId="1591"/>
    <cellStyle name="Финансовый 2 4 3 2 2 5" xfId="1592"/>
    <cellStyle name="Финансовый 2 4 3 2 3" xfId="1593"/>
    <cellStyle name="Финансовый 2 4 3 2 3 2" xfId="1594"/>
    <cellStyle name="Финансовый 2 4 3 2 3 2 2" xfId="1595"/>
    <cellStyle name="Финансовый 2 4 3 2 3 2 2 2" xfId="1596"/>
    <cellStyle name="Финансовый 2 4 3 2 3 2 2 3" xfId="1597"/>
    <cellStyle name="Финансовый 2 4 3 2 3 2 3" xfId="1598"/>
    <cellStyle name="Финансовый 2 4 3 2 3 2 4" xfId="1599"/>
    <cellStyle name="Финансовый 2 4 3 2 3 3" xfId="1600"/>
    <cellStyle name="Финансовый 2 4 3 2 3 3 2" xfId="1601"/>
    <cellStyle name="Финансовый 2 4 3 2 3 3 3" xfId="1602"/>
    <cellStyle name="Финансовый 2 4 3 2 3 4" xfId="1603"/>
    <cellStyle name="Финансовый 2 4 3 2 3 5" xfId="1604"/>
    <cellStyle name="Финансовый 2 4 3 2 4" xfId="1605"/>
    <cellStyle name="Финансовый 2 4 3 2 4 2" xfId="1606"/>
    <cellStyle name="Финансовый 2 4 3 2 4 2 2" xfId="1607"/>
    <cellStyle name="Финансовый 2 4 3 2 4 2 3" xfId="1608"/>
    <cellStyle name="Финансовый 2 4 3 2 4 3" xfId="1609"/>
    <cellStyle name="Финансовый 2 4 3 2 4 4" xfId="1610"/>
    <cellStyle name="Финансовый 2 4 3 2 5" xfId="1611"/>
    <cellStyle name="Финансовый 2 4 3 2 5 2" xfId="1612"/>
    <cellStyle name="Финансовый 2 4 3 2 5 3" xfId="1613"/>
    <cellStyle name="Финансовый 2 4 3 2 6" xfId="1614"/>
    <cellStyle name="Финансовый 2 4 3 2 7" xfId="1615"/>
    <cellStyle name="Финансовый 2 4 3 2 8" xfId="1616"/>
    <cellStyle name="Финансовый 2 4 3 3" xfId="1617"/>
    <cellStyle name="Финансовый 2 4 3 3 2" xfId="1618"/>
    <cellStyle name="Финансовый 2 4 3 3 2 2" xfId="1619"/>
    <cellStyle name="Финансовый 2 4 3 3 2 2 2" xfId="1620"/>
    <cellStyle name="Финансовый 2 4 3 3 2 2 3" xfId="1621"/>
    <cellStyle name="Финансовый 2 4 3 3 2 3" xfId="1622"/>
    <cellStyle name="Финансовый 2 4 3 3 2 4" xfId="1623"/>
    <cellStyle name="Финансовый 2 4 3 3 3" xfId="1624"/>
    <cellStyle name="Финансовый 2 4 3 3 3 2" xfId="1625"/>
    <cellStyle name="Финансовый 2 4 3 3 3 3" xfId="1626"/>
    <cellStyle name="Финансовый 2 4 3 3 4" xfId="1627"/>
    <cellStyle name="Финансовый 2 4 3 3 5" xfId="1628"/>
    <cellStyle name="Финансовый 2 4 3 4" xfId="1629"/>
    <cellStyle name="Финансовый 2 4 3 4 2" xfId="1630"/>
    <cellStyle name="Финансовый 2 4 3 4 2 2" xfId="1631"/>
    <cellStyle name="Финансовый 2 4 3 4 2 2 2" xfId="1632"/>
    <cellStyle name="Финансовый 2 4 3 4 2 2 3" xfId="1633"/>
    <cellStyle name="Финансовый 2 4 3 4 2 3" xfId="1634"/>
    <cellStyle name="Финансовый 2 4 3 4 2 4" xfId="1635"/>
    <cellStyle name="Финансовый 2 4 3 4 3" xfId="1636"/>
    <cellStyle name="Финансовый 2 4 3 4 3 2" xfId="1637"/>
    <cellStyle name="Финансовый 2 4 3 4 3 3" xfId="1638"/>
    <cellStyle name="Финансовый 2 4 3 4 4" xfId="1639"/>
    <cellStyle name="Финансовый 2 4 3 4 5" xfId="1640"/>
    <cellStyle name="Финансовый 2 4 3 5" xfId="1641"/>
    <cellStyle name="Финансовый 2 4 3 5 2" xfId="1642"/>
    <cellStyle name="Финансовый 2 4 3 5 2 2" xfId="1643"/>
    <cellStyle name="Финансовый 2 4 3 5 2 3" xfId="1644"/>
    <cellStyle name="Финансовый 2 4 3 5 3" xfId="1645"/>
    <cellStyle name="Финансовый 2 4 3 5 4" xfId="1646"/>
    <cellStyle name="Финансовый 2 4 3 6" xfId="1647"/>
    <cellStyle name="Финансовый 2 4 3 6 2" xfId="1648"/>
    <cellStyle name="Финансовый 2 4 3 6 2 2" xfId="1649"/>
    <cellStyle name="Финансовый 2 4 3 6 2 3" xfId="1650"/>
    <cellStyle name="Финансовый 2 4 3 6 3" xfId="1651"/>
    <cellStyle name="Финансовый 2 4 3 6 4" xfId="1652"/>
    <cellStyle name="Финансовый 2 4 3 7" xfId="1653"/>
    <cellStyle name="Финансовый 2 4 3 7 2" xfId="1654"/>
    <cellStyle name="Финансовый 2 4 3 7 2 2" xfId="1655"/>
    <cellStyle name="Финансовый 2 4 3 7 2 3" xfId="1656"/>
    <cellStyle name="Финансовый 2 4 3 7 3" xfId="1657"/>
    <cellStyle name="Финансовый 2 4 3 7 4" xfId="1658"/>
    <cellStyle name="Финансовый 2 4 3 8" xfId="1659"/>
    <cellStyle name="Финансовый 2 4 3 8 2" xfId="1660"/>
    <cellStyle name="Финансовый 2 4 3 8 2 2" xfId="1661"/>
    <cellStyle name="Финансовый 2 4 3 8 2 3" xfId="1662"/>
    <cellStyle name="Финансовый 2 4 3 8 3" xfId="1663"/>
    <cellStyle name="Финансовый 2 4 3 8 4" xfId="1664"/>
    <cellStyle name="Финансовый 2 4 3 9" xfId="1665"/>
    <cellStyle name="Финансовый 2 4 3 9 2" xfId="1666"/>
    <cellStyle name="Финансовый 2 4 3 9 3" xfId="1667"/>
    <cellStyle name="Финансовый 2 4 4" xfId="1668"/>
    <cellStyle name="Финансовый 2 4 4 10" xfId="1669"/>
    <cellStyle name="Финансовый 2 4 4 11" xfId="1670"/>
    <cellStyle name="Финансовый 2 4 4 12" xfId="1671"/>
    <cellStyle name="Финансовый 2 4 4 13" xfId="1672"/>
    <cellStyle name="Финансовый 2 4 4 2" xfId="1673"/>
    <cellStyle name="Финансовый 2 4 4 2 2" xfId="1674"/>
    <cellStyle name="Финансовый 2 4 4 2 2 2" xfId="1675"/>
    <cellStyle name="Финансовый 2 4 4 2 2 2 2" xfId="1676"/>
    <cellStyle name="Финансовый 2 4 4 2 2 2 2 2" xfId="1677"/>
    <cellStyle name="Финансовый 2 4 4 2 2 2 2 3" xfId="1678"/>
    <cellStyle name="Финансовый 2 4 4 2 2 2 3" xfId="1679"/>
    <cellStyle name="Финансовый 2 4 4 2 2 2 4" xfId="1680"/>
    <cellStyle name="Финансовый 2 4 4 2 2 3" xfId="1681"/>
    <cellStyle name="Финансовый 2 4 4 2 2 3 2" xfId="1682"/>
    <cellStyle name="Финансовый 2 4 4 2 2 3 3" xfId="1683"/>
    <cellStyle name="Финансовый 2 4 4 2 2 4" xfId="1684"/>
    <cellStyle name="Финансовый 2 4 4 2 2 5" xfId="1685"/>
    <cellStyle name="Финансовый 2 4 4 2 3" xfId="1686"/>
    <cellStyle name="Финансовый 2 4 4 2 3 2" xfId="1687"/>
    <cellStyle name="Финансовый 2 4 4 2 3 2 2" xfId="1688"/>
    <cellStyle name="Финансовый 2 4 4 2 3 2 2 2" xfId="1689"/>
    <cellStyle name="Финансовый 2 4 4 2 3 2 2 3" xfId="1690"/>
    <cellStyle name="Финансовый 2 4 4 2 3 2 3" xfId="1691"/>
    <cellStyle name="Финансовый 2 4 4 2 3 2 4" xfId="1692"/>
    <cellStyle name="Финансовый 2 4 4 2 3 3" xfId="1693"/>
    <cellStyle name="Финансовый 2 4 4 2 3 3 2" xfId="1694"/>
    <cellStyle name="Финансовый 2 4 4 2 3 3 3" xfId="1695"/>
    <cellStyle name="Финансовый 2 4 4 2 3 4" xfId="1696"/>
    <cellStyle name="Финансовый 2 4 4 2 3 5" xfId="1697"/>
    <cellStyle name="Финансовый 2 4 4 2 4" xfId="1698"/>
    <cellStyle name="Финансовый 2 4 4 2 4 2" xfId="1699"/>
    <cellStyle name="Финансовый 2 4 4 2 4 2 2" xfId="1700"/>
    <cellStyle name="Финансовый 2 4 4 2 4 2 3" xfId="1701"/>
    <cellStyle name="Финансовый 2 4 4 2 4 3" xfId="1702"/>
    <cellStyle name="Финансовый 2 4 4 2 4 4" xfId="1703"/>
    <cellStyle name="Финансовый 2 4 4 2 5" xfId="1704"/>
    <cellStyle name="Финансовый 2 4 4 2 5 2" xfId="1705"/>
    <cellStyle name="Финансовый 2 4 4 2 5 3" xfId="1706"/>
    <cellStyle name="Финансовый 2 4 4 2 6" xfId="1707"/>
    <cellStyle name="Финансовый 2 4 4 2 7" xfId="1708"/>
    <cellStyle name="Финансовый 2 4 4 2 8" xfId="1709"/>
    <cellStyle name="Финансовый 2 4 4 3" xfId="1710"/>
    <cellStyle name="Финансовый 2 4 4 3 2" xfId="1711"/>
    <cellStyle name="Финансовый 2 4 4 3 2 2" xfId="1712"/>
    <cellStyle name="Финансовый 2 4 4 3 2 2 2" xfId="1713"/>
    <cellStyle name="Финансовый 2 4 4 3 2 2 3" xfId="1714"/>
    <cellStyle name="Финансовый 2 4 4 3 2 3" xfId="1715"/>
    <cellStyle name="Финансовый 2 4 4 3 2 4" xfId="1716"/>
    <cellStyle name="Финансовый 2 4 4 3 3" xfId="1717"/>
    <cellStyle name="Финансовый 2 4 4 3 3 2" xfId="1718"/>
    <cellStyle name="Финансовый 2 4 4 3 3 3" xfId="1719"/>
    <cellStyle name="Финансовый 2 4 4 3 4" xfId="1720"/>
    <cellStyle name="Финансовый 2 4 4 3 5" xfId="1721"/>
    <cellStyle name="Финансовый 2 4 4 4" xfId="1722"/>
    <cellStyle name="Финансовый 2 4 4 4 2" xfId="1723"/>
    <cellStyle name="Финансовый 2 4 4 4 2 2" xfId="1724"/>
    <cellStyle name="Финансовый 2 4 4 4 2 2 2" xfId="1725"/>
    <cellStyle name="Финансовый 2 4 4 4 2 2 3" xfId="1726"/>
    <cellStyle name="Финансовый 2 4 4 4 2 3" xfId="1727"/>
    <cellStyle name="Финансовый 2 4 4 4 2 4" xfId="1728"/>
    <cellStyle name="Финансовый 2 4 4 4 3" xfId="1729"/>
    <cellStyle name="Финансовый 2 4 4 4 3 2" xfId="1730"/>
    <cellStyle name="Финансовый 2 4 4 4 3 3" xfId="1731"/>
    <cellStyle name="Финансовый 2 4 4 4 4" xfId="1732"/>
    <cellStyle name="Финансовый 2 4 4 4 5" xfId="1733"/>
    <cellStyle name="Финансовый 2 4 4 5" xfId="1734"/>
    <cellStyle name="Финансовый 2 4 4 5 2" xfId="1735"/>
    <cellStyle name="Финансовый 2 4 4 5 2 2" xfId="1736"/>
    <cellStyle name="Финансовый 2 4 4 5 2 3" xfId="1737"/>
    <cellStyle name="Финансовый 2 4 4 5 3" xfId="1738"/>
    <cellStyle name="Финансовый 2 4 4 5 4" xfId="1739"/>
    <cellStyle name="Финансовый 2 4 4 6" xfId="1740"/>
    <cellStyle name="Финансовый 2 4 4 6 2" xfId="1741"/>
    <cellStyle name="Финансовый 2 4 4 6 2 2" xfId="1742"/>
    <cellStyle name="Финансовый 2 4 4 6 2 3" xfId="1743"/>
    <cellStyle name="Финансовый 2 4 4 6 3" xfId="1744"/>
    <cellStyle name="Финансовый 2 4 4 6 4" xfId="1745"/>
    <cellStyle name="Финансовый 2 4 4 7" xfId="1746"/>
    <cellStyle name="Финансовый 2 4 4 7 2" xfId="1747"/>
    <cellStyle name="Финансовый 2 4 4 7 2 2" xfId="1748"/>
    <cellStyle name="Финансовый 2 4 4 7 2 3" xfId="1749"/>
    <cellStyle name="Финансовый 2 4 4 7 3" xfId="1750"/>
    <cellStyle name="Финансовый 2 4 4 7 4" xfId="1751"/>
    <cellStyle name="Финансовый 2 4 4 8" xfId="1752"/>
    <cellStyle name="Финансовый 2 4 4 8 2" xfId="1753"/>
    <cellStyle name="Финансовый 2 4 4 8 2 2" xfId="1754"/>
    <cellStyle name="Финансовый 2 4 4 8 2 3" xfId="1755"/>
    <cellStyle name="Финансовый 2 4 4 8 3" xfId="1756"/>
    <cellStyle name="Финансовый 2 4 4 8 4" xfId="1757"/>
    <cellStyle name="Финансовый 2 4 4 9" xfId="1758"/>
    <cellStyle name="Финансовый 2 4 4 9 2" xfId="1759"/>
    <cellStyle name="Финансовый 2 4 4 9 3" xfId="1760"/>
    <cellStyle name="Финансовый 2 4 5" xfId="1761"/>
    <cellStyle name="Финансовый 2 4 5 2" xfId="1762"/>
    <cellStyle name="Финансовый 2 4 5 2 2" xfId="1763"/>
    <cellStyle name="Финансовый 2 4 5 2 2 2" xfId="1764"/>
    <cellStyle name="Финансовый 2 4 5 2 2 2 2" xfId="1765"/>
    <cellStyle name="Финансовый 2 4 5 2 2 2 3" xfId="1766"/>
    <cellStyle name="Финансовый 2 4 5 2 2 3" xfId="1767"/>
    <cellStyle name="Финансовый 2 4 5 2 2 4" xfId="1768"/>
    <cellStyle name="Финансовый 2 4 5 2 3" xfId="1769"/>
    <cellStyle name="Финансовый 2 4 5 2 3 2" xfId="1770"/>
    <cellStyle name="Финансовый 2 4 5 2 3 3" xfId="1771"/>
    <cellStyle name="Финансовый 2 4 5 2 4" xfId="1772"/>
    <cellStyle name="Финансовый 2 4 5 2 5" xfId="1773"/>
    <cellStyle name="Финансовый 2 4 5 3" xfId="1774"/>
    <cellStyle name="Финансовый 2 4 5 3 2" xfId="1775"/>
    <cellStyle name="Финансовый 2 4 5 3 2 2" xfId="1776"/>
    <cellStyle name="Финансовый 2 4 5 3 2 2 2" xfId="1777"/>
    <cellStyle name="Финансовый 2 4 5 3 2 2 3" xfId="1778"/>
    <cellStyle name="Финансовый 2 4 5 3 2 3" xfId="1779"/>
    <cellStyle name="Финансовый 2 4 5 3 2 4" xfId="1780"/>
    <cellStyle name="Финансовый 2 4 5 3 3" xfId="1781"/>
    <cellStyle name="Финансовый 2 4 5 3 3 2" xfId="1782"/>
    <cellStyle name="Финансовый 2 4 5 3 3 3" xfId="1783"/>
    <cellStyle name="Финансовый 2 4 5 3 4" xfId="1784"/>
    <cellStyle name="Финансовый 2 4 5 3 5" xfId="1785"/>
    <cellStyle name="Финансовый 2 4 5 4" xfId="1786"/>
    <cellStyle name="Финансовый 2 4 5 4 2" xfId="1787"/>
    <cellStyle name="Финансовый 2 4 5 4 2 2" xfId="1788"/>
    <cellStyle name="Финансовый 2 4 5 4 2 3" xfId="1789"/>
    <cellStyle name="Финансовый 2 4 5 4 3" xfId="1790"/>
    <cellStyle name="Финансовый 2 4 5 4 4" xfId="1791"/>
    <cellStyle name="Финансовый 2 4 5 5" xfId="1792"/>
    <cellStyle name="Финансовый 2 4 5 5 2" xfId="1793"/>
    <cellStyle name="Финансовый 2 4 5 5 3" xfId="1794"/>
    <cellStyle name="Финансовый 2 4 5 6" xfId="1795"/>
    <cellStyle name="Финансовый 2 4 5 7" xfId="1796"/>
    <cellStyle name="Финансовый 2 4 5 8" xfId="1797"/>
    <cellStyle name="Финансовый 2 4 6" xfId="1798"/>
    <cellStyle name="Финансовый 2 4 6 2" xfId="1799"/>
    <cellStyle name="Финансовый 2 4 6 2 2" xfId="1800"/>
    <cellStyle name="Финансовый 2 4 6 2 2 2" xfId="1801"/>
    <cellStyle name="Финансовый 2 4 6 2 2 3" xfId="1802"/>
    <cellStyle name="Финансовый 2 4 6 2 3" xfId="1803"/>
    <cellStyle name="Финансовый 2 4 6 2 4" xfId="1804"/>
    <cellStyle name="Финансовый 2 4 6 3" xfId="1805"/>
    <cellStyle name="Финансовый 2 4 6 3 2" xfId="1806"/>
    <cellStyle name="Финансовый 2 4 6 3 3" xfId="1807"/>
    <cellStyle name="Финансовый 2 4 6 4" xfId="1808"/>
    <cellStyle name="Финансовый 2 4 6 5" xfId="1809"/>
    <cellStyle name="Финансовый 2 4 7" xfId="1810"/>
    <cellStyle name="Финансовый 2 4 7 2" xfId="1811"/>
    <cellStyle name="Финансовый 2 4 7 2 2" xfId="1812"/>
    <cellStyle name="Финансовый 2 4 7 2 2 2" xfId="1813"/>
    <cellStyle name="Финансовый 2 4 7 2 2 3" xfId="1814"/>
    <cellStyle name="Финансовый 2 4 7 2 3" xfId="1815"/>
    <cellStyle name="Финансовый 2 4 7 2 4" xfId="1816"/>
    <cellStyle name="Финансовый 2 4 7 3" xfId="1817"/>
    <cellStyle name="Финансовый 2 4 7 3 2" xfId="1818"/>
    <cellStyle name="Финансовый 2 4 7 3 3" xfId="1819"/>
    <cellStyle name="Финансовый 2 4 7 4" xfId="1820"/>
    <cellStyle name="Финансовый 2 4 7 5" xfId="1821"/>
    <cellStyle name="Финансовый 2 4 8" xfId="1822"/>
    <cellStyle name="Финансовый 2 4 8 2" xfId="1823"/>
    <cellStyle name="Финансовый 2 4 8 2 2" xfId="1824"/>
    <cellStyle name="Финансовый 2 4 8 2 3" xfId="1825"/>
    <cellStyle name="Финансовый 2 4 8 3" xfId="1826"/>
    <cellStyle name="Финансовый 2 4 8 4" xfId="1827"/>
    <cellStyle name="Финансовый 2 4 9" xfId="1828"/>
    <cellStyle name="Финансовый 2 4 9 2" xfId="1829"/>
    <cellStyle name="Финансовый 2 4 9 2 2" xfId="1830"/>
    <cellStyle name="Финансовый 2 4 9 2 3" xfId="1831"/>
    <cellStyle name="Финансовый 2 4 9 3" xfId="1832"/>
    <cellStyle name="Финансовый 2 4 9 4" xfId="1833"/>
    <cellStyle name="Финансовый 2 5" xfId="1834"/>
    <cellStyle name="Финансовый 2 5 10" xfId="1835"/>
    <cellStyle name="Финансовый 2 5 10 2" xfId="1836"/>
    <cellStyle name="Финансовый 2 5 10 3" xfId="1837"/>
    <cellStyle name="Финансовый 2 5 11" xfId="1838"/>
    <cellStyle name="Финансовый 2 5 12" xfId="1839"/>
    <cellStyle name="Финансовый 2 5 13" xfId="1840"/>
    <cellStyle name="Финансовый 2 5 14" xfId="1841"/>
    <cellStyle name="Финансовый 2 5 2" xfId="1842"/>
    <cellStyle name="Финансовый 2 5 2 10" xfId="1843"/>
    <cellStyle name="Финансовый 2 5 2 11" xfId="1844"/>
    <cellStyle name="Финансовый 2 5 2 12" xfId="1845"/>
    <cellStyle name="Финансовый 2 5 2 13" xfId="1846"/>
    <cellStyle name="Финансовый 2 5 2 2" xfId="1847"/>
    <cellStyle name="Финансовый 2 5 2 2 2" xfId="1848"/>
    <cellStyle name="Финансовый 2 5 2 2 2 2" xfId="1849"/>
    <cellStyle name="Финансовый 2 5 2 2 2 2 2" xfId="1850"/>
    <cellStyle name="Финансовый 2 5 2 2 2 2 2 2" xfId="1851"/>
    <cellStyle name="Финансовый 2 5 2 2 2 2 2 3" xfId="1852"/>
    <cellStyle name="Финансовый 2 5 2 2 2 2 3" xfId="1853"/>
    <cellStyle name="Финансовый 2 5 2 2 2 2 4" xfId="1854"/>
    <cellStyle name="Финансовый 2 5 2 2 2 3" xfId="1855"/>
    <cellStyle name="Финансовый 2 5 2 2 2 3 2" xfId="1856"/>
    <cellStyle name="Финансовый 2 5 2 2 2 3 3" xfId="1857"/>
    <cellStyle name="Финансовый 2 5 2 2 2 4" xfId="1858"/>
    <cellStyle name="Финансовый 2 5 2 2 2 5" xfId="1859"/>
    <cellStyle name="Финансовый 2 5 2 2 3" xfId="1860"/>
    <cellStyle name="Финансовый 2 5 2 2 3 2" xfId="1861"/>
    <cellStyle name="Финансовый 2 5 2 2 3 2 2" xfId="1862"/>
    <cellStyle name="Финансовый 2 5 2 2 3 2 2 2" xfId="1863"/>
    <cellStyle name="Финансовый 2 5 2 2 3 2 2 3" xfId="1864"/>
    <cellStyle name="Финансовый 2 5 2 2 3 2 3" xfId="1865"/>
    <cellStyle name="Финансовый 2 5 2 2 3 2 4" xfId="1866"/>
    <cellStyle name="Финансовый 2 5 2 2 3 3" xfId="1867"/>
    <cellStyle name="Финансовый 2 5 2 2 3 3 2" xfId="1868"/>
    <cellStyle name="Финансовый 2 5 2 2 3 3 3" xfId="1869"/>
    <cellStyle name="Финансовый 2 5 2 2 3 4" xfId="1870"/>
    <cellStyle name="Финансовый 2 5 2 2 3 5" xfId="1871"/>
    <cellStyle name="Финансовый 2 5 2 2 4" xfId="1872"/>
    <cellStyle name="Финансовый 2 5 2 2 4 2" xfId="1873"/>
    <cellStyle name="Финансовый 2 5 2 2 4 2 2" xfId="1874"/>
    <cellStyle name="Финансовый 2 5 2 2 4 2 3" xfId="1875"/>
    <cellStyle name="Финансовый 2 5 2 2 4 3" xfId="1876"/>
    <cellStyle name="Финансовый 2 5 2 2 4 4" xfId="1877"/>
    <cellStyle name="Финансовый 2 5 2 2 5" xfId="1878"/>
    <cellStyle name="Финансовый 2 5 2 2 5 2" xfId="1879"/>
    <cellStyle name="Финансовый 2 5 2 2 5 3" xfId="1880"/>
    <cellStyle name="Финансовый 2 5 2 2 6" xfId="1881"/>
    <cellStyle name="Финансовый 2 5 2 2 7" xfId="1882"/>
    <cellStyle name="Финансовый 2 5 2 2 8" xfId="1883"/>
    <cellStyle name="Финансовый 2 5 2 3" xfId="1884"/>
    <cellStyle name="Финансовый 2 5 2 3 2" xfId="1885"/>
    <cellStyle name="Финансовый 2 5 2 3 2 2" xfId="1886"/>
    <cellStyle name="Финансовый 2 5 2 3 2 2 2" xfId="1887"/>
    <cellStyle name="Финансовый 2 5 2 3 2 2 3" xfId="1888"/>
    <cellStyle name="Финансовый 2 5 2 3 2 3" xfId="1889"/>
    <cellStyle name="Финансовый 2 5 2 3 2 4" xfId="1890"/>
    <cellStyle name="Финансовый 2 5 2 3 3" xfId="1891"/>
    <cellStyle name="Финансовый 2 5 2 3 3 2" xfId="1892"/>
    <cellStyle name="Финансовый 2 5 2 3 3 3" xfId="1893"/>
    <cellStyle name="Финансовый 2 5 2 3 4" xfId="1894"/>
    <cellStyle name="Финансовый 2 5 2 3 5" xfId="1895"/>
    <cellStyle name="Финансовый 2 5 2 4" xfId="1896"/>
    <cellStyle name="Финансовый 2 5 2 4 2" xfId="1897"/>
    <cellStyle name="Финансовый 2 5 2 4 2 2" xfId="1898"/>
    <cellStyle name="Финансовый 2 5 2 4 2 2 2" xfId="1899"/>
    <cellStyle name="Финансовый 2 5 2 4 2 2 3" xfId="1900"/>
    <cellStyle name="Финансовый 2 5 2 4 2 3" xfId="1901"/>
    <cellStyle name="Финансовый 2 5 2 4 2 4" xfId="1902"/>
    <cellStyle name="Финансовый 2 5 2 4 3" xfId="1903"/>
    <cellStyle name="Финансовый 2 5 2 4 3 2" xfId="1904"/>
    <cellStyle name="Финансовый 2 5 2 4 3 3" xfId="1905"/>
    <cellStyle name="Финансовый 2 5 2 4 4" xfId="1906"/>
    <cellStyle name="Финансовый 2 5 2 4 5" xfId="1907"/>
    <cellStyle name="Финансовый 2 5 2 5" xfId="1908"/>
    <cellStyle name="Финансовый 2 5 2 5 2" xfId="1909"/>
    <cellStyle name="Финансовый 2 5 2 5 2 2" xfId="1910"/>
    <cellStyle name="Финансовый 2 5 2 5 2 3" xfId="1911"/>
    <cellStyle name="Финансовый 2 5 2 5 3" xfId="1912"/>
    <cellStyle name="Финансовый 2 5 2 5 4" xfId="1913"/>
    <cellStyle name="Финансовый 2 5 2 6" xfId="1914"/>
    <cellStyle name="Финансовый 2 5 2 6 2" xfId="1915"/>
    <cellStyle name="Финансовый 2 5 2 6 2 2" xfId="1916"/>
    <cellStyle name="Финансовый 2 5 2 6 2 3" xfId="1917"/>
    <cellStyle name="Финансовый 2 5 2 6 3" xfId="1918"/>
    <cellStyle name="Финансовый 2 5 2 6 4" xfId="1919"/>
    <cellStyle name="Финансовый 2 5 2 7" xfId="1920"/>
    <cellStyle name="Финансовый 2 5 2 7 2" xfId="1921"/>
    <cellStyle name="Финансовый 2 5 2 7 2 2" xfId="1922"/>
    <cellStyle name="Финансовый 2 5 2 7 2 3" xfId="1923"/>
    <cellStyle name="Финансовый 2 5 2 7 3" xfId="1924"/>
    <cellStyle name="Финансовый 2 5 2 7 4" xfId="1925"/>
    <cellStyle name="Финансовый 2 5 2 8" xfId="1926"/>
    <cellStyle name="Финансовый 2 5 2 8 2" xfId="1927"/>
    <cellStyle name="Финансовый 2 5 2 8 2 2" xfId="1928"/>
    <cellStyle name="Финансовый 2 5 2 8 2 3" xfId="1929"/>
    <cellStyle name="Финансовый 2 5 2 8 3" xfId="1930"/>
    <cellStyle name="Финансовый 2 5 2 8 4" xfId="1931"/>
    <cellStyle name="Финансовый 2 5 2 9" xfId="1932"/>
    <cellStyle name="Финансовый 2 5 2 9 2" xfId="1933"/>
    <cellStyle name="Финансовый 2 5 2 9 3" xfId="1934"/>
    <cellStyle name="Финансовый 2 5 3" xfId="1935"/>
    <cellStyle name="Финансовый 2 5 3 2" xfId="1936"/>
    <cellStyle name="Финансовый 2 5 3 2 2" xfId="1937"/>
    <cellStyle name="Финансовый 2 5 3 2 2 2" xfId="1938"/>
    <cellStyle name="Финансовый 2 5 3 2 2 2 2" xfId="1939"/>
    <cellStyle name="Финансовый 2 5 3 2 2 2 3" xfId="1940"/>
    <cellStyle name="Финансовый 2 5 3 2 2 3" xfId="1941"/>
    <cellStyle name="Финансовый 2 5 3 2 2 4" xfId="1942"/>
    <cellStyle name="Финансовый 2 5 3 2 3" xfId="1943"/>
    <cellStyle name="Финансовый 2 5 3 2 3 2" xfId="1944"/>
    <cellStyle name="Финансовый 2 5 3 2 3 3" xfId="1945"/>
    <cellStyle name="Финансовый 2 5 3 2 4" xfId="1946"/>
    <cellStyle name="Финансовый 2 5 3 2 5" xfId="1947"/>
    <cellStyle name="Финансовый 2 5 3 3" xfId="1948"/>
    <cellStyle name="Финансовый 2 5 3 3 2" xfId="1949"/>
    <cellStyle name="Финансовый 2 5 3 3 2 2" xfId="1950"/>
    <cellStyle name="Финансовый 2 5 3 3 2 2 2" xfId="1951"/>
    <cellStyle name="Финансовый 2 5 3 3 2 2 3" xfId="1952"/>
    <cellStyle name="Финансовый 2 5 3 3 2 3" xfId="1953"/>
    <cellStyle name="Финансовый 2 5 3 3 2 4" xfId="1954"/>
    <cellStyle name="Финансовый 2 5 3 3 3" xfId="1955"/>
    <cellStyle name="Финансовый 2 5 3 3 3 2" xfId="1956"/>
    <cellStyle name="Финансовый 2 5 3 3 3 3" xfId="1957"/>
    <cellStyle name="Финансовый 2 5 3 3 4" xfId="1958"/>
    <cellStyle name="Финансовый 2 5 3 3 5" xfId="1959"/>
    <cellStyle name="Финансовый 2 5 3 4" xfId="1960"/>
    <cellStyle name="Финансовый 2 5 3 4 2" xfId="1961"/>
    <cellStyle name="Финансовый 2 5 3 4 2 2" xfId="1962"/>
    <cellStyle name="Финансовый 2 5 3 4 2 3" xfId="1963"/>
    <cellStyle name="Финансовый 2 5 3 4 3" xfId="1964"/>
    <cellStyle name="Финансовый 2 5 3 4 4" xfId="1965"/>
    <cellStyle name="Финансовый 2 5 3 5" xfId="1966"/>
    <cellStyle name="Финансовый 2 5 3 5 2" xfId="1967"/>
    <cellStyle name="Финансовый 2 5 3 5 3" xfId="1968"/>
    <cellStyle name="Финансовый 2 5 3 6" xfId="1969"/>
    <cellStyle name="Финансовый 2 5 3 7" xfId="1970"/>
    <cellStyle name="Финансовый 2 5 3 8" xfId="1971"/>
    <cellStyle name="Финансовый 2 5 4" xfId="1972"/>
    <cellStyle name="Финансовый 2 5 4 2" xfId="1973"/>
    <cellStyle name="Финансовый 2 5 4 2 2" xfId="1974"/>
    <cellStyle name="Финансовый 2 5 4 2 2 2" xfId="1975"/>
    <cellStyle name="Финансовый 2 5 4 2 2 3" xfId="1976"/>
    <cellStyle name="Финансовый 2 5 4 2 3" xfId="1977"/>
    <cellStyle name="Финансовый 2 5 4 2 4" xfId="1978"/>
    <cellStyle name="Финансовый 2 5 4 3" xfId="1979"/>
    <cellStyle name="Финансовый 2 5 4 3 2" xfId="1980"/>
    <cellStyle name="Финансовый 2 5 4 3 3" xfId="1981"/>
    <cellStyle name="Финансовый 2 5 4 4" xfId="1982"/>
    <cellStyle name="Финансовый 2 5 4 5" xfId="1983"/>
    <cellStyle name="Финансовый 2 5 5" xfId="1984"/>
    <cellStyle name="Финансовый 2 5 5 2" xfId="1985"/>
    <cellStyle name="Финансовый 2 5 5 2 2" xfId="1986"/>
    <cellStyle name="Финансовый 2 5 5 2 2 2" xfId="1987"/>
    <cellStyle name="Финансовый 2 5 5 2 2 3" xfId="1988"/>
    <cellStyle name="Финансовый 2 5 5 2 3" xfId="1989"/>
    <cellStyle name="Финансовый 2 5 5 2 4" xfId="1990"/>
    <cellStyle name="Финансовый 2 5 5 3" xfId="1991"/>
    <cellStyle name="Финансовый 2 5 5 3 2" xfId="1992"/>
    <cellStyle name="Финансовый 2 5 5 3 3" xfId="1993"/>
    <cellStyle name="Финансовый 2 5 5 4" xfId="1994"/>
    <cellStyle name="Финансовый 2 5 5 5" xfId="1995"/>
    <cellStyle name="Финансовый 2 5 6" xfId="1996"/>
    <cellStyle name="Финансовый 2 5 6 2" xfId="1997"/>
    <cellStyle name="Финансовый 2 5 6 2 2" xfId="1998"/>
    <cellStyle name="Финансовый 2 5 6 2 3" xfId="1999"/>
    <cellStyle name="Финансовый 2 5 6 3" xfId="2000"/>
    <cellStyle name="Финансовый 2 5 6 4" xfId="2001"/>
    <cellStyle name="Финансовый 2 5 7" xfId="2002"/>
    <cellStyle name="Финансовый 2 5 7 2" xfId="2003"/>
    <cellStyle name="Финансовый 2 5 7 2 2" xfId="2004"/>
    <cellStyle name="Финансовый 2 5 7 2 3" xfId="2005"/>
    <cellStyle name="Финансовый 2 5 7 3" xfId="2006"/>
    <cellStyle name="Финансовый 2 5 7 4" xfId="2007"/>
    <cellStyle name="Финансовый 2 5 8" xfId="2008"/>
    <cellStyle name="Финансовый 2 5 8 2" xfId="2009"/>
    <cellStyle name="Финансовый 2 5 8 2 2" xfId="2010"/>
    <cellStyle name="Финансовый 2 5 8 2 3" xfId="2011"/>
    <cellStyle name="Финансовый 2 5 8 3" xfId="2012"/>
    <cellStyle name="Финансовый 2 5 8 4" xfId="2013"/>
    <cellStyle name="Финансовый 2 5 9" xfId="2014"/>
    <cellStyle name="Финансовый 2 5 9 2" xfId="2015"/>
    <cellStyle name="Финансовый 2 5 9 2 2" xfId="2016"/>
    <cellStyle name="Финансовый 2 5 9 2 3" xfId="2017"/>
    <cellStyle name="Финансовый 2 5 9 3" xfId="2018"/>
    <cellStyle name="Финансовый 2 5 9 4" xfId="2019"/>
    <cellStyle name="Финансовый 2 6" xfId="2020"/>
    <cellStyle name="Финансовый 2 6 10" xfId="2021"/>
    <cellStyle name="Финансовый 2 6 11" xfId="2022"/>
    <cellStyle name="Финансовый 2 6 12" xfId="2023"/>
    <cellStyle name="Финансовый 2 6 13" xfId="2024"/>
    <cellStyle name="Финансовый 2 6 2" xfId="2025"/>
    <cellStyle name="Финансовый 2 6 2 2" xfId="2026"/>
    <cellStyle name="Финансовый 2 6 2 2 2" xfId="2027"/>
    <cellStyle name="Финансовый 2 6 2 2 2 2" xfId="2028"/>
    <cellStyle name="Финансовый 2 6 2 2 2 2 2" xfId="2029"/>
    <cellStyle name="Финансовый 2 6 2 2 2 2 3" xfId="2030"/>
    <cellStyle name="Финансовый 2 6 2 2 2 3" xfId="2031"/>
    <cellStyle name="Финансовый 2 6 2 2 2 4" xfId="2032"/>
    <cellStyle name="Финансовый 2 6 2 2 3" xfId="2033"/>
    <cellStyle name="Финансовый 2 6 2 2 3 2" xfId="2034"/>
    <cellStyle name="Финансовый 2 6 2 2 3 3" xfId="2035"/>
    <cellStyle name="Финансовый 2 6 2 2 4" xfId="2036"/>
    <cellStyle name="Финансовый 2 6 2 2 5" xfId="2037"/>
    <cellStyle name="Финансовый 2 6 2 3" xfId="2038"/>
    <cellStyle name="Финансовый 2 6 2 3 2" xfId="2039"/>
    <cellStyle name="Финансовый 2 6 2 3 2 2" xfId="2040"/>
    <cellStyle name="Финансовый 2 6 2 3 2 2 2" xfId="2041"/>
    <cellStyle name="Финансовый 2 6 2 3 2 2 3" xfId="2042"/>
    <cellStyle name="Финансовый 2 6 2 3 2 3" xfId="2043"/>
    <cellStyle name="Финансовый 2 6 2 3 2 4" xfId="2044"/>
    <cellStyle name="Финансовый 2 6 2 3 3" xfId="2045"/>
    <cellStyle name="Финансовый 2 6 2 3 3 2" xfId="2046"/>
    <cellStyle name="Финансовый 2 6 2 3 3 3" xfId="2047"/>
    <cellStyle name="Финансовый 2 6 2 3 4" xfId="2048"/>
    <cellStyle name="Финансовый 2 6 2 3 5" xfId="2049"/>
    <cellStyle name="Финансовый 2 6 2 4" xfId="2050"/>
    <cellStyle name="Финансовый 2 6 2 4 2" xfId="2051"/>
    <cellStyle name="Финансовый 2 6 2 4 2 2" xfId="2052"/>
    <cellStyle name="Финансовый 2 6 2 4 2 3" xfId="2053"/>
    <cellStyle name="Финансовый 2 6 2 4 3" xfId="2054"/>
    <cellStyle name="Финансовый 2 6 2 4 4" xfId="2055"/>
    <cellStyle name="Финансовый 2 6 2 5" xfId="2056"/>
    <cellStyle name="Финансовый 2 6 2 5 2" xfId="2057"/>
    <cellStyle name="Финансовый 2 6 2 5 3" xfId="2058"/>
    <cellStyle name="Финансовый 2 6 2 6" xfId="2059"/>
    <cellStyle name="Финансовый 2 6 2 7" xfId="2060"/>
    <cellStyle name="Финансовый 2 6 2 8" xfId="2061"/>
    <cellStyle name="Финансовый 2 6 3" xfId="2062"/>
    <cellStyle name="Финансовый 2 6 3 2" xfId="2063"/>
    <cellStyle name="Финансовый 2 6 3 2 2" xfId="2064"/>
    <cellStyle name="Финансовый 2 6 3 2 2 2" xfId="2065"/>
    <cellStyle name="Финансовый 2 6 3 2 2 3" xfId="2066"/>
    <cellStyle name="Финансовый 2 6 3 2 3" xfId="2067"/>
    <cellStyle name="Финансовый 2 6 3 2 4" xfId="2068"/>
    <cellStyle name="Финансовый 2 6 3 3" xfId="2069"/>
    <cellStyle name="Финансовый 2 6 3 3 2" xfId="2070"/>
    <cellStyle name="Финансовый 2 6 3 3 3" xfId="2071"/>
    <cellStyle name="Финансовый 2 6 3 4" xfId="2072"/>
    <cellStyle name="Финансовый 2 6 3 5" xfId="2073"/>
    <cellStyle name="Финансовый 2 6 4" xfId="2074"/>
    <cellStyle name="Финансовый 2 6 4 2" xfId="2075"/>
    <cellStyle name="Финансовый 2 6 4 2 2" xfId="2076"/>
    <cellStyle name="Финансовый 2 6 4 2 2 2" xfId="2077"/>
    <cellStyle name="Финансовый 2 6 4 2 2 3" xfId="2078"/>
    <cellStyle name="Финансовый 2 6 4 2 3" xfId="2079"/>
    <cellStyle name="Финансовый 2 6 4 2 4" xfId="2080"/>
    <cellStyle name="Финансовый 2 6 4 3" xfId="2081"/>
    <cellStyle name="Финансовый 2 6 4 3 2" xfId="2082"/>
    <cellStyle name="Финансовый 2 6 4 3 3" xfId="2083"/>
    <cellStyle name="Финансовый 2 6 4 4" xfId="2084"/>
    <cellStyle name="Финансовый 2 6 4 5" xfId="2085"/>
    <cellStyle name="Финансовый 2 6 5" xfId="2086"/>
    <cellStyle name="Финансовый 2 6 5 2" xfId="2087"/>
    <cellStyle name="Финансовый 2 6 5 2 2" xfId="2088"/>
    <cellStyle name="Финансовый 2 6 5 2 3" xfId="2089"/>
    <cellStyle name="Финансовый 2 6 5 3" xfId="2090"/>
    <cellStyle name="Финансовый 2 6 5 4" xfId="2091"/>
    <cellStyle name="Финансовый 2 6 6" xfId="2092"/>
    <cellStyle name="Финансовый 2 6 6 2" xfId="2093"/>
    <cellStyle name="Финансовый 2 6 6 2 2" xfId="2094"/>
    <cellStyle name="Финансовый 2 6 6 2 3" xfId="2095"/>
    <cellStyle name="Финансовый 2 6 6 3" xfId="2096"/>
    <cellStyle name="Финансовый 2 6 6 4" xfId="2097"/>
    <cellStyle name="Финансовый 2 6 7" xfId="2098"/>
    <cellStyle name="Финансовый 2 6 7 2" xfId="2099"/>
    <cellStyle name="Финансовый 2 6 7 2 2" xfId="2100"/>
    <cellStyle name="Финансовый 2 6 7 2 3" xfId="2101"/>
    <cellStyle name="Финансовый 2 6 7 3" xfId="2102"/>
    <cellStyle name="Финансовый 2 6 7 4" xfId="2103"/>
    <cellStyle name="Финансовый 2 6 8" xfId="2104"/>
    <cellStyle name="Финансовый 2 6 8 2" xfId="2105"/>
    <cellStyle name="Финансовый 2 6 8 2 2" xfId="2106"/>
    <cellStyle name="Финансовый 2 6 8 2 3" xfId="2107"/>
    <cellStyle name="Финансовый 2 6 8 3" xfId="2108"/>
    <cellStyle name="Финансовый 2 6 8 4" xfId="2109"/>
    <cellStyle name="Финансовый 2 6 9" xfId="2110"/>
    <cellStyle name="Финансовый 2 6 9 2" xfId="2111"/>
    <cellStyle name="Финансовый 2 6 9 3" xfId="2112"/>
    <cellStyle name="Финансовый 2 7" xfId="2113"/>
    <cellStyle name="Финансовый 2 7 10" xfId="2114"/>
    <cellStyle name="Финансовый 2 7 11" xfId="2115"/>
    <cellStyle name="Финансовый 2 7 12" xfId="2116"/>
    <cellStyle name="Финансовый 2 7 13" xfId="2117"/>
    <cellStyle name="Финансовый 2 7 2" xfId="2118"/>
    <cellStyle name="Финансовый 2 7 2 2" xfId="2119"/>
    <cellStyle name="Финансовый 2 7 2 2 2" xfId="2120"/>
    <cellStyle name="Финансовый 2 7 2 2 2 2" xfId="2121"/>
    <cellStyle name="Финансовый 2 7 2 2 2 2 2" xfId="2122"/>
    <cellStyle name="Финансовый 2 7 2 2 2 2 3" xfId="2123"/>
    <cellStyle name="Финансовый 2 7 2 2 2 3" xfId="2124"/>
    <cellStyle name="Финансовый 2 7 2 2 2 4" xfId="2125"/>
    <cellStyle name="Финансовый 2 7 2 2 3" xfId="2126"/>
    <cellStyle name="Финансовый 2 7 2 2 3 2" xfId="2127"/>
    <cellStyle name="Финансовый 2 7 2 2 3 3" xfId="2128"/>
    <cellStyle name="Финансовый 2 7 2 2 4" xfId="2129"/>
    <cellStyle name="Финансовый 2 7 2 2 5" xfId="2130"/>
    <cellStyle name="Финансовый 2 7 2 3" xfId="2131"/>
    <cellStyle name="Финансовый 2 7 2 3 2" xfId="2132"/>
    <cellStyle name="Финансовый 2 7 2 3 2 2" xfId="2133"/>
    <cellStyle name="Финансовый 2 7 2 3 2 2 2" xfId="2134"/>
    <cellStyle name="Финансовый 2 7 2 3 2 2 3" xfId="2135"/>
    <cellStyle name="Финансовый 2 7 2 3 2 3" xfId="2136"/>
    <cellStyle name="Финансовый 2 7 2 3 2 4" xfId="2137"/>
    <cellStyle name="Финансовый 2 7 2 3 3" xfId="2138"/>
    <cellStyle name="Финансовый 2 7 2 3 3 2" xfId="2139"/>
    <cellStyle name="Финансовый 2 7 2 3 3 3" xfId="2140"/>
    <cellStyle name="Финансовый 2 7 2 3 4" xfId="2141"/>
    <cellStyle name="Финансовый 2 7 2 3 5" xfId="2142"/>
    <cellStyle name="Финансовый 2 7 2 4" xfId="2143"/>
    <cellStyle name="Финансовый 2 7 2 4 2" xfId="2144"/>
    <cellStyle name="Финансовый 2 7 2 4 2 2" xfId="2145"/>
    <cellStyle name="Финансовый 2 7 2 4 2 3" xfId="2146"/>
    <cellStyle name="Финансовый 2 7 2 4 3" xfId="2147"/>
    <cellStyle name="Финансовый 2 7 2 4 4" xfId="2148"/>
    <cellStyle name="Финансовый 2 7 2 5" xfId="2149"/>
    <cellStyle name="Финансовый 2 7 2 5 2" xfId="2150"/>
    <cellStyle name="Финансовый 2 7 2 5 3" xfId="2151"/>
    <cellStyle name="Финансовый 2 7 2 6" xfId="2152"/>
    <cellStyle name="Финансовый 2 7 2 7" xfId="2153"/>
    <cellStyle name="Финансовый 2 7 2 8" xfId="2154"/>
    <cellStyle name="Финансовый 2 7 3" xfId="2155"/>
    <cellStyle name="Финансовый 2 7 3 2" xfId="2156"/>
    <cellStyle name="Финансовый 2 7 3 2 2" xfId="2157"/>
    <cellStyle name="Финансовый 2 7 3 2 2 2" xfId="2158"/>
    <cellStyle name="Финансовый 2 7 3 2 2 3" xfId="2159"/>
    <cellStyle name="Финансовый 2 7 3 2 3" xfId="2160"/>
    <cellStyle name="Финансовый 2 7 3 2 4" xfId="2161"/>
    <cellStyle name="Финансовый 2 7 3 3" xfId="2162"/>
    <cellStyle name="Финансовый 2 7 3 3 2" xfId="2163"/>
    <cellStyle name="Финансовый 2 7 3 3 3" xfId="2164"/>
    <cellStyle name="Финансовый 2 7 3 4" xfId="2165"/>
    <cellStyle name="Финансовый 2 7 3 5" xfId="2166"/>
    <cellStyle name="Финансовый 2 7 4" xfId="2167"/>
    <cellStyle name="Финансовый 2 7 4 2" xfId="2168"/>
    <cellStyle name="Финансовый 2 7 4 2 2" xfId="2169"/>
    <cellStyle name="Финансовый 2 7 4 2 2 2" xfId="2170"/>
    <cellStyle name="Финансовый 2 7 4 2 2 3" xfId="2171"/>
    <cellStyle name="Финансовый 2 7 4 2 3" xfId="2172"/>
    <cellStyle name="Финансовый 2 7 4 2 4" xfId="2173"/>
    <cellStyle name="Финансовый 2 7 4 3" xfId="2174"/>
    <cellStyle name="Финансовый 2 7 4 3 2" xfId="2175"/>
    <cellStyle name="Финансовый 2 7 4 3 3" xfId="2176"/>
    <cellStyle name="Финансовый 2 7 4 4" xfId="2177"/>
    <cellStyle name="Финансовый 2 7 4 5" xfId="2178"/>
    <cellStyle name="Финансовый 2 7 5" xfId="2179"/>
    <cellStyle name="Финансовый 2 7 5 2" xfId="2180"/>
    <cellStyle name="Финансовый 2 7 5 2 2" xfId="2181"/>
    <cellStyle name="Финансовый 2 7 5 2 3" xfId="2182"/>
    <cellStyle name="Финансовый 2 7 5 3" xfId="2183"/>
    <cellStyle name="Финансовый 2 7 5 4" xfId="2184"/>
    <cellStyle name="Финансовый 2 7 6" xfId="2185"/>
    <cellStyle name="Финансовый 2 7 6 2" xfId="2186"/>
    <cellStyle name="Финансовый 2 7 6 2 2" xfId="2187"/>
    <cellStyle name="Финансовый 2 7 6 2 3" xfId="2188"/>
    <cellStyle name="Финансовый 2 7 6 3" xfId="2189"/>
    <cellStyle name="Финансовый 2 7 6 4" xfId="2190"/>
    <cellStyle name="Финансовый 2 7 7" xfId="2191"/>
    <cellStyle name="Финансовый 2 7 7 2" xfId="2192"/>
    <cellStyle name="Финансовый 2 7 7 2 2" xfId="2193"/>
    <cellStyle name="Финансовый 2 7 7 2 3" xfId="2194"/>
    <cellStyle name="Финансовый 2 7 7 3" xfId="2195"/>
    <cellStyle name="Финансовый 2 7 7 4" xfId="2196"/>
    <cellStyle name="Финансовый 2 7 8" xfId="2197"/>
    <cellStyle name="Финансовый 2 7 8 2" xfId="2198"/>
    <cellStyle name="Финансовый 2 7 8 2 2" xfId="2199"/>
    <cellStyle name="Финансовый 2 7 8 2 3" xfId="2200"/>
    <cellStyle name="Финансовый 2 7 8 3" xfId="2201"/>
    <cellStyle name="Финансовый 2 7 8 4" xfId="2202"/>
    <cellStyle name="Финансовый 2 7 9" xfId="2203"/>
    <cellStyle name="Финансовый 2 7 9 2" xfId="2204"/>
    <cellStyle name="Финансовый 2 7 9 3" xfId="2205"/>
    <cellStyle name="Финансовый 2 8" xfId="2206"/>
    <cellStyle name="Финансовый 2 8 10" xfId="2207"/>
    <cellStyle name="Финансовый 2 8 11" xfId="2208"/>
    <cellStyle name="Финансовый 2 8 12" xfId="2209"/>
    <cellStyle name="Финансовый 2 8 13" xfId="2210"/>
    <cellStyle name="Финансовый 2 8 2" xfId="2211"/>
    <cellStyle name="Финансовый 2 8 2 2" xfId="2212"/>
    <cellStyle name="Финансовый 2 8 2 2 2" xfId="2213"/>
    <cellStyle name="Финансовый 2 8 2 2 2 2" xfId="2214"/>
    <cellStyle name="Финансовый 2 8 2 2 2 2 2" xfId="2215"/>
    <cellStyle name="Финансовый 2 8 2 2 2 2 3" xfId="2216"/>
    <cellStyle name="Финансовый 2 8 2 2 2 3" xfId="2217"/>
    <cellStyle name="Финансовый 2 8 2 2 2 4" xfId="2218"/>
    <cellStyle name="Финансовый 2 8 2 2 3" xfId="2219"/>
    <cellStyle name="Финансовый 2 8 2 2 3 2" xfId="2220"/>
    <cellStyle name="Финансовый 2 8 2 2 3 3" xfId="2221"/>
    <cellStyle name="Финансовый 2 8 2 2 4" xfId="2222"/>
    <cellStyle name="Финансовый 2 8 2 2 5" xfId="2223"/>
    <cellStyle name="Финансовый 2 8 2 3" xfId="2224"/>
    <cellStyle name="Финансовый 2 8 2 3 2" xfId="2225"/>
    <cellStyle name="Финансовый 2 8 2 3 2 2" xfId="2226"/>
    <cellStyle name="Финансовый 2 8 2 3 2 2 2" xfId="2227"/>
    <cellStyle name="Финансовый 2 8 2 3 2 2 3" xfId="2228"/>
    <cellStyle name="Финансовый 2 8 2 3 2 3" xfId="2229"/>
    <cellStyle name="Финансовый 2 8 2 3 2 4" xfId="2230"/>
    <cellStyle name="Финансовый 2 8 2 3 3" xfId="2231"/>
    <cellStyle name="Финансовый 2 8 2 3 3 2" xfId="2232"/>
    <cellStyle name="Финансовый 2 8 2 3 3 3" xfId="2233"/>
    <cellStyle name="Финансовый 2 8 2 3 4" xfId="2234"/>
    <cellStyle name="Финансовый 2 8 2 3 5" xfId="2235"/>
    <cellStyle name="Финансовый 2 8 2 4" xfId="2236"/>
    <cellStyle name="Финансовый 2 8 2 4 2" xfId="2237"/>
    <cellStyle name="Финансовый 2 8 2 4 2 2" xfId="2238"/>
    <cellStyle name="Финансовый 2 8 2 4 2 3" xfId="2239"/>
    <cellStyle name="Финансовый 2 8 2 4 3" xfId="2240"/>
    <cellStyle name="Финансовый 2 8 2 4 4" xfId="2241"/>
    <cellStyle name="Финансовый 2 8 2 5" xfId="2242"/>
    <cellStyle name="Финансовый 2 8 2 5 2" xfId="2243"/>
    <cellStyle name="Финансовый 2 8 2 5 3" xfId="2244"/>
    <cellStyle name="Финансовый 2 8 2 6" xfId="2245"/>
    <cellStyle name="Финансовый 2 8 2 7" xfId="2246"/>
    <cellStyle name="Финансовый 2 8 2 8" xfId="2247"/>
    <cellStyle name="Финансовый 2 8 3" xfId="2248"/>
    <cellStyle name="Финансовый 2 8 3 2" xfId="2249"/>
    <cellStyle name="Финансовый 2 8 3 2 2" xfId="2250"/>
    <cellStyle name="Финансовый 2 8 3 2 2 2" xfId="2251"/>
    <cellStyle name="Финансовый 2 8 3 2 2 3" xfId="2252"/>
    <cellStyle name="Финансовый 2 8 3 2 3" xfId="2253"/>
    <cellStyle name="Финансовый 2 8 3 2 4" xfId="2254"/>
    <cellStyle name="Финансовый 2 8 3 3" xfId="2255"/>
    <cellStyle name="Финансовый 2 8 3 3 2" xfId="2256"/>
    <cellStyle name="Финансовый 2 8 3 3 3" xfId="2257"/>
    <cellStyle name="Финансовый 2 8 3 4" xfId="2258"/>
    <cellStyle name="Финансовый 2 8 3 5" xfId="2259"/>
    <cellStyle name="Финансовый 2 8 4" xfId="2260"/>
    <cellStyle name="Финансовый 2 8 4 2" xfId="2261"/>
    <cellStyle name="Финансовый 2 8 4 2 2" xfId="2262"/>
    <cellStyle name="Финансовый 2 8 4 2 2 2" xfId="2263"/>
    <cellStyle name="Финансовый 2 8 4 2 2 3" xfId="2264"/>
    <cellStyle name="Финансовый 2 8 4 2 3" xfId="2265"/>
    <cellStyle name="Финансовый 2 8 4 2 4" xfId="2266"/>
    <cellStyle name="Финансовый 2 8 4 3" xfId="2267"/>
    <cellStyle name="Финансовый 2 8 4 3 2" xfId="2268"/>
    <cellStyle name="Финансовый 2 8 4 3 3" xfId="2269"/>
    <cellStyle name="Финансовый 2 8 4 4" xfId="2270"/>
    <cellStyle name="Финансовый 2 8 4 5" xfId="2271"/>
    <cellStyle name="Финансовый 2 8 5" xfId="2272"/>
    <cellStyle name="Финансовый 2 8 5 2" xfId="2273"/>
    <cellStyle name="Финансовый 2 8 5 2 2" xfId="2274"/>
    <cellStyle name="Финансовый 2 8 5 2 3" xfId="2275"/>
    <cellStyle name="Финансовый 2 8 5 3" xfId="2276"/>
    <cellStyle name="Финансовый 2 8 5 4" xfId="2277"/>
    <cellStyle name="Финансовый 2 8 6" xfId="2278"/>
    <cellStyle name="Финансовый 2 8 6 2" xfId="2279"/>
    <cellStyle name="Финансовый 2 8 6 2 2" xfId="2280"/>
    <cellStyle name="Финансовый 2 8 6 2 3" xfId="2281"/>
    <cellStyle name="Финансовый 2 8 6 3" xfId="2282"/>
    <cellStyle name="Финансовый 2 8 6 4" xfId="2283"/>
    <cellStyle name="Финансовый 2 8 7" xfId="2284"/>
    <cellStyle name="Финансовый 2 8 7 2" xfId="2285"/>
    <cellStyle name="Финансовый 2 8 7 2 2" xfId="2286"/>
    <cellStyle name="Финансовый 2 8 7 2 3" xfId="2287"/>
    <cellStyle name="Финансовый 2 8 7 3" xfId="2288"/>
    <cellStyle name="Финансовый 2 8 7 4" xfId="2289"/>
    <cellStyle name="Финансовый 2 8 8" xfId="2290"/>
    <cellStyle name="Финансовый 2 8 8 2" xfId="2291"/>
    <cellStyle name="Финансовый 2 8 8 2 2" xfId="2292"/>
    <cellStyle name="Финансовый 2 8 8 2 3" xfId="2293"/>
    <cellStyle name="Финансовый 2 8 8 3" xfId="2294"/>
    <cellStyle name="Финансовый 2 8 8 4" xfId="2295"/>
    <cellStyle name="Финансовый 2 8 9" xfId="2296"/>
    <cellStyle name="Финансовый 2 8 9 2" xfId="2297"/>
    <cellStyle name="Финансовый 2 8 9 3" xfId="2298"/>
    <cellStyle name="Финансовый 2 9" xfId="2299"/>
    <cellStyle name="Финансовый 2 9 2" xfId="2300"/>
    <cellStyle name="Финансовый 2 9 3" xfId="2301"/>
    <cellStyle name="Финансовый 20" xfId="2302"/>
    <cellStyle name="Финансовый 21" xfId="2303"/>
    <cellStyle name="Финансовый 3" xfId="2304"/>
    <cellStyle name="Финансовый 3 10" xfId="2305"/>
    <cellStyle name="Финансовый 3 10 2" xfId="2306"/>
    <cellStyle name="Финансовый 3 10 2 2" xfId="2307"/>
    <cellStyle name="Финансовый 3 10 2 3" xfId="2308"/>
    <cellStyle name="Финансовый 3 10 3" xfId="2309"/>
    <cellStyle name="Финансовый 3 10 4" xfId="2310"/>
    <cellStyle name="Финансовый 3 11" xfId="2311"/>
    <cellStyle name="Финансовый 3 11 2" xfId="2312"/>
    <cellStyle name="Финансовый 3 11 2 2" xfId="2313"/>
    <cellStyle name="Финансовый 3 11 2 3" xfId="2314"/>
    <cellStyle name="Финансовый 3 11 3" xfId="2315"/>
    <cellStyle name="Финансовый 3 11 4" xfId="2316"/>
    <cellStyle name="Финансовый 3 12" xfId="2317"/>
    <cellStyle name="Финансовый 3 12 2" xfId="2318"/>
    <cellStyle name="Финансовый 3 12 2 2" xfId="2319"/>
    <cellStyle name="Финансовый 3 12 2 3" xfId="2320"/>
    <cellStyle name="Финансовый 3 12 3" xfId="2321"/>
    <cellStyle name="Финансовый 3 12 4" xfId="2322"/>
    <cellStyle name="Финансовый 3 13" xfId="2323"/>
    <cellStyle name="Финансовый 3 13 2" xfId="2324"/>
    <cellStyle name="Финансовый 3 13 3" xfId="2325"/>
    <cellStyle name="Финансовый 3 14" xfId="2326"/>
    <cellStyle name="Финансовый 3 15" xfId="2327"/>
    <cellStyle name="Финансовый 3 16" xfId="2328"/>
    <cellStyle name="Финансовый 3 17" xfId="2329"/>
    <cellStyle name="Финансовый 3 2" xfId="2330"/>
    <cellStyle name="Финансовый 3 2 10" xfId="2331"/>
    <cellStyle name="Финансовый 3 2 10 2" xfId="2332"/>
    <cellStyle name="Финансовый 3 2 10 2 2" xfId="2333"/>
    <cellStyle name="Финансовый 3 2 10 2 3" xfId="2334"/>
    <cellStyle name="Финансовый 3 2 10 3" xfId="2335"/>
    <cellStyle name="Финансовый 3 2 10 4" xfId="2336"/>
    <cellStyle name="Финансовый 3 2 11" xfId="2337"/>
    <cellStyle name="Финансовый 3 2 11 2" xfId="2338"/>
    <cellStyle name="Финансовый 3 2 11 2 2" xfId="2339"/>
    <cellStyle name="Финансовый 3 2 11 2 3" xfId="2340"/>
    <cellStyle name="Финансовый 3 2 11 3" xfId="2341"/>
    <cellStyle name="Финансовый 3 2 11 4" xfId="2342"/>
    <cellStyle name="Финансовый 3 2 12" xfId="2343"/>
    <cellStyle name="Финансовый 3 2 12 2" xfId="2344"/>
    <cellStyle name="Финансовый 3 2 12 3" xfId="2345"/>
    <cellStyle name="Финансовый 3 2 13" xfId="2346"/>
    <cellStyle name="Финансовый 3 2 14" xfId="2347"/>
    <cellStyle name="Финансовый 3 2 15" xfId="2348"/>
    <cellStyle name="Финансовый 3 2 16" xfId="2349"/>
    <cellStyle name="Финансовый 3 2 2" xfId="2350"/>
    <cellStyle name="Финансовый 3 2 2 10" xfId="2351"/>
    <cellStyle name="Финансовый 3 2 2 10 2" xfId="2352"/>
    <cellStyle name="Финансовый 3 2 2 10 3" xfId="2353"/>
    <cellStyle name="Финансовый 3 2 2 11" xfId="2354"/>
    <cellStyle name="Финансовый 3 2 2 12" xfId="2355"/>
    <cellStyle name="Финансовый 3 2 2 13" xfId="2356"/>
    <cellStyle name="Финансовый 3 2 2 14" xfId="2357"/>
    <cellStyle name="Финансовый 3 2 2 2" xfId="2358"/>
    <cellStyle name="Финансовый 3 2 2 2 10" xfId="2359"/>
    <cellStyle name="Финансовый 3 2 2 2 11" xfId="2360"/>
    <cellStyle name="Финансовый 3 2 2 2 12" xfId="2361"/>
    <cellStyle name="Финансовый 3 2 2 2 13" xfId="2362"/>
    <cellStyle name="Финансовый 3 2 2 2 2" xfId="2363"/>
    <cellStyle name="Финансовый 3 2 2 2 2 2" xfId="2364"/>
    <cellStyle name="Финансовый 3 2 2 2 2 2 2" xfId="2365"/>
    <cellStyle name="Финансовый 3 2 2 2 2 2 2 2" xfId="2366"/>
    <cellStyle name="Финансовый 3 2 2 2 2 2 2 2 2" xfId="2367"/>
    <cellStyle name="Финансовый 3 2 2 2 2 2 2 2 3" xfId="2368"/>
    <cellStyle name="Финансовый 3 2 2 2 2 2 2 3" xfId="2369"/>
    <cellStyle name="Финансовый 3 2 2 2 2 2 2 4" xfId="2370"/>
    <cellStyle name="Финансовый 3 2 2 2 2 2 3" xfId="2371"/>
    <cellStyle name="Финансовый 3 2 2 2 2 2 3 2" xfId="2372"/>
    <cellStyle name="Финансовый 3 2 2 2 2 2 3 3" xfId="2373"/>
    <cellStyle name="Финансовый 3 2 2 2 2 2 4" xfId="2374"/>
    <cellStyle name="Финансовый 3 2 2 2 2 2 5" xfId="2375"/>
    <cellStyle name="Финансовый 3 2 2 2 2 3" xfId="2376"/>
    <cellStyle name="Финансовый 3 2 2 2 2 3 2" xfId="2377"/>
    <cellStyle name="Финансовый 3 2 2 2 2 3 2 2" xfId="2378"/>
    <cellStyle name="Финансовый 3 2 2 2 2 3 2 2 2" xfId="2379"/>
    <cellStyle name="Финансовый 3 2 2 2 2 3 2 2 3" xfId="2380"/>
    <cellStyle name="Финансовый 3 2 2 2 2 3 2 3" xfId="2381"/>
    <cellStyle name="Финансовый 3 2 2 2 2 3 2 4" xfId="2382"/>
    <cellStyle name="Финансовый 3 2 2 2 2 3 3" xfId="2383"/>
    <cellStyle name="Финансовый 3 2 2 2 2 3 3 2" xfId="2384"/>
    <cellStyle name="Финансовый 3 2 2 2 2 3 3 3" xfId="2385"/>
    <cellStyle name="Финансовый 3 2 2 2 2 3 4" xfId="2386"/>
    <cellStyle name="Финансовый 3 2 2 2 2 3 5" xfId="2387"/>
    <cellStyle name="Финансовый 3 2 2 2 2 4" xfId="2388"/>
    <cellStyle name="Финансовый 3 2 2 2 2 4 2" xfId="2389"/>
    <cellStyle name="Финансовый 3 2 2 2 2 4 2 2" xfId="2390"/>
    <cellStyle name="Финансовый 3 2 2 2 2 4 2 3" xfId="2391"/>
    <cellStyle name="Финансовый 3 2 2 2 2 4 3" xfId="2392"/>
    <cellStyle name="Финансовый 3 2 2 2 2 4 4" xfId="2393"/>
    <cellStyle name="Финансовый 3 2 2 2 2 5" xfId="2394"/>
    <cellStyle name="Финансовый 3 2 2 2 2 5 2" xfId="2395"/>
    <cellStyle name="Финансовый 3 2 2 2 2 5 3" xfId="2396"/>
    <cellStyle name="Финансовый 3 2 2 2 2 6" xfId="2397"/>
    <cellStyle name="Финансовый 3 2 2 2 2 7" xfId="2398"/>
    <cellStyle name="Финансовый 3 2 2 2 2 8" xfId="2399"/>
    <cellStyle name="Финансовый 3 2 2 2 3" xfId="2400"/>
    <cellStyle name="Финансовый 3 2 2 2 3 2" xfId="2401"/>
    <cellStyle name="Финансовый 3 2 2 2 3 2 2" xfId="2402"/>
    <cellStyle name="Финансовый 3 2 2 2 3 2 2 2" xfId="2403"/>
    <cellStyle name="Финансовый 3 2 2 2 3 2 2 3" xfId="2404"/>
    <cellStyle name="Финансовый 3 2 2 2 3 2 3" xfId="2405"/>
    <cellStyle name="Финансовый 3 2 2 2 3 2 4" xfId="2406"/>
    <cellStyle name="Финансовый 3 2 2 2 3 3" xfId="2407"/>
    <cellStyle name="Финансовый 3 2 2 2 3 3 2" xfId="2408"/>
    <cellStyle name="Финансовый 3 2 2 2 3 3 3" xfId="2409"/>
    <cellStyle name="Финансовый 3 2 2 2 3 4" xfId="2410"/>
    <cellStyle name="Финансовый 3 2 2 2 3 5" xfId="2411"/>
    <cellStyle name="Финансовый 3 2 2 2 4" xfId="2412"/>
    <cellStyle name="Финансовый 3 2 2 2 4 2" xfId="2413"/>
    <cellStyle name="Финансовый 3 2 2 2 4 2 2" xfId="2414"/>
    <cellStyle name="Финансовый 3 2 2 2 4 2 2 2" xfId="2415"/>
    <cellStyle name="Финансовый 3 2 2 2 4 2 2 3" xfId="2416"/>
    <cellStyle name="Финансовый 3 2 2 2 4 2 3" xfId="2417"/>
    <cellStyle name="Финансовый 3 2 2 2 4 2 4" xfId="2418"/>
    <cellStyle name="Финансовый 3 2 2 2 4 3" xfId="2419"/>
    <cellStyle name="Финансовый 3 2 2 2 4 3 2" xfId="2420"/>
    <cellStyle name="Финансовый 3 2 2 2 4 3 3" xfId="2421"/>
    <cellStyle name="Финансовый 3 2 2 2 4 4" xfId="2422"/>
    <cellStyle name="Финансовый 3 2 2 2 4 5" xfId="2423"/>
    <cellStyle name="Финансовый 3 2 2 2 5" xfId="2424"/>
    <cellStyle name="Финансовый 3 2 2 2 5 2" xfId="2425"/>
    <cellStyle name="Финансовый 3 2 2 2 5 2 2" xfId="2426"/>
    <cellStyle name="Финансовый 3 2 2 2 5 2 3" xfId="2427"/>
    <cellStyle name="Финансовый 3 2 2 2 5 3" xfId="2428"/>
    <cellStyle name="Финансовый 3 2 2 2 5 4" xfId="2429"/>
    <cellStyle name="Финансовый 3 2 2 2 6" xfId="2430"/>
    <cellStyle name="Финансовый 3 2 2 2 6 2" xfId="2431"/>
    <cellStyle name="Финансовый 3 2 2 2 6 2 2" xfId="2432"/>
    <cellStyle name="Финансовый 3 2 2 2 6 2 3" xfId="2433"/>
    <cellStyle name="Финансовый 3 2 2 2 6 3" xfId="2434"/>
    <cellStyle name="Финансовый 3 2 2 2 6 4" xfId="2435"/>
    <cellStyle name="Финансовый 3 2 2 2 7" xfId="2436"/>
    <cellStyle name="Финансовый 3 2 2 2 7 2" xfId="2437"/>
    <cellStyle name="Финансовый 3 2 2 2 7 2 2" xfId="2438"/>
    <cellStyle name="Финансовый 3 2 2 2 7 2 3" xfId="2439"/>
    <cellStyle name="Финансовый 3 2 2 2 7 3" xfId="2440"/>
    <cellStyle name="Финансовый 3 2 2 2 7 4" xfId="2441"/>
    <cellStyle name="Финансовый 3 2 2 2 8" xfId="2442"/>
    <cellStyle name="Финансовый 3 2 2 2 8 2" xfId="2443"/>
    <cellStyle name="Финансовый 3 2 2 2 8 2 2" xfId="2444"/>
    <cellStyle name="Финансовый 3 2 2 2 8 2 3" xfId="2445"/>
    <cellStyle name="Финансовый 3 2 2 2 8 3" xfId="2446"/>
    <cellStyle name="Финансовый 3 2 2 2 8 4" xfId="2447"/>
    <cellStyle name="Финансовый 3 2 2 2 9" xfId="2448"/>
    <cellStyle name="Финансовый 3 2 2 2 9 2" xfId="2449"/>
    <cellStyle name="Финансовый 3 2 2 2 9 3" xfId="2450"/>
    <cellStyle name="Финансовый 3 2 2 3" xfId="2451"/>
    <cellStyle name="Финансовый 3 2 2 3 2" xfId="2452"/>
    <cellStyle name="Финансовый 3 2 2 3 2 2" xfId="2453"/>
    <cellStyle name="Финансовый 3 2 2 3 2 2 2" xfId="2454"/>
    <cellStyle name="Финансовый 3 2 2 3 2 2 2 2" xfId="2455"/>
    <cellStyle name="Финансовый 3 2 2 3 2 2 2 3" xfId="2456"/>
    <cellStyle name="Финансовый 3 2 2 3 2 2 3" xfId="2457"/>
    <cellStyle name="Финансовый 3 2 2 3 2 2 4" xfId="2458"/>
    <cellStyle name="Финансовый 3 2 2 3 2 3" xfId="2459"/>
    <cellStyle name="Финансовый 3 2 2 3 2 3 2" xfId="2460"/>
    <cellStyle name="Финансовый 3 2 2 3 2 3 3" xfId="2461"/>
    <cellStyle name="Финансовый 3 2 2 3 2 4" xfId="2462"/>
    <cellStyle name="Финансовый 3 2 2 3 2 5" xfId="2463"/>
    <cellStyle name="Финансовый 3 2 2 3 3" xfId="2464"/>
    <cellStyle name="Финансовый 3 2 2 3 3 2" xfId="2465"/>
    <cellStyle name="Финансовый 3 2 2 3 3 2 2" xfId="2466"/>
    <cellStyle name="Финансовый 3 2 2 3 3 2 2 2" xfId="2467"/>
    <cellStyle name="Финансовый 3 2 2 3 3 2 2 3" xfId="2468"/>
    <cellStyle name="Финансовый 3 2 2 3 3 2 3" xfId="2469"/>
    <cellStyle name="Финансовый 3 2 2 3 3 2 4" xfId="2470"/>
    <cellStyle name="Финансовый 3 2 2 3 3 3" xfId="2471"/>
    <cellStyle name="Финансовый 3 2 2 3 3 3 2" xfId="2472"/>
    <cellStyle name="Финансовый 3 2 2 3 3 3 3" xfId="2473"/>
    <cellStyle name="Финансовый 3 2 2 3 3 4" xfId="2474"/>
    <cellStyle name="Финансовый 3 2 2 3 3 5" xfId="2475"/>
    <cellStyle name="Финансовый 3 2 2 3 4" xfId="2476"/>
    <cellStyle name="Финансовый 3 2 2 3 4 2" xfId="2477"/>
    <cellStyle name="Финансовый 3 2 2 3 4 2 2" xfId="2478"/>
    <cellStyle name="Финансовый 3 2 2 3 4 2 3" xfId="2479"/>
    <cellStyle name="Финансовый 3 2 2 3 4 3" xfId="2480"/>
    <cellStyle name="Финансовый 3 2 2 3 4 4" xfId="2481"/>
    <cellStyle name="Финансовый 3 2 2 3 5" xfId="2482"/>
    <cellStyle name="Финансовый 3 2 2 3 5 2" xfId="2483"/>
    <cellStyle name="Финансовый 3 2 2 3 5 3" xfId="2484"/>
    <cellStyle name="Финансовый 3 2 2 3 6" xfId="2485"/>
    <cellStyle name="Финансовый 3 2 2 3 7" xfId="2486"/>
    <cellStyle name="Финансовый 3 2 2 3 8" xfId="2487"/>
    <cellStyle name="Финансовый 3 2 2 4" xfId="2488"/>
    <cellStyle name="Финансовый 3 2 2 4 2" xfId="2489"/>
    <cellStyle name="Финансовый 3 2 2 4 2 2" xfId="2490"/>
    <cellStyle name="Финансовый 3 2 2 4 2 2 2" xfId="2491"/>
    <cellStyle name="Финансовый 3 2 2 4 2 2 3" xfId="2492"/>
    <cellStyle name="Финансовый 3 2 2 4 2 3" xfId="2493"/>
    <cellStyle name="Финансовый 3 2 2 4 2 4" xfId="2494"/>
    <cellStyle name="Финансовый 3 2 2 4 3" xfId="2495"/>
    <cellStyle name="Финансовый 3 2 2 4 3 2" xfId="2496"/>
    <cellStyle name="Финансовый 3 2 2 4 3 3" xfId="2497"/>
    <cellStyle name="Финансовый 3 2 2 4 4" xfId="2498"/>
    <cellStyle name="Финансовый 3 2 2 4 5" xfId="2499"/>
    <cellStyle name="Финансовый 3 2 2 5" xfId="2500"/>
    <cellStyle name="Финансовый 3 2 2 5 2" xfId="2501"/>
    <cellStyle name="Финансовый 3 2 2 5 2 2" xfId="2502"/>
    <cellStyle name="Финансовый 3 2 2 5 2 2 2" xfId="2503"/>
    <cellStyle name="Финансовый 3 2 2 5 2 2 3" xfId="2504"/>
    <cellStyle name="Финансовый 3 2 2 5 2 3" xfId="2505"/>
    <cellStyle name="Финансовый 3 2 2 5 2 4" xfId="2506"/>
    <cellStyle name="Финансовый 3 2 2 5 3" xfId="2507"/>
    <cellStyle name="Финансовый 3 2 2 5 3 2" xfId="2508"/>
    <cellStyle name="Финансовый 3 2 2 5 3 3" xfId="2509"/>
    <cellStyle name="Финансовый 3 2 2 5 4" xfId="2510"/>
    <cellStyle name="Финансовый 3 2 2 5 5" xfId="2511"/>
    <cellStyle name="Финансовый 3 2 2 6" xfId="2512"/>
    <cellStyle name="Финансовый 3 2 2 6 2" xfId="2513"/>
    <cellStyle name="Финансовый 3 2 2 6 2 2" xfId="2514"/>
    <cellStyle name="Финансовый 3 2 2 6 2 3" xfId="2515"/>
    <cellStyle name="Финансовый 3 2 2 6 3" xfId="2516"/>
    <cellStyle name="Финансовый 3 2 2 6 4" xfId="2517"/>
    <cellStyle name="Финансовый 3 2 2 7" xfId="2518"/>
    <cellStyle name="Финансовый 3 2 2 7 2" xfId="2519"/>
    <cellStyle name="Финансовый 3 2 2 7 2 2" xfId="2520"/>
    <cellStyle name="Финансовый 3 2 2 7 2 3" xfId="2521"/>
    <cellStyle name="Финансовый 3 2 2 7 3" xfId="2522"/>
    <cellStyle name="Финансовый 3 2 2 7 4" xfId="2523"/>
    <cellStyle name="Финансовый 3 2 2 8" xfId="2524"/>
    <cellStyle name="Финансовый 3 2 2 8 2" xfId="2525"/>
    <cellStyle name="Финансовый 3 2 2 8 2 2" xfId="2526"/>
    <cellStyle name="Финансовый 3 2 2 8 2 3" xfId="2527"/>
    <cellStyle name="Финансовый 3 2 2 8 3" xfId="2528"/>
    <cellStyle name="Финансовый 3 2 2 8 4" xfId="2529"/>
    <cellStyle name="Финансовый 3 2 2 9" xfId="2530"/>
    <cellStyle name="Финансовый 3 2 2 9 2" xfId="2531"/>
    <cellStyle name="Финансовый 3 2 2 9 2 2" xfId="2532"/>
    <cellStyle name="Финансовый 3 2 2 9 2 3" xfId="2533"/>
    <cellStyle name="Финансовый 3 2 2 9 3" xfId="2534"/>
    <cellStyle name="Финансовый 3 2 2 9 4" xfId="2535"/>
    <cellStyle name="Финансовый 3 2 3" xfId="2536"/>
    <cellStyle name="Финансовый 3 2 3 10" xfId="2537"/>
    <cellStyle name="Финансовый 3 2 3 11" xfId="2538"/>
    <cellStyle name="Финансовый 3 2 3 12" xfId="2539"/>
    <cellStyle name="Финансовый 3 2 3 13" xfId="2540"/>
    <cellStyle name="Финансовый 3 2 3 2" xfId="2541"/>
    <cellStyle name="Финансовый 3 2 3 2 2" xfId="2542"/>
    <cellStyle name="Финансовый 3 2 3 2 2 2" xfId="2543"/>
    <cellStyle name="Финансовый 3 2 3 2 2 2 2" xfId="2544"/>
    <cellStyle name="Финансовый 3 2 3 2 2 2 2 2" xfId="2545"/>
    <cellStyle name="Финансовый 3 2 3 2 2 2 2 3" xfId="2546"/>
    <cellStyle name="Финансовый 3 2 3 2 2 2 3" xfId="2547"/>
    <cellStyle name="Финансовый 3 2 3 2 2 2 4" xfId="2548"/>
    <cellStyle name="Финансовый 3 2 3 2 2 3" xfId="2549"/>
    <cellStyle name="Финансовый 3 2 3 2 2 3 2" xfId="2550"/>
    <cellStyle name="Финансовый 3 2 3 2 2 3 3" xfId="2551"/>
    <cellStyle name="Финансовый 3 2 3 2 2 4" xfId="2552"/>
    <cellStyle name="Финансовый 3 2 3 2 2 5" xfId="2553"/>
    <cellStyle name="Финансовый 3 2 3 2 3" xfId="2554"/>
    <cellStyle name="Финансовый 3 2 3 2 3 2" xfId="2555"/>
    <cellStyle name="Финансовый 3 2 3 2 3 2 2" xfId="2556"/>
    <cellStyle name="Финансовый 3 2 3 2 3 2 2 2" xfId="2557"/>
    <cellStyle name="Финансовый 3 2 3 2 3 2 2 3" xfId="2558"/>
    <cellStyle name="Финансовый 3 2 3 2 3 2 3" xfId="2559"/>
    <cellStyle name="Финансовый 3 2 3 2 3 2 4" xfId="2560"/>
    <cellStyle name="Финансовый 3 2 3 2 3 3" xfId="2561"/>
    <cellStyle name="Финансовый 3 2 3 2 3 3 2" xfId="2562"/>
    <cellStyle name="Финансовый 3 2 3 2 3 3 3" xfId="2563"/>
    <cellStyle name="Финансовый 3 2 3 2 3 4" xfId="2564"/>
    <cellStyle name="Финансовый 3 2 3 2 3 5" xfId="2565"/>
    <cellStyle name="Финансовый 3 2 3 2 4" xfId="2566"/>
    <cellStyle name="Финансовый 3 2 3 2 4 2" xfId="2567"/>
    <cellStyle name="Финансовый 3 2 3 2 4 2 2" xfId="2568"/>
    <cellStyle name="Финансовый 3 2 3 2 4 2 3" xfId="2569"/>
    <cellStyle name="Финансовый 3 2 3 2 4 3" xfId="2570"/>
    <cellStyle name="Финансовый 3 2 3 2 4 4" xfId="2571"/>
    <cellStyle name="Финансовый 3 2 3 2 5" xfId="2572"/>
    <cellStyle name="Финансовый 3 2 3 2 5 2" xfId="2573"/>
    <cellStyle name="Финансовый 3 2 3 2 5 3" xfId="2574"/>
    <cellStyle name="Финансовый 3 2 3 2 6" xfId="2575"/>
    <cellStyle name="Финансовый 3 2 3 2 7" xfId="2576"/>
    <cellStyle name="Финансовый 3 2 3 2 8" xfId="2577"/>
    <cellStyle name="Финансовый 3 2 3 3" xfId="2578"/>
    <cellStyle name="Финансовый 3 2 3 3 2" xfId="2579"/>
    <cellStyle name="Финансовый 3 2 3 3 2 2" xfId="2580"/>
    <cellStyle name="Финансовый 3 2 3 3 2 2 2" xfId="2581"/>
    <cellStyle name="Финансовый 3 2 3 3 2 2 3" xfId="2582"/>
    <cellStyle name="Финансовый 3 2 3 3 2 3" xfId="2583"/>
    <cellStyle name="Финансовый 3 2 3 3 2 4" xfId="2584"/>
    <cellStyle name="Финансовый 3 2 3 3 3" xfId="2585"/>
    <cellStyle name="Финансовый 3 2 3 3 3 2" xfId="2586"/>
    <cellStyle name="Финансовый 3 2 3 3 3 3" xfId="2587"/>
    <cellStyle name="Финансовый 3 2 3 3 4" xfId="2588"/>
    <cellStyle name="Финансовый 3 2 3 3 5" xfId="2589"/>
    <cellStyle name="Финансовый 3 2 3 4" xfId="2590"/>
    <cellStyle name="Финансовый 3 2 3 4 2" xfId="2591"/>
    <cellStyle name="Финансовый 3 2 3 4 2 2" xfId="2592"/>
    <cellStyle name="Финансовый 3 2 3 4 2 2 2" xfId="2593"/>
    <cellStyle name="Финансовый 3 2 3 4 2 2 3" xfId="2594"/>
    <cellStyle name="Финансовый 3 2 3 4 2 3" xfId="2595"/>
    <cellStyle name="Финансовый 3 2 3 4 2 4" xfId="2596"/>
    <cellStyle name="Финансовый 3 2 3 4 3" xfId="2597"/>
    <cellStyle name="Финансовый 3 2 3 4 3 2" xfId="2598"/>
    <cellStyle name="Финансовый 3 2 3 4 3 3" xfId="2599"/>
    <cellStyle name="Финансовый 3 2 3 4 4" xfId="2600"/>
    <cellStyle name="Финансовый 3 2 3 4 5" xfId="2601"/>
    <cellStyle name="Финансовый 3 2 3 5" xfId="2602"/>
    <cellStyle name="Финансовый 3 2 3 5 2" xfId="2603"/>
    <cellStyle name="Финансовый 3 2 3 5 2 2" xfId="2604"/>
    <cellStyle name="Финансовый 3 2 3 5 2 3" xfId="2605"/>
    <cellStyle name="Финансовый 3 2 3 5 3" xfId="2606"/>
    <cellStyle name="Финансовый 3 2 3 5 4" xfId="2607"/>
    <cellStyle name="Финансовый 3 2 3 6" xfId="2608"/>
    <cellStyle name="Финансовый 3 2 3 6 2" xfId="2609"/>
    <cellStyle name="Финансовый 3 2 3 6 2 2" xfId="2610"/>
    <cellStyle name="Финансовый 3 2 3 6 2 3" xfId="2611"/>
    <cellStyle name="Финансовый 3 2 3 6 3" xfId="2612"/>
    <cellStyle name="Финансовый 3 2 3 6 4" xfId="2613"/>
    <cellStyle name="Финансовый 3 2 3 7" xfId="2614"/>
    <cellStyle name="Финансовый 3 2 3 7 2" xfId="2615"/>
    <cellStyle name="Финансовый 3 2 3 7 2 2" xfId="2616"/>
    <cellStyle name="Финансовый 3 2 3 7 2 3" xfId="2617"/>
    <cellStyle name="Финансовый 3 2 3 7 3" xfId="2618"/>
    <cellStyle name="Финансовый 3 2 3 7 4" xfId="2619"/>
    <cellStyle name="Финансовый 3 2 3 8" xfId="2620"/>
    <cellStyle name="Финансовый 3 2 3 8 2" xfId="2621"/>
    <cellStyle name="Финансовый 3 2 3 8 2 2" xfId="2622"/>
    <cellStyle name="Финансовый 3 2 3 8 2 3" xfId="2623"/>
    <cellStyle name="Финансовый 3 2 3 8 3" xfId="2624"/>
    <cellStyle name="Финансовый 3 2 3 8 4" xfId="2625"/>
    <cellStyle name="Финансовый 3 2 3 9" xfId="2626"/>
    <cellStyle name="Финансовый 3 2 3 9 2" xfId="2627"/>
    <cellStyle name="Финансовый 3 2 3 9 3" xfId="2628"/>
    <cellStyle name="Финансовый 3 2 4" xfId="2629"/>
    <cellStyle name="Финансовый 3 2 4 10" xfId="2630"/>
    <cellStyle name="Финансовый 3 2 4 11" xfId="2631"/>
    <cellStyle name="Финансовый 3 2 4 12" xfId="2632"/>
    <cellStyle name="Финансовый 3 2 4 13" xfId="2633"/>
    <cellStyle name="Финансовый 3 2 4 2" xfId="2634"/>
    <cellStyle name="Финансовый 3 2 4 2 2" xfId="2635"/>
    <cellStyle name="Финансовый 3 2 4 2 2 2" xfId="2636"/>
    <cellStyle name="Финансовый 3 2 4 2 2 2 2" xfId="2637"/>
    <cellStyle name="Финансовый 3 2 4 2 2 2 2 2" xfId="2638"/>
    <cellStyle name="Финансовый 3 2 4 2 2 2 2 3" xfId="2639"/>
    <cellStyle name="Финансовый 3 2 4 2 2 2 3" xfId="2640"/>
    <cellStyle name="Финансовый 3 2 4 2 2 2 4" xfId="2641"/>
    <cellStyle name="Финансовый 3 2 4 2 2 3" xfId="2642"/>
    <cellStyle name="Финансовый 3 2 4 2 2 3 2" xfId="2643"/>
    <cellStyle name="Финансовый 3 2 4 2 2 3 3" xfId="2644"/>
    <cellStyle name="Финансовый 3 2 4 2 2 4" xfId="2645"/>
    <cellStyle name="Финансовый 3 2 4 2 2 5" xfId="2646"/>
    <cellStyle name="Финансовый 3 2 4 2 3" xfId="2647"/>
    <cellStyle name="Финансовый 3 2 4 2 3 2" xfId="2648"/>
    <cellStyle name="Финансовый 3 2 4 2 3 2 2" xfId="2649"/>
    <cellStyle name="Финансовый 3 2 4 2 3 2 2 2" xfId="2650"/>
    <cellStyle name="Финансовый 3 2 4 2 3 2 2 3" xfId="2651"/>
    <cellStyle name="Финансовый 3 2 4 2 3 2 3" xfId="2652"/>
    <cellStyle name="Финансовый 3 2 4 2 3 2 4" xfId="2653"/>
    <cellStyle name="Финансовый 3 2 4 2 3 3" xfId="2654"/>
    <cellStyle name="Финансовый 3 2 4 2 3 3 2" xfId="2655"/>
    <cellStyle name="Финансовый 3 2 4 2 3 3 3" xfId="2656"/>
    <cellStyle name="Финансовый 3 2 4 2 3 4" xfId="2657"/>
    <cellStyle name="Финансовый 3 2 4 2 3 5" xfId="2658"/>
    <cellStyle name="Финансовый 3 2 4 2 4" xfId="2659"/>
    <cellStyle name="Финансовый 3 2 4 2 4 2" xfId="2660"/>
    <cellStyle name="Финансовый 3 2 4 2 4 2 2" xfId="2661"/>
    <cellStyle name="Финансовый 3 2 4 2 4 2 3" xfId="2662"/>
    <cellStyle name="Финансовый 3 2 4 2 4 3" xfId="2663"/>
    <cellStyle name="Финансовый 3 2 4 2 4 4" xfId="2664"/>
    <cellStyle name="Финансовый 3 2 4 2 5" xfId="2665"/>
    <cellStyle name="Финансовый 3 2 4 2 5 2" xfId="2666"/>
    <cellStyle name="Финансовый 3 2 4 2 5 3" xfId="2667"/>
    <cellStyle name="Финансовый 3 2 4 2 6" xfId="2668"/>
    <cellStyle name="Финансовый 3 2 4 2 7" xfId="2669"/>
    <cellStyle name="Финансовый 3 2 4 2 8" xfId="2670"/>
    <cellStyle name="Финансовый 3 2 4 3" xfId="2671"/>
    <cellStyle name="Финансовый 3 2 4 3 2" xfId="2672"/>
    <cellStyle name="Финансовый 3 2 4 3 2 2" xfId="2673"/>
    <cellStyle name="Финансовый 3 2 4 3 2 2 2" xfId="2674"/>
    <cellStyle name="Финансовый 3 2 4 3 2 2 3" xfId="2675"/>
    <cellStyle name="Финансовый 3 2 4 3 2 3" xfId="2676"/>
    <cellStyle name="Финансовый 3 2 4 3 2 4" xfId="2677"/>
    <cellStyle name="Финансовый 3 2 4 3 3" xfId="2678"/>
    <cellStyle name="Финансовый 3 2 4 3 3 2" xfId="2679"/>
    <cellStyle name="Финансовый 3 2 4 3 3 3" xfId="2680"/>
    <cellStyle name="Финансовый 3 2 4 3 4" xfId="2681"/>
    <cellStyle name="Финансовый 3 2 4 3 5" xfId="2682"/>
    <cellStyle name="Финансовый 3 2 4 4" xfId="2683"/>
    <cellStyle name="Финансовый 3 2 4 4 2" xfId="2684"/>
    <cellStyle name="Финансовый 3 2 4 4 2 2" xfId="2685"/>
    <cellStyle name="Финансовый 3 2 4 4 2 2 2" xfId="2686"/>
    <cellStyle name="Финансовый 3 2 4 4 2 2 3" xfId="2687"/>
    <cellStyle name="Финансовый 3 2 4 4 2 3" xfId="2688"/>
    <cellStyle name="Финансовый 3 2 4 4 2 4" xfId="2689"/>
    <cellStyle name="Финансовый 3 2 4 4 3" xfId="2690"/>
    <cellStyle name="Финансовый 3 2 4 4 3 2" xfId="2691"/>
    <cellStyle name="Финансовый 3 2 4 4 3 3" xfId="2692"/>
    <cellStyle name="Финансовый 3 2 4 4 4" xfId="2693"/>
    <cellStyle name="Финансовый 3 2 4 4 5" xfId="2694"/>
    <cellStyle name="Финансовый 3 2 4 5" xfId="2695"/>
    <cellStyle name="Финансовый 3 2 4 5 2" xfId="2696"/>
    <cellStyle name="Финансовый 3 2 4 5 2 2" xfId="2697"/>
    <cellStyle name="Финансовый 3 2 4 5 2 3" xfId="2698"/>
    <cellStyle name="Финансовый 3 2 4 5 3" xfId="2699"/>
    <cellStyle name="Финансовый 3 2 4 5 4" xfId="2700"/>
    <cellStyle name="Финансовый 3 2 4 6" xfId="2701"/>
    <cellStyle name="Финансовый 3 2 4 6 2" xfId="2702"/>
    <cellStyle name="Финансовый 3 2 4 6 2 2" xfId="2703"/>
    <cellStyle name="Финансовый 3 2 4 6 2 3" xfId="2704"/>
    <cellStyle name="Финансовый 3 2 4 6 3" xfId="2705"/>
    <cellStyle name="Финансовый 3 2 4 6 4" xfId="2706"/>
    <cellStyle name="Финансовый 3 2 4 7" xfId="2707"/>
    <cellStyle name="Финансовый 3 2 4 7 2" xfId="2708"/>
    <cellStyle name="Финансовый 3 2 4 7 2 2" xfId="2709"/>
    <cellStyle name="Финансовый 3 2 4 7 2 3" xfId="2710"/>
    <cellStyle name="Финансовый 3 2 4 7 3" xfId="2711"/>
    <cellStyle name="Финансовый 3 2 4 7 4" xfId="2712"/>
    <cellStyle name="Финансовый 3 2 4 8" xfId="2713"/>
    <cellStyle name="Финансовый 3 2 4 8 2" xfId="2714"/>
    <cellStyle name="Финансовый 3 2 4 8 2 2" xfId="2715"/>
    <cellStyle name="Финансовый 3 2 4 8 2 3" xfId="2716"/>
    <cellStyle name="Финансовый 3 2 4 8 3" xfId="2717"/>
    <cellStyle name="Финансовый 3 2 4 8 4" xfId="2718"/>
    <cellStyle name="Финансовый 3 2 4 9" xfId="2719"/>
    <cellStyle name="Финансовый 3 2 4 9 2" xfId="2720"/>
    <cellStyle name="Финансовый 3 2 4 9 3" xfId="2721"/>
    <cellStyle name="Финансовый 3 2 5" xfId="2722"/>
    <cellStyle name="Финансовый 3 2 5 2" xfId="2723"/>
    <cellStyle name="Финансовый 3 2 5 2 2" xfId="2724"/>
    <cellStyle name="Финансовый 3 2 5 2 2 2" xfId="2725"/>
    <cellStyle name="Финансовый 3 2 5 2 2 2 2" xfId="2726"/>
    <cellStyle name="Финансовый 3 2 5 2 2 2 3" xfId="2727"/>
    <cellStyle name="Финансовый 3 2 5 2 2 3" xfId="2728"/>
    <cellStyle name="Финансовый 3 2 5 2 2 4" xfId="2729"/>
    <cellStyle name="Финансовый 3 2 5 2 3" xfId="2730"/>
    <cellStyle name="Финансовый 3 2 5 2 3 2" xfId="2731"/>
    <cellStyle name="Финансовый 3 2 5 2 3 3" xfId="2732"/>
    <cellStyle name="Финансовый 3 2 5 2 4" xfId="2733"/>
    <cellStyle name="Финансовый 3 2 5 2 5" xfId="2734"/>
    <cellStyle name="Финансовый 3 2 5 3" xfId="2735"/>
    <cellStyle name="Финансовый 3 2 5 3 2" xfId="2736"/>
    <cellStyle name="Финансовый 3 2 5 3 2 2" xfId="2737"/>
    <cellStyle name="Финансовый 3 2 5 3 2 2 2" xfId="2738"/>
    <cellStyle name="Финансовый 3 2 5 3 2 2 3" xfId="2739"/>
    <cellStyle name="Финансовый 3 2 5 3 2 3" xfId="2740"/>
    <cellStyle name="Финансовый 3 2 5 3 2 4" xfId="2741"/>
    <cellStyle name="Финансовый 3 2 5 3 3" xfId="2742"/>
    <cellStyle name="Финансовый 3 2 5 3 3 2" xfId="2743"/>
    <cellStyle name="Финансовый 3 2 5 3 3 3" xfId="2744"/>
    <cellStyle name="Финансовый 3 2 5 3 4" xfId="2745"/>
    <cellStyle name="Финансовый 3 2 5 3 5" xfId="2746"/>
    <cellStyle name="Финансовый 3 2 5 4" xfId="2747"/>
    <cellStyle name="Финансовый 3 2 5 4 2" xfId="2748"/>
    <cellStyle name="Финансовый 3 2 5 4 2 2" xfId="2749"/>
    <cellStyle name="Финансовый 3 2 5 4 2 3" xfId="2750"/>
    <cellStyle name="Финансовый 3 2 5 4 3" xfId="2751"/>
    <cellStyle name="Финансовый 3 2 5 4 4" xfId="2752"/>
    <cellStyle name="Финансовый 3 2 5 5" xfId="2753"/>
    <cellStyle name="Финансовый 3 2 5 5 2" xfId="2754"/>
    <cellStyle name="Финансовый 3 2 5 5 3" xfId="2755"/>
    <cellStyle name="Финансовый 3 2 5 6" xfId="2756"/>
    <cellStyle name="Финансовый 3 2 5 7" xfId="2757"/>
    <cellStyle name="Финансовый 3 2 5 8" xfId="2758"/>
    <cellStyle name="Финансовый 3 2 6" xfId="2759"/>
    <cellStyle name="Финансовый 3 2 6 2" xfId="2760"/>
    <cellStyle name="Финансовый 3 2 6 2 2" xfId="2761"/>
    <cellStyle name="Финансовый 3 2 6 2 2 2" xfId="2762"/>
    <cellStyle name="Финансовый 3 2 6 2 2 3" xfId="2763"/>
    <cellStyle name="Финансовый 3 2 6 2 3" xfId="2764"/>
    <cellStyle name="Финансовый 3 2 6 2 4" xfId="2765"/>
    <cellStyle name="Финансовый 3 2 6 3" xfId="2766"/>
    <cellStyle name="Финансовый 3 2 6 3 2" xfId="2767"/>
    <cellStyle name="Финансовый 3 2 6 3 3" xfId="2768"/>
    <cellStyle name="Финансовый 3 2 6 4" xfId="2769"/>
    <cellStyle name="Финансовый 3 2 6 5" xfId="2770"/>
    <cellStyle name="Финансовый 3 2 7" xfId="2771"/>
    <cellStyle name="Финансовый 3 2 7 2" xfId="2772"/>
    <cellStyle name="Финансовый 3 2 7 2 2" xfId="2773"/>
    <cellStyle name="Финансовый 3 2 7 2 2 2" xfId="2774"/>
    <cellStyle name="Финансовый 3 2 7 2 2 3" xfId="2775"/>
    <cellStyle name="Финансовый 3 2 7 2 3" xfId="2776"/>
    <cellStyle name="Финансовый 3 2 7 2 4" xfId="2777"/>
    <cellStyle name="Финансовый 3 2 7 3" xfId="2778"/>
    <cellStyle name="Финансовый 3 2 7 3 2" xfId="2779"/>
    <cellStyle name="Финансовый 3 2 7 3 3" xfId="2780"/>
    <cellStyle name="Финансовый 3 2 7 4" xfId="2781"/>
    <cellStyle name="Финансовый 3 2 7 5" xfId="2782"/>
    <cellStyle name="Финансовый 3 2 8" xfId="2783"/>
    <cellStyle name="Финансовый 3 2 8 2" xfId="2784"/>
    <cellStyle name="Финансовый 3 2 8 2 2" xfId="2785"/>
    <cellStyle name="Финансовый 3 2 8 2 3" xfId="2786"/>
    <cellStyle name="Финансовый 3 2 8 3" xfId="2787"/>
    <cellStyle name="Финансовый 3 2 8 4" xfId="2788"/>
    <cellStyle name="Финансовый 3 2 9" xfId="2789"/>
    <cellStyle name="Финансовый 3 2 9 2" xfId="2790"/>
    <cellStyle name="Финансовый 3 2 9 2 2" xfId="2791"/>
    <cellStyle name="Финансовый 3 2 9 2 3" xfId="2792"/>
    <cellStyle name="Финансовый 3 2 9 3" xfId="2793"/>
    <cellStyle name="Финансовый 3 2 9 4" xfId="2794"/>
    <cellStyle name="Финансовый 3 3" xfId="2795"/>
    <cellStyle name="Финансовый 3 3 10" xfId="2796"/>
    <cellStyle name="Финансовый 3 3 10 2" xfId="2797"/>
    <cellStyle name="Финансовый 3 3 10 3" xfId="2798"/>
    <cellStyle name="Финансовый 3 3 11" xfId="2799"/>
    <cellStyle name="Финансовый 3 3 12" xfId="2800"/>
    <cellStyle name="Финансовый 3 3 13" xfId="2801"/>
    <cellStyle name="Финансовый 3 3 14" xfId="2802"/>
    <cellStyle name="Финансовый 3 3 2" xfId="2803"/>
    <cellStyle name="Финансовый 3 3 2 10" xfId="2804"/>
    <cellStyle name="Финансовый 3 3 2 11" xfId="2805"/>
    <cellStyle name="Финансовый 3 3 2 12" xfId="2806"/>
    <cellStyle name="Финансовый 3 3 2 13" xfId="2807"/>
    <cellStyle name="Финансовый 3 3 2 2" xfId="2808"/>
    <cellStyle name="Финансовый 3 3 2 2 2" xfId="2809"/>
    <cellStyle name="Финансовый 3 3 2 2 2 2" xfId="2810"/>
    <cellStyle name="Финансовый 3 3 2 2 2 2 2" xfId="2811"/>
    <cellStyle name="Финансовый 3 3 2 2 2 2 2 2" xfId="2812"/>
    <cellStyle name="Финансовый 3 3 2 2 2 2 2 3" xfId="2813"/>
    <cellStyle name="Финансовый 3 3 2 2 2 2 3" xfId="2814"/>
    <cellStyle name="Финансовый 3 3 2 2 2 2 4" xfId="2815"/>
    <cellStyle name="Финансовый 3 3 2 2 2 3" xfId="2816"/>
    <cellStyle name="Финансовый 3 3 2 2 2 3 2" xfId="2817"/>
    <cellStyle name="Финансовый 3 3 2 2 2 3 3" xfId="2818"/>
    <cellStyle name="Финансовый 3 3 2 2 2 4" xfId="2819"/>
    <cellStyle name="Финансовый 3 3 2 2 2 5" xfId="2820"/>
    <cellStyle name="Финансовый 3 3 2 2 3" xfId="2821"/>
    <cellStyle name="Финансовый 3 3 2 2 3 2" xfId="2822"/>
    <cellStyle name="Финансовый 3 3 2 2 3 2 2" xfId="2823"/>
    <cellStyle name="Финансовый 3 3 2 2 3 2 2 2" xfId="2824"/>
    <cellStyle name="Финансовый 3 3 2 2 3 2 2 3" xfId="2825"/>
    <cellStyle name="Финансовый 3 3 2 2 3 2 3" xfId="2826"/>
    <cellStyle name="Финансовый 3 3 2 2 3 2 4" xfId="2827"/>
    <cellStyle name="Финансовый 3 3 2 2 3 3" xfId="2828"/>
    <cellStyle name="Финансовый 3 3 2 2 3 3 2" xfId="2829"/>
    <cellStyle name="Финансовый 3 3 2 2 3 3 3" xfId="2830"/>
    <cellStyle name="Финансовый 3 3 2 2 3 4" xfId="2831"/>
    <cellStyle name="Финансовый 3 3 2 2 3 5" xfId="2832"/>
    <cellStyle name="Финансовый 3 3 2 2 4" xfId="2833"/>
    <cellStyle name="Финансовый 3 3 2 2 4 2" xfId="2834"/>
    <cellStyle name="Финансовый 3 3 2 2 4 2 2" xfId="2835"/>
    <cellStyle name="Финансовый 3 3 2 2 4 2 3" xfId="2836"/>
    <cellStyle name="Финансовый 3 3 2 2 4 3" xfId="2837"/>
    <cellStyle name="Финансовый 3 3 2 2 4 4" xfId="2838"/>
    <cellStyle name="Финансовый 3 3 2 2 5" xfId="2839"/>
    <cellStyle name="Финансовый 3 3 2 2 5 2" xfId="2840"/>
    <cellStyle name="Финансовый 3 3 2 2 5 3" xfId="2841"/>
    <cellStyle name="Финансовый 3 3 2 2 6" xfId="2842"/>
    <cellStyle name="Финансовый 3 3 2 2 7" xfId="2843"/>
    <cellStyle name="Финансовый 3 3 2 2 8" xfId="2844"/>
    <cellStyle name="Финансовый 3 3 2 3" xfId="2845"/>
    <cellStyle name="Финансовый 3 3 2 3 2" xfId="2846"/>
    <cellStyle name="Финансовый 3 3 2 3 2 2" xfId="2847"/>
    <cellStyle name="Финансовый 3 3 2 3 2 2 2" xfId="2848"/>
    <cellStyle name="Финансовый 3 3 2 3 2 2 3" xfId="2849"/>
    <cellStyle name="Финансовый 3 3 2 3 2 3" xfId="2850"/>
    <cellStyle name="Финансовый 3 3 2 3 2 4" xfId="2851"/>
    <cellStyle name="Финансовый 3 3 2 3 3" xfId="2852"/>
    <cellStyle name="Финансовый 3 3 2 3 3 2" xfId="2853"/>
    <cellStyle name="Финансовый 3 3 2 3 3 3" xfId="2854"/>
    <cellStyle name="Финансовый 3 3 2 3 4" xfId="2855"/>
    <cellStyle name="Финансовый 3 3 2 3 5" xfId="2856"/>
    <cellStyle name="Финансовый 3 3 2 4" xfId="2857"/>
    <cellStyle name="Финансовый 3 3 2 4 2" xfId="2858"/>
    <cellStyle name="Финансовый 3 3 2 4 2 2" xfId="2859"/>
    <cellStyle name="Финансовый 3 3 2 4 2 2 2" xfId="2860"/>
    <cellStyle name="Финансовый 3 3 2 4 2 2 3" xfId="2861"/>
    <cellStyle name="Финансовый 3 3 2 4 2 3" xfId="2862"/>
    <cellStyle name="Финансовый 3 3 2 4 2 4" xfId="2863"/>
    <cellStyle name="Финансовый 3 3 2 4 3" xfId="2864"/>
    <cellStyle name="Финансовый 3 3 2 4 3 2" xfId="2865"/>
    <cellStyle name="Финансовый 3 3 2 4 3 3" xfId="2866"/>
    <cellStyle name="Финансовый 3 3 2 4 4" xfId="2867"/>
    <cellStyle name="Финансовый 3 3 2 4 5" xfId="2868"/>
    <cellStyle name="Финансовый 3 3 2 5" xfId="2869"/>
    <cellStyle name="Финансовый 3 3 2 5 2" xfId="2870"/>
    <cellStyle name="Финансовый 3 3 2 5 2 2" xfId="2871"/>
    <cellStyle name="Финансовый 3 3 2 5 2 3" xfId="2872"/>
    <cellStyle name="Финансовый 3 3 2 5 3" xfId="2873"/>
    <cellStyle name="Финансовый 3 3 2 5 4" xfId="2874"/>
    <cellStyle name="Финансовый 3 3 2 6" xfId="2875"/>
    <cellStyle name="Финансовый 3 3 2 6 2" xfId="2876"/>
    <cellStyle name="Финансовый 3 3 2 6 2 2" xfId="2877"/>
    <cellStyle name="Финансовый 3 3 2 6 2 3" xfId="2878"/>
    <cellStyle name="Финансовый 3 3 2 6 3" xfId="2879"/>
    <cellStyle name="Финансовый 3 3 2 6 4" xfId="2880"/>
    <cellStyle name="Финансовый 3 3 2 7" xfId="2881"/>
    <cellStyle name="Финансовый 3 3 2 7 2" xfId="2882"/>
    <cellStyle name="Финансовый 3 3 2 7 2 2" xfId="2883"/>
    <cellStyle name="Финансовый 3 3 2 7 2 3" xfId="2884"/>
    <cellStyle name="Финансовый 3 3 2 7 3" xfId="2885"/>
    <cellStyle name="Финансовый 3 3 2 7 4" xfId="2886"/>
    <cellStyle name="Финансовый 3 3 2 8" xfId="2887"/>
    <cellStyle name="Финансовый 3 3 2 8 2" xfId="2888"/>
    <cellStyle name="Финансовый 3 3 2 8 2 2" xfId="2889"/>
    <cellStyle name="Финансовый 3 3 2 8 2 3" xfId="2890"/>
    <cellStyle name="Финансовый 3 3 2 8 3" xfId="2891"/>
    <cellStyle name="Финансовый 3 3 2 8 4" xfId="2892"/>
    <cellStyle name="Финансовый 3 3 2 9" xfId="2893"/>
    <cellStyle name="Финансовый 3 3 2 9 2" xfId="2894"/>
    <cellStyle name="Финансовый 3 3 2 9 3" xfId="2895"/>
    <cellStyle name="Финансовый 3 3 3" xfId="2896"/>
    <cellStyle name="Финансовый 3 3 3 2" xfId="2897"/>
    <cellStyle name="Финансовый 3 3 3 2 2" xfId="2898"/>
    <cellStyle name="Финансовый 3 3 3 2 2 2" xfId="2899"/>
    <cellStyle name="Финансовый 3 3 3 2 2 2 2" xfId="2900"/>
    <cellStyle name="Финансовый 3 3 3 2 2 2 3" xfId="2901"/>
    <cellStyle name="Финансовый 3 3 3 2 2 3" xfId="2902"/>
    <cellStyle name="Финансовый 3 3 3 2 2 4" xfId="2903"/>
    <cellStyle name="Финансовый 3 3 3 2 3" xfId="2904"/>
    <cellStyle name="Финансовый 3 3 3 2 3 2" xfId="2905"/>
    <cellStyle name="Финансовый 3 3 3 2 3 3" xfId="2906"/>
    <cellStyle name="Финансовый 3 3 3 2 4" xfId="2907"/>
    <cellStyle name="Финансовый 3 3 3 2 5" xfId="2908"/>
    <cellStyle name="Финансовый 3 3 3 3" xfId="2909"/>
    <cellStyle name="Финансовый 3 3 3 3 2" xfId="2910"/>
    <cellStyle name="Финансовый 3 3 3 3 2 2" xfId="2911"/>
    <cellStyle name="Финансовый 3 3 3 3 2 2 2" xfId="2912"/>
    <cellStyle name="Финансовый 3 3 3 3 2 2 3" xfId="2913"/>
    <cellStyle name="Финансовый 3 3 3 3 2 3" xfId="2914"/>
    <cellStyle name="Финансовый 3 3 3 3 2 4" xfId="2915"/>
    <cellStyle name="Финансовый 3 3 3 3 3" xfId="2916"/>
    <cellStyle name="Финансовый 3 3 3 3 3 2" xfId="2917"/>
    <cellStyle name="Финансовый 3 3 3 3 3 3" xfId="2918"/>
    <cellStyle name="Финансовый 3 3 3 3 4" xfId="2919"/>
    <cellStyle name="Финансовый 3 3 3 3 5" xfId="2920"/>
    <cellStyle name="Финансовый 3 3 3 4" xfId="2921"/>
    <cellStyle name="Финансовый 3 3 3 4 2" xfId="2922"/>
    <cellStyle name="Финансовый 3 3 3 4 2 2" xfId="2923"/>
    <cellStyle name="Финансовый 3 3 3 4 2 3" xfId="2924"/>
    <cellStyle name="Финансовый 3 3 3 4 3" xfId="2925"/>
    <cellStyle name="Финансовый 3 3 3 4 4" xfId="2926"/>
    <cellStyle name="Финансовый 3 3 3 5" xfId="2927"/>
    <cellStyle name="Финансовый 3 3 3 5 2" xfId="2928"/>
    <cellStyle name="Финансовый 3 3 3 5 3" xfId="2929"/>
    <cellStyle name="Финансовый 3 3 3 6" xfId="2930"/>
    <cellStyle name="Финансовый 3 3 3 7" xfId="2931"/>
    <cellStyle name="Финансовый 3 3 3 8" xfId="2932"/>
    <cellStyle name="Финансовый 3 3 4" xfId="2933"/>
    <cellStyle name="Финансовый 3 3 4 2" xfId="2934"/>
    <cellStyle name="Финансовый 3 3 4 2 2" xfId="2935"/>
    <cellStyle name="Финансовый 3 3 4 2 2 2" xfId="2936"/>
    <cellStyle name="Финансовый 3 3 4 2 2 3" xfId="2937"/>
    <cellStyle name="Финансовый 3 3 4 2 3" xfId="2938"/>
    <cellStyle name="Финансовый 3 3 4 2 4" xfId="2939"/>
    <cellStyle name="Финансовый 3 3 4 3" xfId="2940"/>
    <cellStyle name="Финансовый 3 3 4 3 2" xfId="2941"/>
    <cellStyle name="Финансовый 3 3 4 3 3" xfId="2942"/>
    <cellStyle name="Финансовый 3 3 4 4" xfId="2943"/>
    <cellStyle name="Финансовый 3 3 4 5" xfId="2944"/>
    <cellStyle name="Финансовый 3 3 5" xfId="2945"/>
    <cellStyle name="Финансовый 3 3 5 2" xfId="2946"/>
    <cellStyle name="Финансовый 3 3 5 2 2" xfId="2947"/>
    <cellStyle name="Финансовый 3 3 5 2 2 2" xfId="2948"/>
    <cellStyle name="Финансовый 3 3 5 2 2 3" xfId="2949"/>
    <cellStyle name="Финансовый 3 3 5 2 3" xfId="2950"/>
    <cellStyle name="Финансовый 3 3 5 2 4" xfId="2951"/>
    <cellStyle name="Финансовый 3 3 5 3" xfId="2952"/>
    <cellStyle name="Финансовый 3 3 5 3 2" xfId="2953"/>
    <cellStyle name="Финансовый 3 3 5 3 3" xfId="2954"/>
    <cellStyle name="Финансовый 3 3 5 4" xfId="2955"/>
    <cellStyle name="Финансовый 3 3 5 5" xfId="2956"/>
    <cellStyle name="Финансовый 3 3 6" xfId="2957"/>
    <cellStyle name="Финансовый 3 3 6 2" xfId="2958"/>
    <cellStyle name="Финансовый 3 3 6 2 2" xfId="2959"/>
    <cellStyle name="Финансовый 3 3 6 2 3" xfId="2960"/>
    <cellStyle name="Финансовый 3 3 6 3" xfId="2961"/>
    <cellStyle name="Финансовый 3 3 6 4" xfId="2962"/>
    <cellStyle name="Финансовый 3 3 7" xfId="2963"/>
    <cellStyle name="Финансовый 3 3 7 2" xfId="2964"/>
    <cellStyle name="Финансовый 3 3 7 2 2" xfId="2965"/>
    <cellStyle name="Финансовый 3 3 7 2 3" xfId="2966"/>
    <cellStyle name="Финансовый 3 3 7 3" xfId="2967"/>
    <cellStyle name="Финансовый 3 3 7 4" xfId="2968"/>
    <cellStyle name="Финансовый 3 3 8" xfId="2969"/>
    <cellStyle name="Финансовый 3 3 8 2" xfId="2970"/>
    <cellStyle name="Финансовый 3 3 8 2 2" xfId="2971"/>
    <cellStyle name="Финансовый 3 3 8 2 3" xfId="2972"/>
    <cellStyle name="Финансовый 3 3 8 3" xfId="2973"/>
    <cellStyle name="Финансовый 3 3 8 4" xfId="2974"/>
    <cellStyle name="Финансовый 3 3 9" xfId="2975"/>
    <cellStyle name="Финансовый 3 3 9 2" xfId="2976"/>
    <cellStyle name="Финансовый 3 3 9 2 2" xfId="2977"/>
    <cellStyle name="Финансовый 3 3 9 2 3" xfId="2978"/>
    <cellStyle name="Финансовый 3 3 9 3" xfId="2979"/>
    <cellStyle name="Финансовый 3 3 9 4" xfId="2980"/>
    <cellStyle name="Финансовый 3 4" xfId="2981"/>
    <cellStyle name="Финансовый 3 4 10" xfId="2982"/>
    <cellStyle name="Финансовый 3 4 11" xfId="2983"/>
    <cellStyle name="Финансовый 3 4 12" xfId="2984"/>
    <cellStyle name="Финансовый 3 4 13" xfId="2985"/>
    <cellStyle name="Финансовый 3 4 2" xfId="2986"/>
    <cellStyle name="Финансовый 3 4 2 2" xfId="2987"/>
    <cellStyle name="Финансовый 3 4 2 2 2" xfId="2988"/>
    <cellStyle name="Финансовый 3 4 2 2 2 2" xfId="2989"/>
    <cellStyle name="Финансовый 3 4 2 2 2 2 2" xfId="2990"/>
    <cellStyle name="Финансовый 3 4 2 2 2 2 3" xfId="2991"/>
    <cellStyle name="Финансовый 3 4 2 2 2 3" xfId="2992"/>
    <cellStyle name="Финансовый 3 4 2 2 2 4" xfId="2993"/>
    <cellStyle name="Финансовый 3 4 2 2 3" xfId="2994"/>
    <cellStyle name="Финансовый 3 4 2 2 3 2" xfId="2995"/>
    <cellStyle name="Финансовый 3 4 2 2 3 3" xfId="2996"/>
    <cellStyle name="Финансовый 3 4 2 2 4" xfId="2997"/>
    <cellStyle name="Финансовый 3 4 2 2 5" xfId="2998"/>
    <cellStyle name="Финансовый 3 4 2 3" xfId="2999"/>
    <cellStyle name="Финансовый 3 4 2 3 2" xfId="3000"/>
    <cellStyle name="Финансовый 3 4 2 3 2 2" xfId="3001"/>
    <cellStyle name="Финансовый 3 4 2 3 2 2 2" xfId="3002"/>
    <cellStyle name="Финансовый 3 4 2 3 2 2 3" xfId="3003"/>
    <cellStyle name="Финансовый 3 4 2 3 2 3" xfId="3004"/>
    <cellStyle name="Финансовый 3 4 2 3 2 4" xfId="3005"/>
    <cellStyle name="Финансовый 3 4 2 3 3" xfId="3006"/>
    <cellStyle name="Финансовый 3 4 2 3 3 2" xfId="3007"/>
    <cellStyle name="Финансовый 3 4 2 3 3 3" xfId="3008"/>
    <cellStyle name="Финансовый 3 4 2 3 4" xfId="3009"/>
    <cellStyle name="Финансовый 3 4 2 3 5" xfId="3010"/>
    <cellStyle name="Финансовый 3 4 2 4" xfId="3011"/>
    <cellStyle name="Финансовый 3 4 2 4 2" xfId="3012"/>
    <cellStyle name="Финансовый 3 4 2 4 2 2" xfId="3013"/>
    <cellStyle name="Финансовый 3 4 2 4 2 3" xfId="3014"/>
    <cellStyle name="Финансовый 3 4 2 4 3" xfId="3015"/>
    <cellStyle name="Финансовый 3 4 2 4 4" xfId="3016"/>
    <cellStyle name="Финансовый 3 4 2 5" xfId="3017"/>
    <cellStyle name="Финансовый 3 4 2 5 2" xfId="3018"/>
    <cellStyle name="Финансовый 3 4 2 5 3" xfId="3019"/>
    <cellStyle name="Финансовый 3 4 2 6" xfId="3020"/>
    <cellStyle name="Финансовый 3 4 2 7" xfId="3021"/>
    <cellStyle name="Финансовый 3 4 2 8" xfId="3022"/>
    <cellStyle name="Финансовый 3 4 3" xfId="3023"/>
    <cellStyle name="Финансовый 3 4 3 2" xfId="3024"/>
    <cellStyle name="Финансовый 3 4 3 2 2" xfId="3025"/>
    <cellStyle name="Финансовый 3 4 3 2 2 2" xfId="3026"/>
    <cellStyle name="Финансовый 3 4 3 2 2 3" xfId="3027"/>
    <cellStyle name="Финансовый 3 4 3 2 3" xfId="3028"/>
    <cellStyle name="Финансовый 3 4 3 2 4" xfId="3029"/>
    <cellStyle name="Финансовый 3 4 3 3" xfId="3030"/>
    <cellStyle name="Финансовый 3 4 3 3 2" xfId="3031"/>
    <cellStyle name="Финансовый 3 4 3 3 3" xfId="3032"/>
    <cellStyle name="Финансовый 3 4 3 4" xfId="3033"/>
    <cellStyle name="Финансовый 3 4 3 5" xfId="3034"/>
    <cellStyle name="Финансовый 3 4 4" xfId="3035"/>
    <cellStyle name="Финансовый 3 4 4 2" xfId="3036"/>
    <cellStyle name="Финансовый 3 4 4 2 2" xfId="3037"/>
    <cellStyle name="Финансовый 3 4 4 2 2 2" xfId="3038"/>
    <cellStyle name="Финансовый 3 4 4 2 2 3" xfId="3039"/>
    <cellStyle name="Финансовый 3 4 4 2 3" xfId="3040"/>
    <cellStyle name="Финансовый 3 4 4 2 4" xfId="3041"/>
    <cellStyle name="Финансовый 3 4 4 3" xfId="3042"/>
    <cellStyle name="Финансовый 3 4 4 3 2" xfId="3043"/>
    <cellStyle name="Финансовый 3 4 4 3 3" xfId="3044"/>
    <cellStyle name="Финансовый 3 4 4 4" xfId="3045"/>
    <cellStyle name="Финансовый 3 4 4 5" xfId="3046"/>
    <cellStyle name="Финансовый 3 4 5" xfId="3047"/>
    <cellStyle name="Финансовый 3 4 5 2" xfId="3048"/>
    <cellStyle name="Финансовый 3 4 5 2 2" xfId="3049"/>
    <cellStyle name="Финансовый 3 4 5 2 3" xfId="3050"/>
    <cellStyle name="Финансовый 3 4 5 3" xfId="3051"/>
    <cellStyle name="Финансовый 3 4 5 4" xfId="3052"/>
    <cellStyle name="Финансовый 3 4 6" xfId="3053"/>
    <cellStyle name="Финансовый 3 4 6 2" xfId="3054"/>
    <cellStyle name="Финансовый 3 4 6 2 2" xfId="3055"/>
    <cellStyle name="Финансовый 3 4 6 2 3" xfId="3056"/>
    <cellStyle name="Финансовый 3 4 6 3" xfId="3057"/>
    <cellStyle name="Финансовый 3 4 6 4" xfId="3058"/>
    <cellStyle name="Финансовый 3 4 7" xfId="3059"/>
    <cellStyle name="Финансовый 3 4 7 2" xfId="3060"/>
    <cellStyle name="Финансовый 3 4 7 2 2" xfId="3061"/>
    <cellStyle name="Финансовый 3 4 7 2 3" xfId="3062"/>
    <cellStyle name="Финансовый 3 4 7 3" xfId="3063"/>
    <cellStyle name="Финансовый 3 4 7 4" xfId="3064"/>
    <cellStyle name="Финансовый 3 4 8" xfId="3065"/>
    <cellStyle name="Финансовый 3 4 8 2" xfId="3066"/>
    <cellStyle name="Финансовый 3 4 8 2 2" xfId="3067"/>
    <cellStyle name="Финансовый 3 4 8 2 3" xfId="3068"/>
    <cellStyle name="Финансовый 3 4 8 3" xfId="3069"/>
    <cellStyle name="Финансовый 3 4 8 4" xfId="3070"/>
    <cellStyle name="Финансовый 3 4 9" xfId="3071"/>
    <cellStyle name="Финансовый 3 4 9 2" xfId="3072"/>
    <cellStyle name="Финансовый 3 4 9 3" xfId="3073"/>
    <cellStyle name="Финансовый 3 5" xfId="3074"/>
    <cellStyle name="Финансовый 3 5 10" xfId="3075"/>
    <cellStyle name="Финансовый 3 5 11" xfId="3076"/>
    <cellStyle name="Финансовый 3 5 12" xfId="3077"/>
    <cellStyle name="Финансовый 3 5 13" xfId="3078"/>
    <cellStyle name="Финансовый 3 5 2" xfId="3079"/>
    <cellStyle name="Финансовый 3 5 2 2" xfId="3080"/>
    <cellStyle name="Финансовый 3 5 2 2 2" xfId="3081"/>
    <cellStyle name="Финансовый 3 5 2 2 2 2" xfId="3082"/>
    <cellStyle name="Финансовый 3 5 2 2 2 2 2" xfId="3083"/>
    <cellStyle name="Финансовый 3 5 2 2 2 2 3" xfId="3084"/>
    <cellStyle name="Финансовый 3 5 2 2 2 3" xfId="3085"/>
    <cellStyle name="Финансовый 3 5 2 2 2 4" xfId="3086"/>
    <cellStyle name="Финансовый 3 5 2 2 3" xfId="3087"/>
    <cellStyle name="Финансовый 3 5 2 2 3 2" xfId="3088"/>
    <cellStyle name="Финансовый 3 5 2 2 3 3" xfId="3089"/>
    <cellStyle name="Финансовый 3 5 2 2 4" xfId="3090"/>
    <cellStyle name="Финансовый 3 5 2 2 5" xfId="3091"/>
    <cellStyle name="Финансовый 3 5 2 3" xfId="3092"/>
    <cellStyle name="Финансовый 3 5 2 3 2" xfId="3093"/>
    <cellStyle name="Финансовый 3 5 2 3 2 2" xfId="3094"/>
    <cellStyle name="Финансовый 3 5 2 3 2 2 2" xfId="3095"/>
    <cellStyle name="Финансовый 3 5 2 3 2 2 3" xfId="3096"/>
    <cellStyle name="Финансовый 3 5 2 3 2 3" xfId="3097"/>
    <cellStyle name="Финансовый 3 5 2 3 2 4" xfId="3098"/>
    <cellStyle name="Финансовый 3 5 2 3 3" xfId="3099"/>
    <cellStyle name="Финансовый 3 5 2 3 3 2" xfId="3100"/>
    <cellStyle name="Финансовый 3 5 2 3 3 3" xfId="3101"/>
    <cellStyle name="Финансовый 3 5 2 3 4" xfId="3102"/>
    <cellStyle name="Финансовый 3 5 2 3 5" xfId="3103"/>
    <cellStyle name="Финансовый 3 5 2 4" xfId="3104"/>
    <cellStyle name="Финансовый 3 5 2 4 2" xfId="3105"/>
    <cellStyle name="Финансовый 3 5 2 4 2 2" xfId="3106"/>
    <cellStyle name="Финансовый 3 5 2 4 2 3" xfId="3107"/>
    <cellStyle name="Финансовый 3 5 2 4 3" xfId="3108"/>
    <cellStyle name="Финансовый 3 5 2 4 4" xfId="3109"/>
    <cellStyle name="Финансовый 3 5 2 5" xfId="3110"/>
    <cellStyle name="Финансовый 3 5 2 5 2" xfId="3111"/>
    <cellStyle name="Финансовый 3 5 2 5 3" xfId="3112"/>
    <cellStyle name="Финансовый 3 5 2 6" xfId="3113"/>
    <cellStyle name="Финансовый 3 5 2 7" xfId="3114"/>
    <cellStyle name="Финансовый 3 5 2 8" xfId="3115"/>
    <cellStyle name="Финансовый 3 5 3" xfId="3116"/>
    <cellStyle name="Финансовый 3 5 3 2" xfId="3117"/>
    <cellStyle name="Финансовый 3 5 3 2 2" xfId="3118"/>
    <cellStyle name="Финансовый 3 5 3 2 2 2" xfId="3119"/>
    <cellStyle name="Финансовый 3 5 3 2 2 3" xfId="3120"/>
    <cellStyle name="Финансовый 3 5 3 2 3" xfId="3121"/>
    <cellStyle name="Финансовый 3 5 3 2 4" xfId="3122"/>
    <cellStyle name="Финансовый 3 5 3 3" xfId="3123"/>
    <cellStyle name="Финансовый 3 5 3 3 2" xfId="3124"/>
    <cellStyle name="Финансовый 3 5 3 3 3" xfId="3125"/>
    <cellStyle name="Финансовый 3 5 3 4" xfId="3126"/>
    <cellStyle name="Финансовый 3 5 3 5" xfId="3127"/>
    <cellStyle name="Финансовый 3 5 4" xfId="3128"/>
    <cellStyle name="Финансовый 3 5 4 2" xfId="3129"/>
    <cellStyle name="Финансовый 3 5 4 2 2" xfId="3130"/>
    <cellStyle name="Финансовый 3 5 4 2 2 2" xfId="3131"/>
    <cellStyle name="Финансовый 3 5 4 2 2 3" xfId="3132"/>
    <cellStyle name="Финансовый 3 5 4 2 3" xfId="3133"/>
    <cellStyle name="Финансовый 3 5 4 2 4" xfId="3134"/>
    <cellStyle name="Финансовый 3 5 4 3" xfId="3135"/>
    <cellStyle name="Финансовый 3 5 4 3 2" xfId="3136"/>
    <cellStyle name="Финансовый 3 5 4 3 3" xfId="3137"/>
    <cellStyle name="Финансовый 3 5 4 4" xfId="3138"/>
    <cellStyle name="Финансовый 3 5 4 5" xfId="3139"/>
    <cellStyle name="Финансовый 3 5 5" xfId="3140"/>
    <cellStyle name="Финансовый 3 5 5 2" xfId="3141"/>
    <cellStyle name="Финансовый 3 5 5 2 2" xfId="3142"/>
    <cellStyle name="Финансовый 3 5 5 2 3" xfId="3143"/>
    <cellStyle name="Финансовый 3 5 5 3" xfId="3144"/>
    <cellStyle name="Финансовый 3 5 5 4" xfId="3145"/>
    <cellStyle name="Финансовый 3 5 6" xfId="3146"/>
    <cellStyle name="Финансовый 3 5 6 2" xfId="3147"/>
    <cellStyle name="Финансовый 3 5 6 2 2" xfId="3148"/>
    <cellStyle name="Финансовый 3 5 6 2 3" xfId="3149"/>
    <cellStyle name="Финансовый 3 5 6 3" xfId="3150"/>
    <cellStyle name="Финансовый 3 5 6 4" xfId="3151"/>
    <cellStyle name="Финансовый 3 5 7" xfId="3152"/>
    <cellStyle name="Финансовый 3 5 7 2" xfId="3153"/>
    <cellStyle name="Финансовый 3 5 7 2 2" xfId="3154"/>
    <cellStyle name="Финансовый 3 5 7 2 3" xfId="3155"/>
    <cellStyle name="Финансовый 3 5 7 3" xfId="3156"/>
    <cellStyle name="Финансовый 3 5 7 4" xfId="3157"/>
    <cellStyle name="Финансовый 3 5 8" xfId="3158"/>
    <cellStyle name="Финансовый 3 5 8 2" xfId="3159"/>
    <cellStyle name="Финансовый 3 5 8 2 2" xfId="3160"/>
    <cellStyle name="Финансовый 3 5 8 2 3" xfId="3161"/>
    <cellStyle name="Финансовый 3 5 8 3" xfId="3162"/>
    <cellStyle name="Финансовый 3 5 8 4" xfId="3163"/>
    <cellStyle name="Финансовый 3 5 9" xfId="3164"/>
    <cellStyle name="Финансовый 3 5 9 2" xfId="3165"/>
    <cellStyle name="Финансовый 3 5 9 3" xfId="3166"/>
    <cellStyle name="Финансовый 3 6" xfId="3167"/>
    <cellStyle name="Финансовый 3 6 2" xfId="3168"/>
    <cellStyle name="Финансовый 3 6 2 2" xfId="3169"/>
    <cellStyle name="Финансовый 3 6 2 2 2" xfId="3170"/>
    <cellStyle name="Финансовый 3 6 2 2 2 2" xfId="3171"/>
    <cellStyle name="Финансовый 3 6 2 2 2 3" xfId="3172"/>
    <cellStyle name="Финансовый 3 6 2 2 3" xfId="3173"/>
    <cellStyle name="Финансовый 3 6 2 2 4" xfId="3174"/>
    <cellStyle name="Финансовый 3 6 2 3" xfId="3175"/>
    <cellStyle name="Финансовый 3 6 2 3 2" xfId="3176"/>
    <cellStyle name="Финансовый 3 6 2 3 3" xfId="3177"/>
    <cellStyle name="Финансовый 3 6 2 4" xfId="3178"/>
    <cellStyle name="Финансовый 3 6 2 5" xfId="3179"/>
    <cellStyle name="Финансовый 3 6 3" xfId="3180"/>
    <cellStyle name="Финансовый 3 6 3 2" xfId="3181"/>
    <cellStyle name="Финансовый 3 6 3 2 2" xfId="3182"/>
    <cellStyle name="Финансовый 3 6 3 2 2 2" xfId="3183"/>
    <cellStyle name="Финансовый 3 6 3 2 2 3" xfId="3184"/>
    <cellStyle name="Финансовый 3 6 3 2 3" xfId="3185"/>
    <cellStyle name="Финансовый 3 6 3 2 4" xfId="3186"/>
    <cellStyle name="Финансовый 3 6 3 3" xfId="3187"/>
    <cellStyle name="Финансовый 3 6 3 3 2" xfId="3188"/>
    <cellStyle name="Финансовый 3 6 3 3 3" xfId="3189"/>
    <cellStyle name="Финансовый 3 6 3 4" xfId="3190"/>
    <cellStyle name="Финансовый 3 6 3 5" xfId="3191"/>
    <cellStyle name="Финансовый 3 6 4" xfId="3192"/>
    <cellStyle name="Финансовый 3 6 4 2" xfId="3193"/>
    <cellStyle name="Финансовый 3 6 4 2 2" xfId="3194"/>
    <cellStyle name="Финансовый 3 6 4 2 3" xfId="3195"/>
    <cellStyle name="Финансовый 3 6 4 3" xfId="3196"/>
    <cellStyle name="Финансовый 3 6 4 4" xfId="3197"/>
    <cellStyle name="Финансовый 3 6 5" xfId="3198"/>
    <cellStyle name="Финансовый 3 6 5 2" xfId="3199"/>
    <cellStyle name="Финансовый 3 6 5 3" xfId="3200"/>
    <cellStyle name="Финансовый 3 6 6" xfId="3201"/>
    <cellStyle name="Финансовый 3 6 7" xfId="3202"/>
    <cellStyle name="Финансовый 3 6 8" xfId="3203"/>
    <cellStyle name="Финансовый 3 7" xfId="3204"/>
    <cellStyle name="Финансовый 3 7 2" xfId="3205"/>
    <cellStyle name="Финансовый 3 7 2 2" xfId="3206"/>
    <cellStyle name="Финансовый 3 7 2 2 2" xfId="3207"/>
    <cellStyle name="Финансовый 3 7 2 2 3" xfId="3208"/>
    <cellStyle name="Финансовый 3 7 2 3" xfId="3209"/>
    <cellStyle name="Финансовый 3 7 2 4" xfId="3210"/>
    <cellStyle name="Финансовый 3 7 3" xfId="3211"/>
    <cellStyle name="Финансовый 3 7 3 2" xfId="3212"/>
    <cellStyle name="Финансовый 3 7 3 3" xfId="3213"/>
    <cellStyle name="Финансовый 3 7 4" xfId="3214"/>
    <cellStyle name="Финансовый 3 7 5" xfId="3215"/>
    <cellStyle name="Финансовый 3 8" xfId="3216"/>
    <cellStyle name="Финансовый 3 8 2" xfId="3217"/>
    <cellStyle name="Финансовый 3 8 2 2" xfId="3218"/>
    <cellStyle name="Финансовый 3 8 2 2 2" xfId="3219"/>
    <cellStyle name="Финансовый 3 8 2 2 3" xfId="3220"/>
    <cellStyle name="Финансовый 3 8 2 3" xfId="3221"/>
    <cellStyle name="Финансовый 3 8 2 4" xfId="3222"/>
    <cellStyle name="Финансовый 3 8 3" xfId="3223"/>
    <cellStyle name="Финансовый 3 8 3 2" xfId="3224"/>
    <cellStyle name="Финансовый 3 8 3 3" xfId="3225"/>
    <cellStyle name="Финансовый 3 8 4" xfId="3226"/>
    <cellStyle name="Финансовый 3 8 5" xfId="3227"/>
    <cellStyle name="Финансовый 3 9" xfId="3228"/>
    <cellStyle name="Финансовый 3 9 2" xfId="3229"/>
    <cellStyle name="Финансовый 3 9 2 2" xfId="3230"/>
    <cellStyle name="Финансовый 3 9 2 3" xfId="3231"/>
    <cellStyle name="Финансовый 3 9 3" xfId="3232"/>
    <cellStyle name="Финансовый 3 9 4" xfId="3233"/>
    <cellStyle name="Финансовый 4" xfId="3234"/>
    <cellStyle name="Финансовый 4 2" xfId="3235"/>
    <cellStyle name="Финансовый 4 2 10" xfId="3236"/>
    <cellStyle name="Финансовый 4 2 11" xfId="3237"/>
    <cellStyle name="Финансовый 4 2 12" xfId="3238"/>
    <cellStyle name="Финансовый 4 2 13" xfId="3239"/>
    <cellStyle name="Финансовый 4 2 2" xfId="3240"/>
    <cellStyle name="Финансовый 4 2 2 2" xfId="3241"/>
    <cellStyle name="Финансовый 4 2 2 2 2" xfId="3242"/>
    <cellStyle name="Финансовый 4 2 2 2 2 2" xfId="3243"/>
    <cellStyle name="Финансовый 4 2 2 2 2 2 2" xfId="3244"/>
    <cellStyle name="Финансовый 4 2 2 2 2 2 3" xfId="3245"/>
    <cellStyle name="Финансовый 4 2 2 2 2 3" xfId="3246"/>
    <cellStyle name="Финансовый 4 2 2 2 2 4" xfId="3247"/>
    <cellStyle name="Финансовый 4 2 2 2 3" xfId="3248"/>
    <cellStyle name="Финансовый 4 2 2 2 3 2" xfId="3249"/>
    <cellStyle name="Финансовый 4 2 2 2 3 3" xfId="3250"/>
    <cellStyle name="Финансовый 4 2 2 2 4" xfId="3251"/>
    <cellStyle name="Финансовый 4 2 2 2 5" xfId="3252"/>
    <cellStyle name="Финансовый 4 2 2 3" xfId="3253"/>
    <cellStyle name="Финансовый 4 2 2 3 2" xfId="3254"/>
    <cellStyle name="Финансовый 4 2 2 3 2 2" xfId="3255"/>
    <cellStyle name="Финансовый 4 2 2 3 2 2 2" xfId="3256"/>
    <cellStyle name="Финансовый 4 2 2 3 2 2 3" xfId="3257"/>
    <cellStyle name="Финансовый 4 2 2 3 2 3" xfId="3258"/>
    <cellStyle name="Финансовый 4 2 2 3 2 4" xfId="3259"/>
    <cellStyle name="Финансовый 4 2 2 3 3" xfId="3260"/>
    <cellStyle name="Финансовый 4 2 2 3 3 2" xfId="3261"/>
    <cellStyle name="Финансовый 4 2 2 3 3 3" xfId="3262"/>
    <cellStyle name="Финансовый 4 2 2 3 4" xfId="3263"/>
    <cellStyle name="Финансовый 4 2 2 3 5" xfId="3264"/>
    <cellStyle name="Финансовый 4 2 2 4" xfId="3265"/>
    <cellStyle name="Финансовый 4 2 2 4 2" xfId="3266"/>
    <cellStyle name="Финансовый 4 2 2 4 2 2" xfId="3267"/>
    <cellStyle name="Финансовый 4 2 2 4 2 3" xfId="3268"/>
    <cellStyle name="Финансовый 4 2 2 4 3" xfId="3269"/>
    <cellStyle name="Финансовый 4 2 2 4 4" xfId="3270"/>
    <cellStyle name="Финансовый 4 2 2 5" xfId="3271"/>
    <cellStyle name="Финансовый 4 2 2 5 2" xfId="3272"/>
    <cellStyle name="Финансовый 4 2 2 5 3" xfId="3273"/>
    <cellStyle name="Финансовый 4 2 2 6" xfId="3274"/>
    <cellStyle name="Финансовый 4 2 2 7" xfId="3275"/>
    <cellStyle name="Финансовый 4 2 2 8" xfId="3276"/>
    <cellStyle name="Финансовый 4 2 3" xfId="3277"/>
    <cellStyle name="Финансовый 4 2 3 2" xfId="3278"/>
    <cellStyle name="Финансовый 4 2 3 2 2" xfId="3279"/>
    <cellStyle name="Финансовый 4 2 3 2 2 2" xfId="3280"/>
    <cellStyle name="Финансовый 4 2 3 2 2 3" xfId="3281"/>
    <cellStyle name="Финансовый 4 2 3 2 3" xfId="3282"/>
    <cellStyle name="Финансовый 4 2 3 2 4" xfId="3283"/>
    <cellStyle name="Финансовый 4 2 3 3" xfId="3284"/>
    <cellStyle name="Финансовый 4 2 3 3 2" xfId="3285"/>
    <cellStyle name="Финансовый 4 2 3 3 3" xfId="3286"/>
    <cellStyle name="Финансовый 4 2 3 4" xfId="3287"/>
    <cellStyle name="Финансовый 4 2 3 5" xfId="3288"/>
    <cellStyle name="Финансовый 4 2 4" xfId="3289"/>
    <cellStyle name="Финансовый 4 2 4 2" xfId="3290"/>
    <cellStyle name="Финансовый 4 2 4 2 2" xfId="3291"/>
    <cellStyle name="Финансовый 4 2 4 2 2 2" xfId="3292"/>
    <cellStyle name="Финансовый 4 2 4 2 2 3" xfId="3293"/>
    <cellStyle name="Финансовый 4 2 4 2 3" xfId="3294"/>
    <cellStyle name="Финансовый 4 2 4 2 4" xfId="3295"/>
    <cellStyle name="Финансовый 4 2 4 3" xfId="3296"/>
    <cellStyle name="Финансовый 4 2 4 3 2" xfId="3297"/>
    <cellStyle name="Финансовый 4 2 4 3 3" xfId="3298"/>
    <cellStyle name="Финансовый 4 2 4 4" xfId="3299"/>
    <cellStyle name="Финансовый 4 2 4 5" xfId="3300"/>
    <cellStyle name="Финансовый 4 2 5" xfId="3301"/>
    <cellStyle name="Финансовый 4 2 5 2" xfId="3302"/>
    <cellStyle name="Финансовый 4 2 5 2 2" xfId="3303"/>
    <cellStyle name="Финансовый 4 2 5 2 3" xfId="3304"/>
    <cellStyle name="Финансовый 4 2 5 3" xfId="3305"/>
    <cellStyle name="Финансовый 4 2 5 4" xfId="3306"/>
    <cellStyle name="Финансовый 4 2 6" xfId="3307"/>
    <cellStyle name="Финансовый 4 2 6 2" xfId="3308"/>
    <cellStyle name="Финансовый 4 2 6 2 2" xfId="3309"/>
    <cellStyle name="Финансовый 4 2 6 2 3" xfId="3310"/>
    <cellStyle name="Финансовый 4 2 6 3" xfId="3311"/>
    <cellStyle name="Финансовый 4 2 6 4" xfId="3312"/>
    <cellStyle name="Финансовый 4 2 7" xfId="3313"/>
    <cellStyle name="Финансовый 4 2 7 2" xfId="3314"/>
    <cellStyle name="Финансовый 4 2 7 2 2" xfId="3315"/>
    <cellStyle name="Финансовый 4 2 7 2 3" xfId="3316"/>
    <cellStyle name="Финансовый 4 2 7 3" xfId="3317"/>
    <cellStyle name="Финансовый 4 2 7 4" xfId="3318"/>
    <cellStyle name="Финансовый 4 2 8" xfId="3319"/>
    <cellStyle name="Финансовый 4 2 8 2" xfId="3320"/>
    <cellStyle name="Финансовый 4 2 8 2 2" xfId="3321"/>
    <cellStyle name="Финансовый 4 2 8 2 3" xfId="3322"/>
    <cellStyle name="Финансовый 4 2 8 3" xfId="3323"/>
    <cellStyle name="Финансовый 4 2 8 4" xfId="3324"/>
    <cellStyle name="Финансовый 4 2 9" xfId="3325"/>
    <cellStyle name="Финансовый 4 2 9 2" xfId="3326"/>
    <cellStyle name="Финансовый 4 2 9 3" xfId="3327"/>
    <cellStyle name="Финансовый 4 3" xfId="3328"/>
    <cellStyle name="Финансовый 4 4" xfId="3329"/>
    <cellStyle name="Финансовый 5" xfId="3330"/>
    <cellStyle name="Финансовый 5 10" xfId="3331"/>
    <cellStyle name="Финансовый 5 10 2" xfId="3332"/>
    <cellStyle name="Финансовый 5 10 2 2" xfId="3333"/>
    <cellStyle name="Финансовый 5 10 2 3" xfId="3334"/>
    <cellStyle name="Финансовый 5 10 3" xfId="3335"/>
    <cellStyle name="Финансовый 5 10 4" xfId="3336"/>
    <cellStyle name="Финансовый 5 11" xfId="3337"/>
    <cellStyle name="Финансовый 5 11 2" xfId="3338"/>
    <cellStyle name="Финансовый 5 11 2 2" xfId="3339"/>
    <cellStyle name="Финансовый 5 11 2 3" xfId="3340"/>
    <cellStyle name="Финансовый 5 11 3" xfId="3341"/>
    <cellStyle name="Финансовый 5 11 4" xfId="3342"/>
    <cellStyle name="Финансовый 5 12" xfId="3343"/>
    <cellStyle name="Финансовый 5 12 2" xfId="3344"/>
    <cellStyle name="Финансовый 5 12 3" xfId="3345"/>
    <cellStyle name="Финансовый 5 13" xfId="3346"/>
    <cellStyle name="Финансовый 5 14" xfId="3347"/>
    <cellStyle name="Финансовый 5 15" xfId="3348"/>
    <cellStyle name="Финансовый 5 16" xfId="3349"/>
    <cellStyle name="Финансовый 5 2" xfId="3350"/>
    <cellStyle name="Финансовый 5 2 10" xfId="3351"/>
    <cellStyle name="Финансовый 5 2 10 2" xfId="3352"/>
    <cellStyle name="Финансовый 5 2 10 3" xfId="3353"/>
    <cellStyle name="Финансовый 5 2 11" xfId="3354"/>
    <cellStyle name="Финансовый 5 2 12" xfId="3355"/>
    <cellStyle name="Финансовый 5 2 13" xfId="3356"/>
    <cellStyle name="Финансовый 5 2 14" xfId="3357"/>
    <cellStyle name="Финансовый 5 2 2" xfId="3358"/>
    <cellStyle name="Финансовый 5 2 2 10" xfId="3359"/>
    <cellStyle name="Финансовый 5 2 2 11" xfId="3360"/>
    <cellStyle name="Финансовый 5 2 2 12" xfId="3361"/>
    <cellStyle name="Финансовый 5 2 2 13" xfId="3362"/>
    <cellStyle name="Финансовый 5 2 2 2" xfId="3363"/>
    <cellStyle name="Финансовый 5 2 2 2 2" xfId="3364"/>
    <cellStyle name="Финансовый 5 2 2 2 2 2" xfId="3365"/>
    <cellStyle name="Финансовый 5 2 2 2 2 2 2" xfId="3366"/>
    <cellStyle name="Финансовый 5 2 2 2 2 2 2 2" xfId="3367"/>
    <cellStyle name="Финансовый 5 2 2 2 2 2 2 3" xfId="3368"/>
    <cellStyle name="Финансовый 5 2 2 2 2 2 3" xfId="3369"/>
    <cellStyle name="Финансовый 5 2 2 2 2 2 4" xfId="3370"/>
    <cellStyle name="Финансовый 5 2 2 2 2 3" xfId="3371"/>
    <cellStyle name="Финансовый 5 2 2 2 2 3 2" xfId="3372"/>
    <cellStyle name="Финансовый 5 2 2 2 2 3 3" xfId="3373"/>
    <cellStyle name="Финансовый 5 2 2 2 2 4" xfId="3374"/>
    <cellStyle name="Финансовый 5 2 2 2 2 5" xfId="3375"/>
    <cellStyle name="Финансовый 5 2 2 2 3" xfId="3376"/>
    <cellStyle name="Финансовый 5 2 2 2 3 2" xfId="3377"/>
    <cellStyle name="Финансовый 5 2 2 2 3 2 2" xfId="3378"/>
    <cellStyle name="Финансовый 5 2 2 2 3 2 2 2" xfId="3379"/>
    <cellStyle name="Финансовый 5 2 2 2 3 2 2 3" xfId="3380"/>
    <cellStyle name="Финансовый 5 2 2 2 3 2 3" xfId="3381"/>
    <cellStyle name="Финансовый 5 2 2 2 3 2 4" xfId="3382"/>
    <cellStyle name="Финансовый 5 2 2 2 3 3" xfId="3383"/>
    <cellStyle name="Финансовый 5 2 2 2 3 3 2" xfId="3384"/>
    <cellStyle name="Финансовый 5 2 2 2 3 3 3" xfId="3385"/>
    <cellStyle name="Финансовый 5 2 2 2 3 4" xfId="3386"/>
    <cellStyle name="Финансовый 5 2 2 2 3 5" xfId="3387"/>
    <cellStyle name="Финансовый 5 2 2 2 4" xfId="3388"/>
    <cellStyle name="Финансовый 5 2 2 2 4 2" xfId="3389"/>
    <cellStyle name="Финансовый 5 2 2 2 4 2 2" xfId="3390"/>
    <cellStyle name="Финансовый 5 2 2 2 4 2 3" xfId="3391"/>
    <cellStyle name="Финансовый 5 2 2 2 4 3" xfId="3392"/>
    <cellStyle name="Финансовый 5 2 2 2 4 4" xfId="3393"/>
    <cellStyle name="Финансовый 5 2 2 2 5" xfId="3394"/>
    <cellStyle name="Финансовый 5 2 2 2 5 2" xfId="3395"/>
    <cellStyle name="Финансовый 5 2 2 2 5 3" xfId="3396"/>
    <cellStyle name="Финансовый 5 2 2 2 6" xfId="3397"/>
    <cellStyle name="Финансовый 5 2 2 2 7" xfId="3398"/>
    <cellStyle name="Финансовый 5 2 2 2 8" xfId="3399"/>
    <cellStyle name="Финансовый 5 2 2 3" xfId="3400"/>
    <cellStyle name="Финансовый 5 2 2 3 2" xfId="3401"/>
    <cellStyle name="Финансовый 5 2 2 3 2 2" xfId="3402"/>
    <cellStyle name="Финансовый 5 2 2 3 2 2 2" xfId="3403"/>
    <cellStyle name="Финансовый 5 2 2 3 2 2 3" xfId="3404"/>
    <cellStyle name="Финансовый 5 2 2 3 2 3" xfId="3405"/>
    <cellStyle name="Финансовый 5 2 2 3 2 4" xfId="3406"/>
    <cellStyle name="Финансовый 5 2 2 3 3" xfId="3407"/>
    <cellStyle name="Финансовый 5 2 2 3 3 2" xfId="3408"/>
    <cellStyle name="Финансовый 5 2 2 3 3 3" xfId="3409"/>
    <cellStyle name="Финансовый 5 2 2 3 4" xfId="3410"/>
    <cellStyle name="Финансовый 5 2 2 3 5" xfId="3411"/>
    <cellStyle name="Финансовый 5 2 2 4" xfId="3412"/>
    <cellStyle name="Финансовый 5 2 2 4 2" xfId="3413"/>
    <cellStyle name="Финансовый 5 2 2 4 2 2" xfId="3414"/>
    <cellStyle name="Финансовый 5 2 2 4 2 2 2" xfId="3415"/>
    <cellStyle name="Финансовый 5 2 2 4 2 2 3" xfId="3416"/>
    <cellStyle name="Финансовый 5 2 2 4 2 3" xfId="3417"/>
    <cellStyle name="Финансовый 5 2 2 4 2 4" xfId="3418"/>
    <cellStyle name="Финансовый 5 2 2 4 3" xfId="3419"/>
    <cellStyle name="Финансовый 5 2 2 4 3 2" xfId="3420"/>
    <cellStyle name="Финансовый 5 2 2 4 3 3" xfId="3421"/>
    <cellStyle name="Финансовый 5 2 2 4 4" xfId="3422"/>
    <cellStyle name="Финансовый 5 2 2 4 5" xfId="3423"/>
    <cellStyle name="Финансовый 5 2 2 5" xfId="3424"/>
    <cellStyle name="Финансовый 5 2 2 5 2" xfId="3425"/>
    <cellStyle name="Финансовый 5 2 2 5 2 2" xfId="3426"/>
    <cellStyle name="Финансовый 5 2 2 5 2 3" xfId="3427"/>
    <cellStyle name="Финансовый 5 2 2 5 3" xfId="3428"/>
    <cellStyle name="Финансовый 5 2 2 5 4" xfId="3429"/>
    <cellStyle name="Финансовый 5 2 2 6" xfId="3430"/>
    <cellStyle name="Финансовый 5 2 2 6 2" xfId="3431"/>
    <cellStyle name="Финансовый 5 2 2 6 2 2" xfId="3432"/>
    <cellStyle name="Финансовый 5 2 2 6 2 3" xfId="3433"/>
    <cellStyle name="Финансовый 5 2 2 6 3" xfId="3434"/>
    <cellStyle name="Финансовый 5 2 2 6 4" xfId="3435"/>
    <cellStyle name="Финансовый 5 2 2 7" xfId="3436"/>
    <cellStyle name="Финансовый 5 2 2 7 2" xfId="3437"/>
    <cellStyle name="Финансовый 5 2 2 7 2 2" xfId="3438"/>
    <cellStyle name="Финансовый 5 2 2 7 2 3" xfId="3439"/>
    <cellStyle name="Финансовый 5 2 2 7 3" xfId="3440"/>
    <cellStyle name="Финансовый 5 2 2 7 4" xfId="3441"/>
    <cellStyle name="Финансовый 5 2 2 8" xfId="3442"/>
    <cellStyle name="Финансовый 5 2 2 8 2" xfId="3443"/>
    <cellStyle name="Финансовый 5 2 2 8 2 2" xfId="3444"/>
    <cellStyle name="Финансовый 5 2 2 8 2 3" xfId="3445"/>
    <cellStyle name="Финансовый 5 2 2 8 3" xfId="3446"/>
    <cellStyle name="Финансовый 5 2 2 8 4" xfId="3447"/>
    <cellStyle name="Финансовый 5 2 2 9" xfId="3448"/>
    <cellStyle name="Финансовый 5 2 2 9 2" xfId="3449"/>
    <cellStyle name="Финансовый 5 2 2 9 3" xfId="3450"/>
    <cellStyle name="Финансовый 5 2 3" xfId="3451"/>
    <cellStyle name="Финансовый 5 2 3 2" xfId="3452"/>
    <cellStyle name="Финансовый 5 2 3 2 2" xfId="3453"/>
    <cellStyle name="Финансовый 5 2 3 2 2 2" xfId="3454"/>
    <cellStyle name="Финансовый 5 2 3 2 2 2 2" xfId="3455"/>
    <cellStyle name="Финансовый 5 2 3 2 2 2 3" xfId="3456"/>
    <cellStyle name="Финансовый 5 2 3 2 2 3" xfId="3457"/>
    <cellStyle name="Финансовый 5 2 3 2 2 4" xfId="3458"/>
    <cellStyle name="Финансовый 5 2 3 2 3" xfId="3459"/>
    <cellStyle name="Финансовый 5 2 3 2 3 2" xfId="3460"/>
    <cellStyle name="Финансовый 5 2 3 2 3 3" xfId="3461"/>
    <cellStyle name="Финансовый 5 2 3 2 4" xfId="3462"/>
    <cellStyle name="Финансовый 5 2 3 2 5" xfId="3463"/>
    <cellStyle name="Финансовый 5 2 3 3" xfId="3464"/>
    <cellStyle name="Финансовый 5 2 3 3 2" xfId="3465"/>
    <cellStyle name="Финансовый 5 2 3 3 2 2" xfId="3466"/>
    <cellStyle name="Финансовый 5 2 3 3 2 2 2" xfId="3467"/>
    <cellStyle name="Финансовый 5 2 3 3 2 2 3" xfId="3468"/>
    <cellStyle name="Финансовый 5 2 3 3 2 3" xfId="3469"/>
    <cellStyle name="Финансовый 5 2 3 3 2 4" xfId="3470"/>
    <cellStyle name="Финансовый 5 2 3 3 3" xfId="3471"/>
    <cellStyle name="Финансовый 5 2 3 3 3 2" xfId="3472"/>
    <cellStyle name="Финансовый 5 2 3 3 3 3" xfId="3473"/>
    <cellStyle name="Финансовый 5 2 3 3 4" xfId="3474"/>
    <cellStyle name="Финансовый 5 2 3 3 5" xfId="3475"/>
    <cellStyle name="Финансовый 5 2 3 4" xfId="3476"/>
    <cellStyle name="Финансовый 5 2 3 4 2" xfId="3477"/>
    <cellStyle name="Финансовый 5 2 3 4 2 2" xfId="3478"/>
    <cellStyle name="Финансовый 5 2 3 4 2 3" xfId="3479"/>
    <cellStyle name="Финансовый 5 2 3 4 3" xfId="3480"/>
    <cellStyle name="Финансовый 5 2 3 4 4" xfId="3481"/>
    <cellStyle name="Финансовый 5 2 3 5" xfId="3482"/>
    <cellStyle name="Финансовый 5 2 3 5 2" xfId="3483"/>
    <cellStyle name="Финансовый 5 2 3 5 3" xfId="3484"/>
    <cellStyle name="Финансовый 5 2 3 6" xfId="3485"/>
    <cellStyle name="Финансовый 5 2 3 7" xfId="3486"/>
    <cellStyle name="Финансовый 5 2 3 8" xfId="3487"/>
    <cellStyle name="Финансовый 5 2 4" xfId="3488"/>
    <cellStyle name="Финансовый 5 2 4 2" xfId="3489"/>
    <cellStyle name="Финансовый 5 2 4 2 2" xfId="3490"/>
    <cellStyle name="Финансовый 5 2 4 2 2 2" xfId="3491"/>
    <cellStyle name="Финансовый 5 2 4 2 2 3" xfId="3492"/>
    <cellStyle name="Финансовый 5 2 4 2 3" xfId="3493"/>
    <cellStyle name="Финансовый 5 2 4 2 4" xfId="3494"/>
    <cellStyle name="Финансовый 5 2 4 3" xfId="3495"/>
    <cellStyle name="Финансовый 5 2 4 3 2" xfId="3496"/>
    <cellStyle name="Финансовый 5 2 4 3 3" xfId="3497"/>
    <cellStyle name="Финансовый 5 2 4 4" xfId="3498"/>
    <cellStyle name="Финансовый 5 2 4 5" xfId="3499"/>
    <cellStyle name="Финансовый 5 2 5" xfId="3500"/>
    <cellStyle name="Финансовый 5 2 5 2" xfId="3501"/>
    <cellStyle name="Финансовый 5 2 5 2 2" xfId="3502"/>
    <cellStyle name="Финансовый 5 2 5 2 2 2" xfId="3503"/>
    <cellStyle name="Финансовый 5 2 5 2 2 3" xfId="3504"/>
    <cellStyle name="Финансовый 5 2 5 2 3" xfId="3505"/>
    <cellStyle name="Финансовый 5 2 5 2 4" xfId="3506"/>
    <cellStyle name="Финансовый 5 2 5 3" xfId="3507"/>
    <cellStyle name="Финансовый 5 2 5 3 2" xfId="3508"/>
    <cellStyle name="Финансовый 5 2 5 3 3" xfId="3509"/>
    <cellStyle name="Финансовый 5 2 5 4" xfId="3510"/>
    <cellStyle name="Финансовый 5 2 5 5" xfId="3511"/>
    <cellStyle name="Финансовый 5 2 6" xfId="3512"/>
    <cellStyle name="Финансовый 5 2 6 2" xfId="3513"/>
    <cellStyle name="Финансовый 5 2 6 2 2" xfId="3514"/>
    <cellStyle name="Финансовый 5 2 6 2 3" xfId="3515"/>
    <cellStyle name="Финансовый 5 2 6 3" xfId="3516"/>
    <cellStyle name="Финансовый 5 2 6 4" xfId="3517"/>
    <cellStyle name="Финансовый 5 2 7" xfId="3518"/>
    <cellStyle name="Финансовый 5 2 7 2" xfId="3519"/>
    <cellStyle name="Финансовый 5 2 7 2 2" xfId="3520"/>
    <cellStyle name="Финансовый 5 2 7 2 3" xfId="3521"/>
    <cellStyle name="Финансовый 5 2 7 3" xfId="3522"/>
    <cellStyle name="Финансовый 5 2 7 4" xfId="3523"/>
    <cellStyle name="Финансовый 5 2 8" xfId="3524"/>
    <cellStyle name="Финансовый 5 2 8 2" xfId="3525"/>
    <cellStyle name="Финансовый 5 2 8 2 2" xfId="3526"/>
    <cellStyle name="Финансовый 5 2 8 2 3" xfId="3527"/>
    <cellStyle name="Финансовый 5 2 8 3" xfId="3528"/>
    <cellStyle name="Финансовый 5 2 8 4" xfId="3529"/>
    <cellStyle name="Финансовый 5 2 9" xfId="3530"/>
    <cellStyle name="Финансовый 5 2 9 2" xfId="3531"/>
    <cellStyle name="Финансовый 5 2 9 2 2" xfId="3532"/>
    <cellStyle name="Финансовый 5 2 9 2 3" xfId="3533"/>
    <cellStyle name="Финансовый 5 2 9 3" xfId="3534"/>
    <cellStyle name="Финансовый 5 2 9 4" xfId="3535"/>
    <cellStyle name="Финансовый 5 3" xfId="3536"/>
    <cellStyle name="Финансовый 5 3 10" xfId="3537"/>
    <cellStyle name="Финансовый 5 3 11" xfId="3538"/>
    <cellStyle name="Финансовый 5 3 12" xfId="3539"/>
    <cellStyle name="Финансовый 5 3 13" xfId="3540"/>
    <cellStyle name="Финансовый 5 3 2" xfId="3541"/>
    <cellStyle name="Финансовый 5 3 2 2" xfId="3542"/>
    <cellStyle name="Финансовый 5 3 2 2 2" xfId="3543"/>
    <cellStyle name="Финансовый 5 3 2 2 2 2" xfId="3544"/>
    <cellStyle name="Финансовый 5 3 2 2 2 2 2" xfId="3545"/>
    <cellStyle name="Финансовый 5 3 2 2 2 2 3" xfId="3546"/>
    <cellStyle name="Финансовый 5 3 2 2 2 3" xfId="3547"/>
    <cellStyle name="Финансовый 5 3 2 2 2 4" xfId="3548"/>
    <cellStyle name="Финансовый 5 3 2 2 3" xfId="3549"/>
    <cellStyle name="Финансовый 5 3 2 2 3 2" xfId="3550"/>
    <cellStyle name="Финансовый 5 3 2 2 3 3" xfId="3551"/>
    <cellStyle name="Финансовый 5 3 2 2 4" xfId="3552"/>
    <cellStyle name="Финансовый 5 3 2 2 5" xfId="3553"/>
    <cellStyle name="Финансовый 5 3 2 3" xfId="3554"/>
    <cellStyle name="Финансовый 5 3 2 3 2" xfId="3555"/>
    <cellStyle name="Финансовый 5 3 2 3 2 2" xfId="3556"/>
    <cellStyle name="Финансовый 5 3 2 3 2 2 2" xfId="3557"/>
    <cellStyle name="Финансовый 5 3 2 3 2 2 3" xfId="3558"/>
    <cellStyle name="Финансовый 5 3 2 3 2 3" xfId="3559"/>
    <cellStyle name="Финансовый 5 3 2 3 2 4" xfId="3560"/>
    <cellStyle name="Финансовый 5 3 2 3 3" xfId="3561"/>
    <cellStyle name="Финансовый 5 3 2 3 3 2" xfId="3562"/>
    <cellStyle name="Финансовый 5 3 2 3 3 3" xfId="3563"/>
    <cellStyle name="Финансовый 5 3 2 3 4" xfId="3564"/>
    <cellStyle name="Финансовый 5 3 2 3 5" xfId="3565"/>
    <cellStyle name="Финансовый 5 3 2 4" xfId="3566"/>
    <cellStyle name="Финансовый 5 3 2 4 2" xfId="3567"/>
    <cellStyle name="Финансовый 5 3 2 4 2 2" xfId="3568"/>
    <cellStyle name="Финансовый 5 3 2 4 2 3" xfId="3569"/>
    <cellStyle name="Финансовый 5 3 2 4 3" xfId="3570"/>
    <cellStyle name="Финансовый 5 3 2 4 4" xfId="3571"/>
    <cellStyle name="Финансовый 5 3 2 5" xfId="3572"/>
    <cellStyle name="Финансовый 5 3 2 5 2" xfId="3573"/>
    <cellStyle name="Финансовый 5 3 2 5 3" xfId="3574"/>
    <cellStyle name="Финансовый 5 3 2 6" xfId="3575"/>
    <cellStyle name="Финансовый 5 3 2 7" xfId="3576"/>
    <cellStyle name="Финансовый 5 3 2 8" xfId="3577"/>
    <cellStyle name="Финансовый 5 3 3" xfId="3578"/>
    <cellStyle name="Финансовый 5 3 3 2" xfId="3579"/>
    <cellStyle name="Финансовый 5 3 3 2 2" xfId="3580"/>
    <cellStyle name="Финансовый 5 3 3 2 2 2" xfId="3581"/>
    <cellStyle name="Финансовый 5 3 3 2 2 3" xfId="3582"/>
    <cellStyle name="Финансовый 5 3 3 2 3" xfId="3583"/>
    <cellStyle name="Финансовый 5 3 3 2 4" xfId="3584"/>
    <cellStyle name="Финансовый 5 3 3 3" xfId="3585"/>
    <cellStyle name="Финансовый 5 3 3 3 2" xfId="3586"/>
    <cellStyle name="Финансовый 5 3 3 3 3" xfId="3587"/>
    <cellStyle name="Финансовый 5 3 3 4" xfId="3588"/>
    <cellStyle name="Финансовый 5 3 3 5" xfId="3589"/>
    <cellStyle name="Финансовый 5 3 4" xfId="3590"/>
    <cellStyle name="Финансовый 5 3 4 2" xfId="3591"/>
    <cellStyle name="Финансовый 5 3 4 2 2" xfId="3592"/>
    <cellStyle name="Финансовый 5 3 4 2 2 2" xfId="3593"/>
    <cellStyle name="Финансовый 5 3 4 2 2 3" xfId="3594"/>
    <cellStyle name="Финансовый 5 3 4 2 3" xfId="3595"/>
    <cellStyle name="Финансовый 5 3 4 2 4" xfId="3596"/>
    <cellStyle name="Финансовый 5 3 4 3" xfId="3597"/>
    <cellStyle name="Финансовый 5 3 4 3 2" xfId="3598"/>
    <cellStyle name="Финансовый 5 3 4 3 3" xfId="3599"/>
    <cellStyle name="Финансовый 5 3 4 4" xfId="3600"/>
    <cellStyle name="Финансовый 5 3 4 5" xfId="3601"/>
    <cellStyle name="Финансовый 5 3 5" xfId="3602"/>
    <cellStyle name="Финансовый 5 3 5 2" xfId="3603"/>
    <cellStyle name="Финансовый 5 3 5 2 2" xfId="3604"/>
    <cellStyle name="Финансовый 5 3 5 2 3" xfId="3605"/>
    <cellStyle name="Финансовый 5 3 5 3" xfId="3606"/>
    <cellStyle name="Финансовый 5 3 5 4" xfId="3607"/>
    <cellStyle name="Финансовый 5 3 6" xfId="3608"/>
    <cellStyle name="Финансовый 5 3 6 2" xfId="3609"/>
    <cellStyle name="Финансовый 5 3 6 2 2" xfId="3610"/>
    <cellStyle name="Финансовый 5 3 6 2 3" xfId="3611"/>
    <cellStyle name="Финансовый 5 3 6 3" xfId="3612"/>
    <cellStyle name="Финансовый 5 3 6 4" xfId="3613"/>
    <cellStyle name="Финансовый 5 3 7" xfId="3614"/>
    <cellStyle name="Финансовый 5 3 7 2" xfId="3615"/>
    <cellStyle name="Финансовый 5 3 7 2 2" xfId="3616"/>
    <cellStyle name="Финансовый 5 3 7 2 3" xfId="3617"/>
    <cellStyle name="Финансовый 5 3 7 3" xfId="3618"/>
    <cellStyle name="Финансовый 5 3 7 4" xfId="3619"/>
    <cellStyle name="Финансовый 5 3 8" xfId="3620"/>
    <cellStyle name="Финансовый 5 3 8 2" xfId="3621"/>
    <cellStyle name="Финансовый 5 3 8 2 2" xfId="3622"/>
    <cellStyle name="Финансовый 5 3 8 2 3" xfId="3623"/>
    <cellStyle name="Финансовый 5 3 8 3" xfId="3624"/>
    <cellStyle name="Финансовый 5 3 8 4" xfId="3625"/>
    <cellStyle name="Финансовый 5 3 9" xfId="3626"/>
    <cellStyle name="Финансовый 5 3 9 2" xfId="3627"/>
    <cellStyle name="Финансовый 5 3 9 3" xfId="3628"/>
    <cellStyle name="Финансовый 5 4" xfId="3629"/>
    <cellStyle name="Финансовый 5 4 10" xfId="3630"/>
    <cellStyle name="Финансовый 5 4 11" xfId="3631"/>
    <cellStyle name="Финансовый 5 4 12" xfId="3632"/>
    <cellStyle name="Финансовый 5 4 13" xfId="3633"/>
    <cellStyle name="Финансовый 5 4 2" xfId="3634"/>
    <cellStyle name="Финансовый 5 4 2 2" xfId="3635"/>
    <cellStyle name="Финансовый 5 4 2 2 2" xfId="3636"/>
    <cellStyle name="Финансовый 5 4 2 2 2 2" xfId="3637"/>
    <cellStyle name="Финансовый 5 4 2 2 2 2 2" xfId="3638"/>
    <cellStyle name="Финансовый 5 4 2 2 2 2 3" xfId="3639"/>
    <cellStyle name="Финансовый 5 4 2 2 2 3" xfId="3640"/>
    <cellStyle name="Финансовый 5 4 2 2 2 4" xfId="3641"/>
    <cellStyle name="Финансовый 5 4 2 2 3" xfId="3642"/>
    <cellStyle name="Финансовый 5 4 2 2 3 2" xfId="3643"/>
    <cellStyle name="Финансовый 5 4 2 2 3 3" xfId="3644"/>
    <cellStyle name="Финансовый 5 4 2 2 4" xfId="3645"/>
    <cellStyle name="Финансовый 5 4 2 2 5" xfId="3646"/>
    <cellStyle name="Финансовый 5 4 2 3" xfId="3647"/>
    <cellStyle name="Финансовый 5 4 2 3 2" xfId="3648"/>
    <cellStyle name="Финансовый 5 4 2 3 2 2" xfId="3649"/>
    <cellStyle name="Финансовый 5 4 2 3 2 2 2" xfId="3650"/>
    <cellStyle name="Финансовый 5 4 2 3 2 2 3" xfId="3651"/>
    <cellStyle name="Финансовый 5 4 2 3 2 3" xfId="3652"/>
    <cellStyle name="Финансовый 5 4 2 3 2 4" xfId="3653"/>
    <cellStyle name="Финансовый 5 4 2 3 3" xfId="3654"/>
    <cellStyle name="Финансовый 5 4 2 3 3 2" xfId="3655"/>
    <cellStyle name="Финансовый 5 4 2 3 3 3" xfId="3656"/>
    <cellStyle name="Финансовый 5 4 2 3 4" xfId="3657"/>
    <cellStyle name="Финансовый 5 4 2 3 5" xfId="3658"/>
    <cellStyle name="Финансовый 5 4 2 4" xfId="3659"/>
    <cellStyle name="Финансовый 5 4 2 4 2" xfId="3660"/>
    <cellStyle name="Финансовый 5 4 2 4 2 2" xfId="3661"/>
    <cellStyle name="Финансовый 5 4 2 4 2 3" xfId="3662"/>
    <cellStyle name="Финансовый 5 4 2 4 3" xfId="3663"/>
    <cellStyle name="Финансовый 5 4 2 4 4" xfId="3664"/>
    <cellStyle name="Финансовый 5 4 2 5" xfId="3665"/>
    <cellStyle name="Финансовый 5 4 2 5 2" xfId="3666"/>
    <cellStyle name="Финансовый 5 4 2 5 3" xfId="3667"/>
    <cellStyle name="Финансовый 5 4 2 6" xfId="3668"/>
    <cellStyle name="Финансовый 5 4 2 7" xfId="3669"/>
    <cellStyle name="Финансовый 5 4 2 8" xfId="3670"/>
    <cellStyle name="Финансовый 5 4 3" xfId="3671"/>
    <cellStyle name="Финансовый 5 4 3 2" xfId="3672"/>
    <cellStyle name="Финансовый 5 4 3 2 2" xfId="3673"/>
    <cellStyle name="Финансовый 5 4 3 2 2 2" xfId="3674"/>
    <cellStyle name="Финансовый 5 4 3 2 2 3" xfId="3675"/>
    <cellStyle name="Финансовый 5 4 3 2 3" xfId="3676"/>
    <cellStyle name="Финансовый 5 4 3 2 4" xfId="3677"/>
    <cellStyle name="Финансовый 5 4 3 3" xfId="3678"/>
    <cellStyle name="Финансовый 5 4 3 3 2" xfId="3679"/>
    <cellStyle name="Финансовый 5 4 3 3 3" xfId="3680"/>
    <cellStyle name="Финансовый 5 4 3 4" xfId="3681"/>
    <cellStyle name="Финансовый 5 4 3 5" xfId="3682"/>
    <cellStyle name="Финансовый 5 4 4" xfId="3683"/>
    <cellStyle name="Финансовый 5 4 4 2" xfId="3684"/>
    <cellStyle name="Финансовый 5 4 4 2 2" xfId="3685"/>
    <cellStyle name="Финансовый 5 4 4 2 2 2" xfId="3686"/>
    <cellStyle name="Финансовый 5 4 4 2 2 3" xfId="3687"/>
    <cellStyle name="Финансовый 5 4 4 2 3" xfId="3688"/>
    <cellStyle name="Финансовый 5 4 4 2 4" xfId="3689"/>
    <cellStyle name="Финансовый 5 4 4 3" xfId="3690"/>
    <cellStyle name="Финансовый 5 4 4 3 2" xfId="3691"/>
    <cellStyle name="Финансовый 5 4 4 3 3" xfId="3692"/>
    <cellStyle name="Финансовый 5 4 4 4" xfId="3693"/>
    <cellStyle name="Финансовый 5 4 4 5" xfId="3694"/>
    <cellStyle name="Финансовый 5 4 5" xfId="3695"/>
    <cellStyle name="Финансовый 5 4 5 2" xfId="3696"/>
    <cellStyle name="Финансовый 5 4 5 2 2" xfId="3697"/>
    <cellStyle name="Финансовый 5 4 5 2 3" xfId="3698"/>
    <cellStyle name="Финансовый 5 4 5 3" xfId="3699"/>
    <cellStyle name="Финансовый 5 4 5 4" xfId="3700"/>
    <cellStyle name="Финансовый 5 4 6" xfId="3701"/>
    <cellStyle name="Финансовый 5 4 6 2" xfId="3702"/>
    <cellStyle name="Финансовый 5 4 6 2 2" xfId="3703"/>
    <cellStyle name="Финансовый 5 4 6 2 3" xfId="3704"/>
    <cellStyle name="Финансовый 5 4 6 3" xfId="3705"/>
    <cellStyle name="Финансовый 5 4 6 4" xfId="3706"/>
    <cellStyle name="Финансовый 5 4 7" xfId="3707"/>
    <cellStyle name="Финансовый 5 4 7 2" xfId="3708"/>
    <cellStyle name="Финансовый 5 4 7 2 2" xfId="3709"/>
    <cellStyle name="Финансовый 5 4 7 2 3" xfId="3710"/>
    <cellStyle name="Финансовый 5 4 7 3" xfId="3711"/>
    <cellStyle name="Финансовый 5 4 7 4" xfId="3712"/>
    <cellStyle name="Финансовый 5 4 8" xfId="3713"/>
    <cellStyle name="Финансовый 5 4 8 2" xfId="3714"/>
    <cellStyle name="Финансовый 5 4 8 2 2" xfId="3715"/>
    <cellStyle name="Финансовый 5 4 8 2 3" xfId="3716"/>
    <cellStyle name="Финансовый 5 4 8 3" xfId="3717"/>
    <cellStyle name="Финансовый 5 4 8 4" xfId="3718"/>
    <cellStyle name="Финансовый 5 4 9" xfId="3719"/>
    <cellStyle name="Финансовый 5 4 9 2" xfId="3720"/>
    <cellStyle name="Финансовый 5 4 9 3" xfId="3721"/>
    <cellStyle name="Финансовый 5 5" xfId="3722"/>
    <cellStyle name="Финансовый 5 5 2" xfId="3723"/>
    <cellStyle name="Финансовый 5 5 2 2" xfId="3724"/>
    <cellStyle name="Финансовый 5 5 2 2 2" xfId="3725"/>
    <cellStyle name="Финансовый 5 5 2 2 2 2" xfId="3726"/>
    <cellStyle name="Финансовый 5 5 2 2 2 3" xfId="3727"/>
    <cellStyle name="Финансовый 5 5 2 2 3" xfId="3728"/>
    <cellStyle name="Финансовый 5 5 2 2 4" xfId="3729"/>
    <cellStyle name="Финансовый 5 5 2 3" xfId="3730"/>
    <cellStyle name="Финансовый 5 5 2 3 2" xfId="3731"/>
    <cellStyle name="Финансовый 5 5 2 3 3" xfId="3732"/>
    <cellStyle name="Финансовый 5 5 2 4" xfId="3733"/>
    <cellStyle name="Финансовый 5 5 2 5" xfId="3734"/>
    <cellStyle name="Финансовый 5 5 3" xfId="3735"/>
    <cellStyle name="Финансовый 5 5 3 2" xfId="3736"/>
    <cellStyle name="Финансовый 5 5 3 2 2" xfId="3737"/>
    <cellStyle name="Финансовый 5 5 3 2 2 2" xfId="3738"/>
    <cellStyle name="Финансовый 5 5 3 2 2 3" xfId="3739"/>
    <cellStyle name="Финансовый 5 5 3 2 3" xfId="3740"/>
    <cellStyle name="Финансовый 5 5 3 2 4" xfId="3741"/>
    <cellStyle name="Финансовый 5 5 3 3" xfId="3742"/>
    <cellStyle name="Финансовый 5 5 3 3 2" xfId="3743"/>
    <cellStyle name="Финансовый 5 5 3 3 3" xfId="3744"/>
    <cellStyle name="Финансовый 5 5 3 4" xfId="3745"/>
    <cellStyle name="Финансовый 5 5 3 5" xfId="3746"/>
    <cellStyle name="Финансовый 5 5 4" xfId="3747"/>
    <cellStyle name="Финансовый 5 5 4 2" xfId="3748"/>
    <cellStyle name="Финансовый 5 5 4 2 2" xfId="3749"/>
    <cellStyle name="Финансовый 5 5 4 2 3" xfId="3750"/>
    <cellStyle name="Финансовый 5 5 4 3" xfId="3751"/>
    <cellStyle name="Финансовый 5 5 4 4" xfId="3752"/>
    <cellStyle name="Финансовый 5 5 5" xfId="3753"/>
    <cellStyle name="Финансовый 5 5 5 2" xfId="3754"/>
    <cellStyle name="Финансовый 5 5 5 3" xfId="3755"/>
    <cellStyle name="Финансовый 5 5 6" xfId="3756"/>
    <cellStyle name="Финансовый 5 5 7" xfId="3757"/>
    <cellStyle name="Финансовый 5 5 8" xfId="3758"/>
    <cellStyle name="Финансовый 5 6" xfId="3759"/>
    <cellStyle name="Финансовый 5 6 2" xfId="3760"/>
    <cellStyle name="Финансовый 5 6 2 2" xfId="3761"/>
    <cellStyle name="Финансовый 5 6 2 2 2" xfId="3762"/>
    <cellStyle name="Финансовый 5 6 2 2 3" xfId="3763"/>
    <cellStyle name="Финансовый 5 6 2 3" xfId="3764"/>
    <cellStyle name="Финансовый 5 6 2 4" xfId="3765"/>
    <cellStyle name="Финансовый 5 6 3" xfId="3766"/>
    <cellStyle name="Финансовый 5 6 3 2" xfId="3767"/>
    <cellStyle name="Финансовый 5 6 3 3" xfId="3768"/>
    <cellStyle name="Финансовый 5 6 4" xfId="3769"/>
    <cellStyle name="Финансовый 5 6 5" xfId="3770"/>
    <cellStyle name="Финансовый 5 7" xfId="3771"/>
    <cellStyle name="Финансовый 5 7 2" xfId="3772"/>
    <cellStyle name="Финансовый 5 7 2 2" xfId="3773"/>
    <cellStyle name="Финансовый 5 7 2 2 2" xfId="3774"/>
    <cellStyle name="Финансовый 5 7 2 2 3" xfId="3775"/>
    <cellStyle name="Финансовый 5 7 2 3" xfId="3776"/>
    <cellStyle name="Финансовый 5 7 2 4" xfId="3777"/>
    <cellStyle name="Финансовый 5 7 3" xfId="3778"/>
    <cellStyle name="Финансовый 5 7 3 2" xfId="3779"/>
    <cellStyle name="Финансовый 5 7 3 3" xfId="3780"/>
    <cellStyle name="Финансовый 5 7 4" xfId="3781"/>
    <cellStyle name="Финансовый 5 7 5" xfId="3782"/>
    <cellStyle name="Финансовый 5 8" xfId="3783"/>
    <cellStyle name="Финансовый 5 8 2" xfId="3784"/>
    <cellStyle name="Финансовый 5 8 2 2" xfId="3785"/>
    <cellStyle name="Финансовый 5 8 2 3" xfId="3786"/>
    <cellStyle name="Финансовый 5 8 3" xfId="3787"/>
    <cellStyle name="Финансовый 5 8 4" xfId="3788"/>
    <cellStyle name="Финансовый 5 9" xfId="3789"/>
    <cellStyle name="Финансовый 5 9 2" xfId="3790"/>
    <cellStyle name="Финансовый 5 9 2 2" xfId="3791"/>
    <cellStyle name="Финансовый 5 9 2 3" xfId="3792"/>
    <cellStyle name="Финансовый 5 9 3" xfId="3793"/>
    <cellStyle name="Финансовый 5 9 4" xfId="3794"/>
    <cellStyle name="Финансовый 6" xfId="3795"/>
    <cellStyle name="Финансовый 6 10" xfId="3796"/>
    <cellStyle name="Финансовый 6 10 2" xfId="3797"/>
    <cellStyle name="Финансовый 6 10 3" xfId="3798"/>
    <cellStyle name="Финансовый 6 11" xfId="3799"/>
    <cellStyle name="Финансовый 6 12" xfId="3800"/>
    <cellStyle name="Финансовый 6 13" xfId="3801"/>
    <cellStyle name="Финансовый 6 14" xfId="3802"/>
    <cellStyle name="Финансовый 6 2" xfId="3803"/>
    <cellStyle name="Финансовый 6 2 10" xfId="3804"/>
    <cellStyle name="Финансовый 6 2 11" xfId="3805"/>
    <cellStyle name="Финансовый 6 2 12" xfId="3806"/>
    <cellStyle name="Финансовый 6 2 13" xfId="3807"/>
    <cellStyle name="Финансовый 6 2 2" xfId="3808"/>
    <cellStyle name="Финансовый 6 2 2 2" xfId="3809"/>
    <cellStyle name="Финансовый 6 2 2 2 2" xfId="3810"/>
    <cellStyle name="Финансовый 6 2 2 2 2 2" xfId="3811"/>
    <cellStyle name="Финансовый 6 2 2 2 2 2 2" xfId="3812"/>
    <cellStyle name="Финансовый 6 2 2 2 2 2 3" xfId="3813"/>
    <cellStyle name="Финансовый 6 2 2 2 2 3" xfId="3814"/>
    <cellStyle name="Финансовый 6 2 2 2 2 4" xfId="3815"/>
    <cellStyle name="Финансовый 6 2 2 2 3" xfId="3816"/>
    <cellStyle name="Финансовый 6 2 2 2 3 2" xfId="3817"/>
    <cellStyle name="Финансовый 6 2 2 2 3 3" xfId="3818"/>
    <cellStyle name="Финансовый 6 2 2 2 4" xfId="3819"/>
    <cellStyle name="Финансовый 6 2 2 2 5" xfId="3820"/>
    <cellStyle name="Финансовый 6 2 2 3" xfId="3821"/>
    <cellStyle name="Финансовый 6 2 2 3 2" xfId="3822"/>
    <cellStyle name="Финансовый 6 2 2 3 2 2" xfId="3823"/>
    <cellStyle name="Финансовый 6 2 2 3 2 2 2" xfId="3824"/>
    <cellStyle name="Финансовый 6 2 2 3 2 2 3" xfId="3825"/>
    <cellStyle name="Финансовый 6 2 2 3 2 3" xfId="3826"/>
    <cellStyle name="Финансовый 6 2 2 3 2 4" xfId="3827"/>
    <cellStyle name="Финансовый 6 2 2 3 3" xfId="3828"/>
    <cellStyle name="Финансовый 6 2 2 3 3 2" xfId="3829"/>
    <cellStyle name="Финансовый 6 2 2 3 3 3" xfId="3830"/>
    <cellStyle name="Финансовый 6 2 2 3 4" xfId="3831"/>
    <cellStyle name="Финансовый 6 2 2 3 5" xfId="3832"/>
    <cellStyle name="Финансовый 6 2 2 4" xfId="3833"/>
    <cellStyle name="Финансовый 6 2 2 4 2" xfId="3834"/>
    <cellStyle name="Финансовый 6 2 2 4 2 2" xfId="3835"/>
    <cellStyle name="Финансовый 6 2 2 4 2 3" xfId="3836"/>
    <cellStyle name="Финансовый 6 2 2 4 3" xfId="3837"/>
    <cellStyle name="Финансовый 6 2 2 4 4" xfId="3838"/>
    <cellStyle name="Финансовый 6 2 2 5" xfId="3839"/>
    <cellStyle name="Финансовый 6 2 2 5 2" xfId="3840"/>
    <cellStyle name="Финансовый 6 2 2 5 3" xfId="3841"/>
    <cellStyle name="Финансовый 6 2 2 6" xfId="3842"/>
    <cellStyle name="Финансовый 6 2 2 7" xfId="3843"/>
    <cellStyle name="Финансовый 6 2 2 8" xfId="3844"/>
    <cellStyle name="Финансовый 6 2 3" xfId="3845"/>
    <cellStyle name="Финансовый 6 2 3 2" xfId="3846"/>
    <cellStyle name="Финансовый 6 2 3 2 2" xfId="3847"/>
    <cellStyle name="Финансовый 6 2 3 2 2 2" xfId="3848"/>
    <cellStyle name="Финансовый 6 2 3 2 2 3" xfId="3849"/>
    <cellStyle name="Финансовый 6 2 3 2 3" xfId="3850"/>
    <cellStyle name="Финансовый 6 2 3 2 4" xfId="3851"/>
    <cellStyle name="Финансовый 6 2 3 3" xfId="3852"/>
    <cellStyle name="Финансовый 6 2 3 3 2" xfId="3853"/>
    <cellStyle name="Финансовый 6 2 3 3 3" xfId="3854"/>
    <cellStyle name="Финансовый 6 2 3 4" xfId="3855"/>
    <cellStyle name="Финансовый 6 2 3 5" xfId="3856"/>
    <cellStyle name="Финансовый 6 2 4" xfId="3857"/>
    <cellStyle name="Финансовый 6 2 4 2" xfId="3858"/>
    <cellStyle name="Финансовый 6 2 4 2 2" xfId="3859"/>
    <cellStyle name="Финансовый 6 2 4 2 2 2" xfId="3860"/>
    <cellStyle name="Финансовый 6 2 4 2 2 3" xfId="3861"/>
    <cellStyle name="Финансовый 6 2 4 2 3" xfId="3862"/>
    <cellStyle name="Финансовый 6 2 4 2 4" xfId="3863"/>
    <cellStyle name="Финансовый 6 2 4 3" xfId="3864"/>
    <cellStyle name="Финансовый 6 2 4 3 2" xfId="3865"/>
    <cellStyle name="Финансовый 6 2 4 3 3" xfId="3866"/>
    <cellStyle name="Финансовый 6 2 4 4" xfId="3867"/>
    <cellStyle name="Финансовый 6 2 4 5" xfId="3868"/>
    <cellStyle name="Финансовый 6 2 5" xfId="3869"/>
    <cellStyle name="Финансовый 6 2 5 2" xfId="3870"/>
    <cellStyle name="Финансовый 6 2 5 2 2" xfId="3871"/>
    <cellStyle name="Финансовый 6 2 5 2 3" xfId="3872"/>
    <cellStyle name="Финансовый 6 2 5 3" xfId="3873"/>
    <cellStyle name="Финансовый 6 2 5 4" xfId="3874"/>
    <cellStyle name="Финансовый 6 2 6" xfId="3875"/>
    <cellStyle name="Финансовый 6 2 6 2" xfId="3876"/>
    <cellStyle name="Финансовый 6 2 6 2 2" xfId="3877"/>
    <cellStyle name="Финансовый 6 2 6 2 3" xfId="3878"/>
    <cellStyle name="Финансовый 6 2 6 3" xfId="3879"/>
    <cellStyle name="Финансовый 6 2 6 4" xfId="3880"/>
    <cellStyle name="Финансовый 6 2 7" xfId="3881"/>
    <cellStyle name="Финансовый 6 2 7 2" xfId="3882"/>
    <cellStyle name="Финансовый 6 2 7 2 2" xfId="3883"/>
    <cellStyle name="Финансовый 6 2 7 2 3" xfId="3884"/>
    <cellStyle name="Финансовый 6 2 7 3" xfId="3885"/>
    <cellStyle name="Финансовый 6 2 7 4" xfId="3886"/>
    <cellStyle name="Финансовый 6 2 8" xfId="3887"/>
    <cellStyle name="Финансовый 6 2 8 2" xfId="3888"/>
    <cellStyle name="Финансовый 6 2 8 2 2" xfId="3889"/>
    <cellStyle name="Финансовый 6 2 8 2 3" xfId="3890"/>
    <cellStyle name="Финансовый 6 2 8 3" xfId="3891"/>
    <cellStyle name="Финансовый 6 2 8 4" xfId="3892"/>
    <cellStyle name="Финансовый 6 2 9" xfId="3893"/>
    <cellStyle name="Финансовый 6 2 9 2" xfId="3894"/>
    <cellStyle name="Финансовый 6 2 9 3" xfId="3895"/>
    <cellStyle name="Финансовый 6 3" xfId="3896"/>
    <cellStyle name="Финансовый 6 3 2" xfId="3897"/>
    <cellStyle name="Финансовый 6 3 2 2" xfId="3898"/>
    <cellStyle name="Финансовый 6 3 2 2 2" xfId="3899"/>
    <cellStyle name="Финансовый 6 3 2 2 2 2" xfId="3900"/>
    <cellStyle name="Финансовый 6 3 2 2 2 3" xfId="3901"/>
    <cellStyle name="Финансовый 6 3 2 2 3" xfId="3902"/>
    <cellStyle name="Финансовый 6 3 2 2 4" xfId="3903"/>
    <cellStyle name="Финансовый 6 3 2 3" xfId="3904"/>
    <cellStyle name="Финансовый 6 3 2 3 2" xfId="3905"/>
    <cellStyle name="Финансовый 6 3 2 3 3" xfId="3906"/>
    <cellStyle name="Финансовый 6 3 2 4" xfId="3907"/>
    <cellStyle name="Финансовый 6 3 2 5" xfId="3908"/>
    <cellStyle name="Финансовый 6 3 3" xfId="3909"/>
    <cellStyle name="Финансовый 6 3 3 2" xfId="3910"/>
    <cellStyle name="Финансовый 6 3 3 2 2" xfId="3911"/>
    <cellStyle name="Финансовый 6 3 3 2 2 2" xfId="3912"/>
    <cellStyle name="Финансовый 6 3 3 2 2 3" xfId="3913"/>
    <cellStyle name="Финансовый 6 3 3 2 3" xfId="3914"/>
    <cellStyle name="Финансовый 6 3 3 2 4" xfId="3915"/>
    <cellStyle name="Финансовый 6 3 3 3" xfId="3916"/>
    <cellStyle name="Финансовый 6 3 3 3 2" xfId="3917"/>
    <cellStyle name="Финансовый 6 3 3 3 3" xfId="3918"/>
    <cellStyle name="Финансовый 6 3 3 4" xfId="3919"/>
    <cellStyle name="Финансовый 6 3 3 5" xfId="3920"/>
    <cellStyle name="Финансовый 6 3 4" xfId="3921"/>
    <cellStyle name="Финансовый 6 3 4 2" xfId="3922"/>
    <cellStyle name="Финансовый 6 3 4 2 2" xfId="3923"/>
    <cellStyle name="Финансовый 6 3 4 2 3" xfId="3924"/>
    <cellStyle name="Финансовый 6 3 4 3" xfId="3925"/>
    <cellStyle name="Финансовый 6 3 4 4" xfId="3926"/>
    <cellStyle name="Финансовый 6 3 5" xfId="3927"/>
    <cellStyle name="Финансовый 6 3 5 2" xfId="3928"/>
    <cellStyle name="Финансовый 6 3 5 3" xfId="3929"/>
    <cellStyle name="Финансовый 6 3 6" xfId="3930"/>
    <cellStyle name="Финансовый 6 3 7" xfId="3931"/>
    <cellStyle name="Финансовый 6 3 8" xfId="3932"/>
    <cellStyle name="Финансовый 6 4" xfId="3933"/>
    <cellStyle name="Финансовый 6 4 2" xfId="3934"/>
    <cellStyle name="Финансовый 6 4 2 2" xfId="3935"/>
    <cellStyle name="Финансовый 6 4 2 2 2" xfId="3936"/>
    <cellStyle name="Финансовый 6 4 2 2 3" xfId="3937"/>
    <cellStyle name="Финансовый 6 4 2 3" xfId="3938"/>
    <cellStyle name="Финансовый 6 4 2 4" xfId="3939"/>
    <cellStyle name="Финансовый 6 4 3" xfId="3940"/>
    <cellStyle name="Финансовый 6 4 3 2" xfId="3941"/>
    <cellStyle name="Финансовый 6 4 3 3" xfId="3942"/>
    <cellStyle name="Финансовый 6 4 4" xfId="3943"/>
    <cellStyle name="Финансовый 6 4 5" xfId="3944"/>
    <cellStyle name="Финансовый 6 5" xfId="3945"/>
    <cellStyle name="Финансовый 6 5 2" xfId="3946"/>
    <cellStyle name="Финансовый 6 5 2 2" xfId="3947"/>
    <cellStyle name="Финансовый 6 5 2 2 2" xfId="3948"/>
    <cellStyle name="Финансовый 6 5 2 2 3" xfId="3949"/>
    <cellStyle name="Финансовый 6 5 2 3" xfId="3950"/>
    <cellStyle name="Финансовый 6 5 2 4" xfId="3951"/>
    <cellStyle name="Финансовый 6 5 3" xfId="3952"/>
    <cellStyle name="Финансовый 6 5 3 2" xfId="3953"/>
    <cellStyle name="Финансовый 6 5 3 3" xfId="3954"/>
    <cellStyle name="Финансовый 6 5 4" xfId="3955"/>
    <cellStyle name="Финансовый 6 5 5" xfId="3956"/>
    <cellStyle name="Финансовый 6 6" xfId="3957"/>
    <cellStyle name="Финансовый 6 6 2" xfId="3958"/>
    <cellStyle name="Финансовый 6 6 2 2" xfId="3959"/>
    <cellStyle name="Финансовый 6 6 2 3" xfId="3960"/>
    <cellStyle name="Финансовый 6 6 3" xfId="3961"/>
    <cellStyle name="Финансовый 6 6 4" xfId="3962"/>
    <cellStyle name="Финансовый 6 7" xfId="3963"/>
    <cellStyle name="Финансовый 6 7 2" xfId="3964"/>
    <cellStyle name="Финансовый 6 7 2 2" xfId="3965"/>
    <cellStyle name="Финансовый 6 7 2 3" xfId="3966"/>
    <cellStyle name="Финансовый 6 7 3" xfId="3967"/>
    <cellStyle name="Финансовый 6 7 4" xfId="3968"/>
    <cellStyle name="Финансовый 6 8" xfId="3969"/>
    <cellStyle name="Финансовый 6 8 2" xfId="3970"/>
    <cellStyle name="Финансовый 6 8 2 2" xfId="3971"/>
    <cellStyle name="Финансовый 6 8 2 3" xfId="3972"/>
    <cellStyle name="Финансовый 6 8 3" xfId="3973"/>
    <cellStyle name="Финансовый 6 8 4" xfId="3974"/>
    <cellStyle name="Финансовый 6 9" xfId="3975"/>
    <cellStyle name="Финансовый 6 9 2" xfId="3976"/>
    <cellStyle name="Финансовый 6 9 2 2" xfId="3977"/>
    <cellStyle name="Финансовый 6 9 2 3" xfId="3978"/>
    <cellStyle name="Финансовый 6 9 3" xfId="3979"/>
    <cellStyle name="Финансовый 6 9 4" xfId="3980"/>
    <cellStyle name="Финансовый 7" xfId="3981"/>
    <cellStyle name="Финансовый 7 10" xfId="3982"/>
    <cellStyle name="Финансовый 7 11" xfId="3983"/>
    <cellStyle name="Финансовый 7 12" xfId="3984"/>
    <cellStyle name="Финансовый 7 13" xfId="3985"/>
    <cellStyle name="Финансовый 7 2" xfId="3986"/>
    <cellStyle name="Финансовый 7 2 2" xfId="3987"/>
    <cellStyle name="Финансовый 7 2 2 2" xfId="3988"/>
    <cellStyle name="Финансовый 7 2 2 2 2" xfId="3989"/>
    <cellStyle name="Финансовый 7 2 2 2 2 2" xfId="3990"/>
    <cellStyle name="Финансовый 7 2 2 2 2 3" xfId="3991"/>
    <cellStyle name="Финансовый 7 2 2 2 3" xfId="3992"/>
    <cellStyle name="Финансовый 7 2 2 2 4" xfId="3993"/>
    <cellStyle name="Финансовый 7 2 2 3" xfId="3994"/>
    <cellStyle name="Финансовый 7 2 2 3 2" xfId="3995"/>
    <cellStyle name="Финансовый 7 2 2 3 3" xfId="3996"/>
    <cellStyle name="Финансовый 7 2 2 4" xfId="3997"/>
    <cellStyle name="Финансовый 7 2 2 5" xfId="3998"/>
    <cellStyle name="Финансовый 7 2 3" xfId="3999"/>
    <cellStyle name="Финансовый 7 2 3 2" xfId="4000"/>
    <cellStyle name="Финансовый 7 2 3 2 2" xfId="4001"/>
    <cellStyle name="Финансовый 7 2 3 2 2 2" xfId="4002"/>
    <cellStyle name="Финансовый 7 2 3 2 2 3" xfId="4003"/>
    <cellStyle name="Финансовый 7 2 3 2 3" xfId="4004"/>
    <cellStyle name="Финансовый 7 2 3 2 4" xfId="4005"/>
    <cellStyle name="Финансовый 7 2 3 3" xfId="4006"/>
    <cellStyle name="Финансовый 7 2 3 3 2" xfId="4007"/>
    <cellStyle name="Финансовый 7 2 3 3 3" xfId="4008"/>
    <cellStyle name="Финансовый 7 2 3 4" xfId="4009"/>
    <cellStyle name="Финансовый 7 2 3 5" xfId="4010"/>
    <cellStyle name="Финансовый 7 2 4" xfId="4011"/>
    <cellStyle name="Финансовый 7 2 4 2" xfId="4012"/>
    <cellStyle name="Финансовый 7 2 4 2 2" xfId="4013"/>
    <cellStyle name="Финансовый 7 2 4 2 3" xfId="4014"/>
    <cellStyle name="Финансовый 7 2 4 3" xfId="4015"/>
    <cellStyle name="Финансовый 7 2 4 4" xfId="4016"/>
    <cellStyle name="Финансовый 7 2 5" xfId="4017"/>
    <cellStyle name="Финансовый 7 2 5 2" xfId="4018"/>
    <cellStyle name="Финансовый 7 2 5 3" xfId="4019"/>
    <cellStyle name="Финансовый 7 2 6" xfId="4020"/>
    <cellStyle name="Финансовый 7 2 7" xfId="4021"/>
    <cellStyle name="Финансовый 7 2 8" xfId="4022"/>
    <cellStyle name="Финансовый 7 3" xfId="4023"/>
    <cellStyle name="Финансовый 7 3 2" xfId="4024"/>
    <cellStyle name="Финансовый 7 3 2 2" xfId="4025"/>
    <cellStyle name="Финансовый 7 3 2 2 2" xfId="4026"/>
    <cellStyle name="Финансовый 7 3 2 2 3" xfId="4027"/>
    <cellStyle name="Финансовый 7 3 2 3" xfId="4028"/>
    <cellStyle name="Финансовый 7 3 2 4" xfId="4029"/>
    <cellStyle name="Финансовый 7 3 3" xfId="4030"/>
    <cellStyle name="Финансовый 7 3 3 2" xfId="4031"/>
    <cellStyle name="Финансовый 7 3 3 3" xfId="4032"/>
    <cellStyle name="Финансовый 7 3 4" xfId="4033"/>
    <cellStyle name="Финансовый 7 3 5" xfId="4034"/>
    <cellStyle name="Финансовый 7 4" xfId="4035"/>
    <cellStyle name="Финансовый 7 4 2" xfId="4036"/>
    <cellStyle name="Финансовый 7 4 2 2" xfId="4037"/>
    <cellStyle name="Финансовый 7 4 2 2 2" xfId="4038"/>
    <cellStyle name="Финансовый 7 4 2 2 3" xfId="4039"/>
    <cellStyle name="Финансовый 7 4 2 3" xfId="4040"/>
    <cellStyle name="Финансовый 7 4 2 4" xfId="4041"/>
    <cellStyle name="Финансовый 7 4 3" xfId="4042"/>
    <cellStyle name="Финансовый 7 4 3 2" xfId="4043"/>
    <cellStyle name="Финансовый 7 4 3 3" xfId="4044"/>
    <cellStyle name="Финансовый 7 4 4" xfId="4045"/>
    <cellStyle name="Финансовый 7 4 5" xfId="4046"/>
    <cellStyle name="Финансовый 7 5" xfId="4047"/>
    <cellStyle name="Финансовый 7 5 2" xfId="4048"/>
    <cellStyle name="Финансовый 7 5 2 2" xfId="4049"/>
    <cellStyle name="Финансовый 7 5 2 3" xfId="4050"/>
    <cellStyle name="Финансовый 7 5 3" xfId="4051"/>
    <cellStyle name="Финансовый 7 5 4" xfId="4052"/>
    <cellStyle name="Финансовый 7 6" xfId="4053"/>
    <cellStyle name="Финансовый 7 6 2" xfId="4054"/>
    <cellStyle name="Финансовый 7 6 2 2" xfId="4055"/>
    <cellStyle name="Финансовый 7 6 2 3" xfId="4056"/>
    <cellStyle name="Финансовый 7 6 3" xfId="4057"/>
    <cellStyle name="Финансовый 7 6 4" xfId="4058"/>
    <cellStyle name="Финансовый 7 7" xfId="4059"/>
    <cellStyle name="Финансовый 7 7 2" xfId="4060"/>
    <cellStyle name="Финансовый 7 7 2 2" xfId="4061"/>
    <cellStyle name="Финансовый 7 7 2 3" xfId="4062"/>
    <cellStyle name="Финансовый 7 7 3" xfId="4063"/>
    <cellStyle name="Финансовый 7 7 4" xfId="4064"/>
    <cellStyle name="Финансовый 7 8" xfId="4065"/>
    <cellStyle name="Финансовый 7 8 2" xfId="4066"/>
    <cellStyle name="Финансовый 7 8 2 2" xfId="4067"/>
    <cellStyle name="Финансовый 7 8 2 3" xfId="4068"/>
    <cellStyle name="Финансовый 7 8 3" xfId="4069"/>
    <cellStyle name="Финансовый 7 8 4" xfId="4070"/>
    <cellStyle name="Финансовый 7 9" xfId="4071"/>
    <cellStyle name="Финансовый 7 9 2" xfId="4072"/>
    <cellStyle name="Финансовый 7 9 3" xfId="4073"/>
    <cellStyle name="Финансовый 8" xfId="4074"/>
    <cellStyle name="Финансовый 8 10" xfId="4075"/>
    <cellStyle name="Финансовый 8 11" xfId="4076"/>
    <cellStyle name="Финансовый 8 12" xfId="4077"/>
    <cellStyle name="Финансовый 8 13" xfId="4078"/>
    <cellStyle name="Финансовый 8 2" xfId="4079"/>
    <cellStyle name="Финансовый 8 2 2" xfId="4080"/>
    <cellStyle name="Финансовый 8 2 2 2" xfId="4081"/>
    <cellStyle name="Финансовый 8 2 2 2 2" xfId="4082"/>
    <cellStyle name="Финансовый 8 2 2 2 2 2" xfId="4083"/>
    <cellStyle name="Финансовый 8 2 2 2 2 3" xfId="4084"/>
    <cellStyle name="Финансовый 8 2 2 2 3" xfId="4085"/>
    <cellStyle name="Финансовый 8 2 2 2 4" xfId="4086"/>
    <cellStyle name="Финансовый 8 2 2 3" xfId="4087"/>
    <cellStyle name="Финансовый 8 2 2 3 2" xfId="4088"/>
    <cellStyle name="Финансовый 8 2 2 3 3" xfId="4089"/>
    <cellStyle name="Финансовый 8 2 2 4" xfId="4090"/>
    <cellStyle name="Финансовый 8 2 2 5" xfId="4091"/>
    <cellStyle name="Финансовый 8 2 3" xfId="4092"/>
    <cellStyle name="Финансовый 8 2 3 2" xfId="4093"/>
    <cellStyle name="Финансовый 8 2 3 2 2" xfId="4094"/>
    <cellStyle name="Финансовый 8 2 3 2 2 2" xfId="4095"/>
    <cellStyle name="Финансовый 8 2 3 2 2 3" xfId="4096"/>
    <cellStyle name="Финансовый 8 2 3 2 3" xfId="4097"/>
    <cellStyle name="Финансовый 8 2 3 2 4" xfId="4098"/>
    <cellStyle name="Финансовый 8 2 3 3" xfId="4099"/>
    <cellStyle name="Финансовый 8 2 3 3 2" xfId="4100"/>
    <cellStyle name="Финансовый 8 2 3 3 3" xfId="4101"/>
    <cellStyle name="Финансовый 8 2 3 4" xfId="4102"/>
    <cellStyle name="Финансовый 8 2 3 5" xfId="4103"/>
    <cellStyle name="Финансовый 8 2 4" xfId="4104"/>
    <cellStyle name="Финансовый 8 2 4 2" xfId="4105"/>
    <cellStyle name="Финансовый 8 2 4 2 2" xfId="4106"/>
    <cellStyle name="Финансовый 8 2 4 2 3" xfId="4107"/>
    <cellStyle name="Финансовый 8 2 4 3" xfId="4108"/>
    <cellStyle name="Финансовый 8 2 4 4" xfId="4109"/>
    <cellStyle name="Финансовый 8 2 5" xfId="4110"/>
    <cellStyle name="Финансовый 8 2 5 2" xfId="4111"/>
    <cellStyle name="Финансовый 8 2 5 3" xfId="4112"/>
    <cellStyle name="Финансовый 8 2 6" xfId="4113"/>
    <cellStyle name="Финансовый 8 2 7" xfId="4114"/>
    <cellStyle name="Финансовый 8 2 8" xfId="4115"/>
    <cellStyle name="Финансовый 8 3" xfId="4116"/>
    <cellStyle name="Финансовый 8 3 2" xfId="4117"/>
    <cellStyle name="Финансовый 8 3 2 2" xfId="4118"/>
    <cellStyle name="Финансовый 8 3 2 2 2" xfId="4119"/>
    <cellStyle name="Финансовый 8 3 2 2 3" xfId="4120"/>
    <cellStyle name="Финансовый 8 3 2 3" xfId="4121"/>
    <cellStyle name="Финансовый 8 3 2 4" xfId="4122"/>
    <cellStyle name="Финансовый 8 3 3" xfId="4123"/>
    <cellStyle name="Финансовый 8 3 3 2" xfId="4124"/>
    <cellStyle name="Финансовый 8 3 3 3" xfId="4125"/>
    <cellStyle name="Финансовый 8 3 4" xfId="4126"/>
    <cellStyle name="Финансовый 8 3 5" xfId="4127"/>
    <cellStyle name="Финансовый 8 4" xfId="4128"/>
    <cellStyle name="Финансовый 8 4 2" xfId="4129"/>
    <cellStyle name="Финансовый 8 4 2 2" xfId="4130"/>
    <cellStyle name="Финансовый 8 4 2 2 2" xfId="4131"/>
    <cellStyle name="Финансовый 8 4 2 2 3" xfId="4132"/>
    <cellStyle name="Финансовый 8 4 2 3" xfId="4133"/>
    <cellStyle name="Финансовый 8 4 2 4" xfId="4134"/>
    <cellStyle name="Финансовый 8 4 3" xfId="4135"/>
    <cellStyle name="Финансовый 8 4 3 2" xfId="4136"/>
    <cellStyle name="Финансовый 8 4 3 3" xfId="4137"/>
    <cellStyle name="Финансовый 8 4 4" xfId="4138"/>
    <cellStyle name="Финансовый 8 4 5" xfId="4139"/>
    <cellStyle name="Финансовый 8 5" xfId="4140"/>
    <cellStyle name="Финансовый 8 5 2" xfId="4141"/>
    <cellStyle name="Финансовый 8 5 2 2" xfId="4142"/>
    <cellStyle name="Финансовый 8 5 2 3" xfId="4143"/>
    <cellStyle name="Финансовый 8 5 3" xfId="4144"/>
    <cellStyle name="Финансовый 8 5 4" xfId="4145"/>
    <cellStyle name="Финансовый 8 6" xfId="4146"/>
    <cellStyle name="Финансовый 8 6 2" xfId="4147"/>
    <cellStyle name="Финансовый 8 6 2 2" xfId="4148"/>
    <cellStyle name="Финансовый 8 6 2 3" xfId="4149"/>
    <cellStyle name="Финансовый 8 6 3" xfId="4150"/>
    <cellStyle name="Финансовый 8 6 4" xfId="4151"/>
    <cellStyle name="Финансовый 8 7" xfId="4152"/>
    <cellStyle name="Финансовый 8 7 2" xfId="4153"/>
    <cellStyle name="Финансовый 8 7 2 2" xfId="4154"/>
    <cellStyle name="Финансовый 8 7 2 3" xfId="4155"/>
    <cellStyle name="Финансовый 8 7 3" xfId="4156"/>
    <cellStyle name="Финансовый 8 7 4" xfId="4157"/>
    <cellStyle name="Финансовый 8 8" xfId="4158"/>
    <cellStyle name="Финансовый 8 8 2" xfId="4159"/>
    <cellStyle name="Финансовый 8 8 2 2" xfId="4160"/>
    <cellStyle name="Финансовый 8 8 2 3" xfId="4161"/>
    <cellStyle name="Финансовый 8 8 3" xfId="4162"/>
    <cellStyle name="Финансовый 8 8 4" xfId="4163"/>
    <cellStyle name="Финансовый 8 9" xfId="4164"/>
    <cellStyle name="Финансовый 8 9 2" xfId="4165"/>
    <cellStyle name="Финансовый 8 9 3" xfId="4166"/>
    <cellStyle name="Финансовый 9" xfId="4167"/>
    <cellStyle name="Финансовый 9 10" xfId="4168"/>
    <cellStyle name="Финансовый 9 11" xfId="4169"/>
    <cellStyle name="Финансовый 9 12" xfId="4170"/>
    <cellStyle name="Финансовый 9 13" xfId="4171"/>
    <cellStyle name="Финансовый 9 2" xfId="4172"/>
    <cellStyle name="Финансовый 9 2 2" xfId="4173"/>
    <cellStyle name="Финансовый 9 2 2 2" xfId="4174"/>
    <cellStyle name="Финансовый 9 2 2 2 2" xfId="4175"/>
    <cellStyle name="Финансовый 9 2 2 2 2 2" xfId="4176"/>
    <cellStyle name="Финансовый 9 2 2 2 2 3" xfId="4177"/>
    <cellStyle name="Финансовый 9 2 2 2 3" xfId="4178"/>
    <cellStyle name="Финансовый 9 2 2 2 4" xfId="4179"/>
    <cellStyle name="Финансовый 9 2 2 3" xfId="4180"/>
    <cellStyle name="Финансовый 9 2 2 3 2" xfId="4181"/>
    <cellStyle name="Финансовый 9 2 2 3 3" xfId="4182"/>
    <cellStyle name="Финансовый 9 2 2 4" xfId="4183"/>
    <cellStyle name="Финансовый 9 2 2 5" xfId="4184"/>
    <cellStyle name="Финансовый 9 2 3" xfId="4185"/>
    <cellStyle name="Финансовый 9 2 3 2" xfId="4186"/>
    <cellStyle name="Финансовый 9 2 3 2 2" xfId="4187"/>
    <cellStyle name="Финансовый 9 2 3 2 2 2" xfId="4188"/>
    <cellStyle name="Финансовый 9 2 3 2 2 3" xfId="4189"/>
    <cellStyle name="Финансовый 9 2 3 2 3" xfId="4190"/>
    <cellStyle name="Финансовый 9 2 3 2 4" xfId="4191"/>
    <cellStyle name="Финансовый 9 2 3 3" xfId="4192"/>
    <cellStyle name="Финансовый 9 2 3 3 2" xfId="4193"/>
    <cellStyle name="Финансовый 9 2 3 3 3" xfId="4194"/>
    <cellStyle name="Финансовый 9 2 3 4" xfId="4195"/>
    <cellStyle name="Финансовый 9 2 3 5" xfId="4196"/>
    <cellStyle name="Финансовый 9 2 4" xfId="4197"/>
    <cellStyle name="Финансовый 9 2 4 2" xfId="4198"/>
    <cellStyle name="Финансовый 9 2 4 2 2" xfId="4199"/>
    <cellStyle name="Финансовый 9 2 4 2 3" xfId="4200"/>
    <cellStyle name="Финансовый 9 2 4 3" xfId="4201"/>
    <cellStyle name="Финансовый 9 2 4 4" xfId="4202"/>
    <cellStyle name="Финансовый 9 2 5" xfId="4203"/>
    <cellStyle name="Финансовый 9 2 5 2" xfId="4204"/>
    <cellStyle name="Финансовый 9 2 5 3" xfId="4205"/>
    <cellStyle name="Финансовый 9 2 6" xfId="4206"/>
    <cellStyle name="Финансовый 9 2 7" xfId="4207"/>
    <cellStyle name="Финансовый 9 2 8" xfId="4208"/>
    <cellStyle name="Финансовый 9 3" xfId="4209"/>
    <cellStyle name="Финансовый 9 3 2" xfId="4210"/>
    <cellStyle name="Финансовый 9 3 2 2" xfId="4211"/>
    <cellStyle name="Финансовый 9 3 2 2 2" xfId="4212"/>
    <cellStyle name="Финансовый 9 3 2 2 3" xfId="4213"/>
    <cellStyle name="Финансовый 9 3 2 3" xfId="4214"/>
    <cellStyle name="Финансовый 9 3 2 4" xfId="4215"/>
    <cellStyle name="Финансовый 9 3 3" xfId="4216"/>
    <cellStyle name="Финансовый 9 3 3 2" xfId="4217"/>
    <cellStyle name="Финансовый 9 3 3 3" xfId="4218"/>
    <cellStyle name="Финансовый 9 3 4" xfId="4219"/>
    <cellStyle name="Финансовый 9 3 5" xfId="4220"/>
    <cellStyle name="Финансовый 9 4" xfId="4221"/>
    <cellStyle name="Финансовый 9 4 2" xfId="4222"/>
    <cellStyle name="Финансовый 9 4 2 2" xfId="4223"/>
    <cellStyle name="Финансовый 9 4 2 2 2" xfId="4224"/>
    <cellStyle name="Финансовый 9 4 2 2 3" xfId="4225"/>
    <cellStyle name="Финансовый 9 4 2 3" xfId="4226"/>
    <cellStyle name="Финансовый 9 4 2 4" xfId="4227"/>
    <cellStyle name="Финансовый 9 4 3" xfId="4228"/>
    <cellStyle name="Финансовый 9 4 3 2" xfId="4229"/>
    <cellStyle name="Финансовый 9 4 3 3" xfId="4230"/>
    <cellStyle name="Финансовый 9 4 4" xfId="4231"/>
    <cellStyle name="Финансовый 9 4 5" xfId="4232"/>
    <cellStyle name="Финансовый 9 5" xfId="4233"/>
    <cellStyle name="Финансовый 9 5 2" xfId="4234"/>
    <cellStyle name="Финансовый 9 5 2 2" xfId="4235"/>
    <cellStyle name="Финансовый 9 5 2 3" xfId="4236"/>
    <cellStyle name="Финансовый 9 5 3" xfId="4237"/>
    <cellStyle name="Финансовый 9 5 4" xfId="4238"/>
    <cellStyle name="Финансовый 9 6" xfId="4239"/>
    <cellStyle name="Финансовый 9 6 2" xfId="4240"/>
    <cellStyle name="Финансовый 9 6 2 2" xfId="4241"/>
    <cellStyle name="Финансовый 9 6 2 3" xfId="4242"/>
    <cellStyle name="Финансовый 9 6 3" xfId="4243"/>
    <cellStyle name="Финансовый 9 6 4" xfId="4244"/>
    <cellStyle name="Финансовый 9 7" xfId="4245"/>
    <cellStyle name="Финансовый 9 7 2" xfId="4246"/>
    <cellStyle name="Финансовый 9 7 2 2" xfId="4247"/>
    <cellStyle name="Финансовый 9 7 2 3" xfId="4248"/>
    <cellStyle name="Финансовый 9 7 3" xfId="4249"/>
    <cellStyle name="Финансовый 9 7 4" xfId="4250"/>
    <cellStyle name="Финансовый 9 8" xfId="4251"/>
    <cellStyle name="Финансовый 9 8 2" xfId="4252"/>
    <cellStyle name="Финансовый 9 8 2 2" xfId="4253"/>
    <cellStyle name="Финансовый 9 8 2 3" xfId="4254"/>
    <cellStyle name="Финансовый 9 8 3" xfId="4255"/>
    <cellStyle name="Финансовый 9 8 4" xfId="4256"/>
    <cellStyle name="Финансовый 9 9" xfId="4257"/>
    <cellStyle name="Финансовый 9 9 2" xfId="4258"/>
    <cellStyle name="Финансовый 9 9 3" xfId="4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70" workbookViewId="0">
      <selection activeCell="A334" activeCellId="0" sqref="334:357"/>
    </sheetView>
  </sheetViews>
  <sheetFormatPr defaultRowHeight="14.25"/>
  <cols>
    <col customWidth="1" min="1" max="1" style="1" width="7.109375"/>
    <col customWidth="1" min="2" max="2" style="1" width="52.44140625"/>
    <col customWidth="1" min="3" max="3" style="1" width="17.109375"/>
    <col customWidth="1" min="4" max="4" style="1" width="9.109375"/>
    <col customWidth="1" min="5" max="5" style="2" width="9.109375"/>
    <col customWidth="1" min="6" max="6" style="1" width="18.44140625"/>
    <col customWidth="1" min="7" max="7" style="3" width="9.33203125"/>
    <col customWidth="1" min="8" max="8" style="3" width="9.109375"/>
    <col customWidth="1" min="9" max="9" style="3" width="13.6640625"/>
    <col customWidth="1" min="10" max="10" style="3" width="14"/>
    <col customWidth="1" min="11" max="11" style="3" width="13"/>
    <col customWidth="1" min="12" max="12" style="3" width="10.88671875"/>
    <col customWidth="1" min="13" max="13" style="3" width="18.88671875"/>
    <col customWidth="1" min="14" max="14" style="3" width="13.5546875"/>
    <col customWidth="1" min="15" max="15" style="3" width="11.109375"/>
    <col customWidth="1" min="16" max="16" style="3" width="12.44140625"/>
    <col customWidth="1" min="17" max="17" style="3" width="17.44140625"/>
    <col customWidth="1" min="18" max="18" style="3" width="17"/>
    <col customWidth="1" min="19" max="19" style="3" width="10.33203125"/>
    <col customWidth="1" min="20" max="20" style="3" width="15"/>
    <col customWidth="1" min="21" max="21" style="3" width="14.109375"/>
    <col customWidth="1" min="22" max="22" style="3" width="12"/>
    <col customWidth="1" min="23" max="26" width="9.109375"/>
  </cols>
  <sheetData>
    <row r="1" ht="14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4"/>
      <c r="R1" s="5" t="s">
        <v>0</v>
      </c>
      <c r="S1" s="5"/>
      <c r="T1" s="5"/>
      <c r="U1" s="5"/>
      <c r="V1" s="5"/>
      <c r="W1" s="6"/>
    </row>
    <row r="2" ht="14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5"/>
      <c r="R2" s="5"/>
      <c r="S2" s="5"/>
      <c r="T2" s="5"/>
      <c r="U2" s="5"/>
      <c r="V2" s="5"/>
      <c r="W2" s="6"/>
    </row>
    <row r="3" ht="14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5"/>
      <c r="R3" s="5" t="s">
        <v>1</v>
      </c>
      <c r="S3" s="5"/>
      <c r="T3" s="5"/>
      <c r="U3" s="5"/>
      <c r="V3" s="5"/>
      <c r="W3" s="6"/>
    </row>
    <row r="4" ht="14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/>
      <c r="R4" s="5" t="s">
        <v>2</v>
      </c>
      <c r="S4" s="5"/>
      <c r="T4" s="5"/>
      <c r="U4" s="5"/>
      <c r="V4" s="5"/>
      <c r="W4" s="6"/>
    </row>
    <row r="5" ht="14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5"/>
      <c r="R5" s="5" t="s">
        <v>3</v>
      </c>
      <c r="S5" s="5"/>
      <c r="T5" s="5"/>
      <c r="U5" s="5"/>
      <c r="V5" s="5"/>
      <c r="W5" s="6"/>
    </row>
    <row r="6" ht="14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5"/>
      <c r="R6" s="5" t="s">
        <v>4</v>
      </c>
      <c r="S6" s="5"/>
      <c r="T6" s="5"/>
      <c r="U6" s="5"/>
      <c r="V6" s="5"/>
      <c r="W6" s="6"/>
    </row>
    <row r="7" ht="14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5"/>
      <c r="R7" s="5" t="s">
        <v>2</v>
      </c>
      <c r="S7" s="5"/>
      <c r="T7" s="5"/>
      <c r="U7" s="5"/>
      <c r="V7" s="5"/>
      <c r="W7" s="6"/>
    </row>
    <row r="8" s="7" customFormat="1" ht="18.6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5"/>
      <c r="R8" s="8" t="s">
        <v>5</v>
      </c>
      <c r="S8" s="8"/>
      <c r="T8" s="8"/>
      <c r="U8" s="8"/>
      <c r="V8" s="8"/>
      <c r="W8" s="6"/>
    </row>
    <row r="9" s="7" customFormat="1" ht="10.199999999999999" customHeight="1">
      <c r="A9" s="1"/>
      <c r="B9" s="1"/>
      <c r="C9" s="1"/>
      <c r="D9" s="1"/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5"/>
      <c r="R9" s="5"/>
      <c r="S9" s="5"/>
      <c r="T9" s="5"/>
      <c r="U9" s="5"/>
      <c r="V9" s="5"/>
    </row>
    <row r="10" ht="15" customHeight="1">
      <c r="A10" s="1"/>
      <c r="B10" s="1"/>
      <c r="C10" s="1"/>
      <c r="D10" s="1"/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5.949999999999999" customHeight="1">
      <c r="A11" s="9" t="s">
        <v>6</v>
      </c>
      <c r="B11" s="9"/>
      <c r="C11" s="9"/>
      <c r="D11" s="9"/>
      <c r="E11" s="10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ht="40.5" customHeight="1">
      <c r="A12" s="11" t="s">
        <v>7</v>
      </c>
      <c r="B12" s="11"/>
      <c r="C12" s="11"/>
      <c r="D12" s="11"/>
      <c r="E12" s="1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ht="7.5" customHeight="1">
      <c r="A13" s="13"/>
      <c r="B13" s="13"/>
      <c r="C13" s="11"/>
      <c r="D13" s="11"/>
      <c r="E13" s="1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ht="29.399999999999999" customHeight="1">
      <c r="A14" s="14" t="s">
        <v>8</v>
      </c>
      <c r="B14" s="14" t="s">
        <v>9</v>
      </c>
      <c r="C14" s="14" t="s">
        <v>10</v>
      </c>
      <c r="D14" s="14" t="s">
        <v>11</v>
      </c>
      <c r="E14" s="15"/>
      <c r="F14" s="16" t="s">
        <v>12</v>
      </c>
      <c r="G14" s="16" t="s">
        <v>13</v>
      </c>
      <c r="H14" s="16" t="s">
        <v>14</v>
      </c>
      <c r="I14" s="16" t="s">
        <v>15</v>
      </c>
      <c r="J14" s="14" t="s">
        <v>16</v>
      </c>
      <c r="K14" s="14"/>
      <c r="L14" s="16" t="s">
        <v>17</v>
      </c>
      <c r="M14" s="14" t="s">
        <v>18</v>
      </c>
      <c r="N14" s="14"/>
      <c r="O14" s="14"/>
      <c r="P14" s="14"/>
      <c r="Q14" s="14"/>
      <c r="R14" s="14"/>
      <c r="S14" s="14"/>
      <c r="T14" s="16" t="s">
        <v>19</v>
      </c>
      <c r="U14" s="16" t="s">
        <v>20</v>
      </c>
      <c r="V14" s="16" t="s">
        <v>21</v>
      </c>
    </row>
    <row r="15" ht="12" customHeight="1">
      <c r="A15" s="14"/>
      <c r="B15" s="14"/>
      <c r="C15" s="14"/>
      <c r="D15" s="16" t="s">
        <v>22</v>
      </c>
      <c r="E15" s="17" t="s">
        <v>23</v>
      </c>
      <c r="F15" s="16"/>
      <c r="G15" s="16"/>
      <c r="H15" s="16"/>
      <c r="I15" s="16"/>
      <c r="J15" s="16" t="s">
        <v>24</v>
      </c>
      <c r="K15" s="16" t="s">
        <v>25</v>
      </c>
      <c r="L15" s="16"/>
      <c r="M15" s="16" t="s">
        <v>24</v>
      </c>
      <c r="N15" s="14" t="s">
        <v>26</v>
      </c>
      <c r="O15" s="14"/>
      <c r="P15" s="14"/>
      <c r="Q15" s="14"/>
      <c r="R15" s="14"/>
      <c r="S15" s="14"/>
      <c r="T15" s="16"/>
      <c r="U15" s="16"/>
      <c r="V15" s="16"/>
    </row>
    <row r="16" ht="189.59999999999999" customHeight="1">
      <c r="A16" s="14"/>
      <c r="B16" s="14"/>
      <c r="C16" s="14"/>
      <c r="D16" s="16"/>
      <c r="E16" s="17"/>
      <c r="F16" s="16"/>
      <c r="G16" s="16"/>
      <c r="H16" s="16"/>
      <c r="I16" s="16"/>
      <c r="J16" s="16"/>
      <c r="K16" s="16"/>
      <c r="L16" s="16"/>
      <c r="M16" s="16"/>
      <c r="N16" s="16" t="s">
        <v>27</v>
      </c>
      <c r="O16" s="16" t="s">
        <v>28</v>
      </c>
      <c r="P16" s="16" t="s">
        <v>29</v>
      </c>
      <c r="Q16" s="16" t="s">
        <v>30</v>
      </c>
      <c r="R16" s="16" t="s">
        <v>31</v>
      </c>
      <c r="S16" s="16" t="s">
        <v>32</v>
      </c>
      <c r="T16" s="16"/>
      <c r="U16" s="16"/>
      <c r="V16" s="16"/>
    </row>
    <row r="17" ht="19.199999999999999" customHeight="1">
      <c r="A17" s="14"/>
      <c r="B17" s="14"/>
      <c r="C17" s="14"/>
      <c r="D17" s="16"/>
      <c r="E17" s="17"/>
      <c r="F17" s="16"/>
      <c r="G17" s="16"/>
      <c r="H17" s="16"/>
      <c r="I17" s="14" t="s">
        <v>33</v>
      </c>
      <c r="J17" s="14" t="s">
        <v>33</v>
      </c>
      <c r="K17" s="14" t="s">
        <v>33</v>
      </c>
      <c r="L17" s="14" t="s">
        <v>34</v>
      </c>
      <c r="M17" s="14" t="s">
        <v>35</v>
      </c>
      <c r="N17" s="14" t="s">
        <v>35</v>
      </c>
      <c r="O17" s="14" t="s">
        <v>35</v>
      </c>
      <c r="P17" s="14" t="s">
        <v>35</v>
      </c>
      <c r="Q17" s="14" t="s">
        <v>35</v>
      </c>
      <c r="R17" s="14" t="s">
        <v>35</v>
      </c>
      <c r="S17" s="14" t="s">
        <v>35</v>
      </c>
      <c r="T17" s="14" t="s">
        <v>36</v>
      </c>
      <c r="U17" s="14" t="s">
        <v>36</v>
      </c>
      <c r="V17" s="16"/>
    </row>
    <row r="18" ht="21" customHeight="1">
      <c r="A18" s="14">
        <v>1</v>
      </c>
      <c r="B18" s="14">
        <v>2</v>
      </c>
      <c r="C18" s="14">
        <v>3</v>
      </c>
      <c r="D18" s="14">
        <v>4</v>
      </c>
      <c r="E18" s="15">
        <v>5</v>
      </c>
      <c r="F18" s="14">
        <v>6</v>
      </c>
      <c r="G18" s="18">
        <v>7</v>
      </c>
      <c r="H18" s="18">
        <v>8</v>
      </c>
      <c r="I18" s="18">
        <v>9</v>
      </c>
      <c r="J18" s="18">
        <v>10</v>
      </c>
      <c r="K18" s="18">
        <v>11</v>
      </c>
      <c r="L18" s="18">
        <v>12</v>
      </c>
      <c r="M18" s="18">
        <v>13</v>
      </c>
      <c r="N18" s="18">
        <v>14</v>
      </c>
      <c r="O18" s="18">
        <v>15</v>
      </c>
      <c r="P18" s="18">
        <v>16</v>
      </c>
      <c r="Q18" s="18">
        <v>17</v>
      </c>
      <c r="R18" s="18">
        <v>18</v>
      </c>
      <c r="S18" s="18">
        <v>19</v>
      </c>
      <c r="T18" s="18">
        <v>20</v>
      </c>
      <c r="U18" s="18">
        <v>21</v>
      </c>
      <c r="V18" s="18">
        <v>22</v>
      </c>
    </row>
    <row r="19" s="19" customFormat="1" ht="21" customHeight="1">
      <c r="A19" s="20"/>
      <c r="B19" s="21" t="s">
        <v>37</v>
      </c>
      <c r="C19" s="20"/>
      <c r="D19" s="20"/>
      <c r="E19" s="22"/>
      <c r="F19" s="20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19"/>
    </row>
    <row r="20" s="24" customFormat="1" ht="31.5" customHeight="1">
      <c r="A20" s="25" t="s">
        <v>38</v>
      </c>
      <c r="B20" s="25"/>
      <c r="C20" s="26" t="s">
        <v>39</v>
      </c>
      <c r="D20" s="26" t="s">
        <v>39</v>
      </c>
      <c r="E20" s="27" t="s">
        <v>39</v>
      </c>
      <c r="F20" s="26" t="s">
        <v>39</v>
      </c>
      <c r="G20" s="28" t="s">
        <v>39</v>
      </c>
      <c r="H20" s="28" t="s">
        <v>39</v>
      </c>
      <c r="I20" s="29">
        <f>I21+I222+I227+I236+I242+I266+I268+I276+I279+I295+I312+I315+I318+I324+I338+I344+I359+I370+I380+I389+I392+I398+I406+I411+I423</f>
        <v>1314660.9100000001</v>
      </c>
      <c r="J20" s="29">
        <f>J21+J222+J227+J236+J242+J266+J268+J276+J279+J295+J312+J315+J318+J324+J338+J344+J359+J370+J380+J389+J392+J398+J406+J411+J423</f>
        <v>1106136.1799999999</v>
      </c>
      <c r="K20" s="29">
        <f>K21+K222+K227+K236+K242+K266+K268+K276+K279+K295+K312+K315+K318+K324+K338+K344+K359+K370+K380+K389+K392+K398+K406+K411+K423</f>
        <v>963625.69999999984</v>
      </c>
      <c r="L20" s="30">
        <f>L21+L222+L227+L236+L242+L266+L268+L276+L279+L295+L312+L315+L318+L324+L338+L344+L359+L370+L380+L389+L392+L398+L406+L411+L423</f>
        <v>40563</v>
      </c>
      <c r="M20" s="29">
        <f>M21+M222+M227+M236+M242+M266+M268+M276+M279+M295+M312+M315+M318+M324+M338+M344+M359+M370+M380+M389+M392+M398+M406+M411+M423</f>
        <v>1485965787.3800008</v>
      </c>
      <c r="N20" s="29">
        <f>N21+N222+N227+N236+N242+N266+N268+N276+N279+N295+N312+N315+N318+N324+N338+N344+N359+N370+N380+N389+N392+N398+N406+N411+N423</f>
        <v>0</v>
      </c>
      <c r="O20" s="29">
        <f>O21+O222+O227+O236+O242+O266+O268+O276+O279+O295+O312+O315+O318+O324+O338+O344+O359+O370+O380+O389+O392+O398+O406+O411+O423</f>
        <v>0</v>
      </c>
      <c r="P20" s="29">
        <f>P21+P222+P227+P236+P242+P266+P268+P276+P279+P295+P312+P315+P318+P324+P338+P344+P359+P370+P380+P389+P392+P398+P406+P411+P423</f>
        <v>0</v>
      </c>
      <c r="Q20" s="29">
        <f>Q21+Q222+Q227+Q236+Q242+Q266+Q268+Q276+Q279+Q295+Q312+Q315+Q318+Q324+Q338+Q344+Q359+Q370+Q380+Q389+Q392+Q398+Q406+Q411+Q423</f>
        <v>1485965787.3800008</v>
      </c>
      <c r="R20" s="29">
        <f>R21+R222+R227+R236+R242+R266+R268+R276+R279+R295+R312+R315+R318+R324+R338+R344+R359+R370+R380+R389+R392+R398+R406+R411+R423</f>
        <v>1485965787.3800008</v>
      </c>
      <c r="S20" s="29">
        <f>S21+S222+S227+S236+S242+S266+S268+S276+S279+S295+S312+S315+S318+S324+S338+S344+S359+S370+S380+S389+S392+S398+S406+S411+S423</f>
        <v>0</v>
      </c>
      <c r="T20" s="28" t="s">
        <v>40</v>
      </c>
      <c r="U20" s="28" t="s">
        <v>40</v>
      </c>
      <c r="V20" s="28" t="s">
        <v>40</v>
      </c>
      <c r="W20" s="24"/>
    </row>
    <row r="21" s="31" customFormat="1" ht="25.5" customHeight="1">
      <c r="A21" s="25" t="s">
        <v>41</v>
      </c>
      <c r="B21" s="25"/>
      <c r="C21" s="26" t="s">
        <v>39</v>
      </c>
      <c r="D21" s="26" t="s">
        <v>39</v>
      </c>
      <c r="E21" s="27" t="s">
        <v>39</v>
      </c>
      <c r="F21" s="26" t="s">
        <v>39</v>
      </c>
      <c r="G21" s="28" t="s">
        <v>39</v>
      </c>
      <c r="H21" s="28" t="s">
        <v>39</v>
      </c>
      <c r="I21" s="29">
        <f>SUM(I22:I221)</f>
        <v>800676.82000000007</v>
      </c>
      <c r="J21" s="29">
        <f>SUM(J22:J221)</f>
        <v>698811.79000000004</v>
      </c>
      <c r="K21" s="29">
        <f>SUM(K22:K221)</f>
        <v>610273.74999999965</v>
      </c>
      <c r="L21" s="30">
        <f>SUM(L22:L221)</f>
        <v>24417</v>
      </c>
      <c r="M21" s="29">
        <f>SUM(M22:M221)</f>
        <v>888437309.85000038</v>
      </c>
      <c r="N21" s="29">
        <f>SUM(N22:N221)</f>
        <v>0</v>
      </c>
      <c r="O21" s="29">
        <f>SUM(O22:O221)</f>
        <v>0</v>
      </c>
      <c r="P21" s="29">
        <f>SUM(P22:P221)</f>
        <v>0</v>
      </c>
      <c r="Q21" s="29">
        <f>SUM(Q22:Q221)</f>
        <v>888437309.85000038</v>
      </c>
      <c r="R21" s="29">
        <f>SUM(R22:R221)</f>
        <v>888437309.85000038</v>
      </c>
      <c r="S21" s="29">
        <f>SUM(S22:S221)</f>
        <v>0</v>
      </c>
      <c r="T21" s="32" t="s">
        <v>40</v>
      </c>
      <c r="U21" s="32" t="s">
        <v>40</v>
      </c>
      <c r="V21" s="28" t="s">
        <v>40</v>
      </c>
      <c r="W21" s="31"/>
    </row>
    <row r="22" s="31" customFormat="1" ht="44.25" customHeight="1">
      <c r="A22" s="33">
        <v>1</v>
      </c>
      <c r="B22" s="34" t="s">
        <v>42</v>
      </c>
      <c r="C22" s="33" t="s">
        <v>43</v>
      </c>
      <c r="D22" s="35">
        <v>1971</v>
      </c>
      <c r="E22" s="35" t="s">
        <v>39</v>
      </c>
      <c r="F22" s="33" t="s">
        <v>44</v>
      </c>
      <c r="G22" s="36">
        <v>5</v>
      </c>
      <c r="H22" s="36">
        <v>4</v>
      </c>
      <c r="I22" s="37">
        <v>3387.4000000000001</v>
      </c>
      <c r="J22" s="37">
        <v>3357.8000000000002</v>
      </c>
      <c r="K22" s="37">
        <v>3209</v>
      </c>
      <c r="L22" s="38">
        <v>159</v>
      </c>
      <c r="M22" s="39">
        <f t="shared" ref="M22:M85" si="0">SUM(N22:Q22)</f>
        <v>314576.98999999999</v>
      </c>
      <c r="N22" s="37">
        <v>0</v>
      </c>
      <c r="O22" s="37">
        <v>0</v>
      </c>
      <c r="P22" s="37">
        <v>0</v>
      </c>
      <c r="Q22" s="40">
        <f>'Таблица 3 '!C12</f>
        <v>314576.98999999999</v>
      </c>
      <c r="R22" s="37">
        <f t="shared" ref="R22:R85" si="1">Q22</f>
        <v>314576.98999999999</v>
      </c>
      <c r="S22" s="37">
        <v>0</v>
      </c>
      <c r="T22" s="37">
        <f t="shared" ref="T22:T85" si="2">M22/J22</f>
        <v>93.685445827625216</v>
      </c>
      <c r="U22" s="37">
        <f t="shared" ref="U22:U85" si="3">T22</f>
        <v>93.685445827625216</v>
      </c>
      <c r="V22" s="41" t="s">
        <v>45</v>
      </c>
      <c r="W22" s="31"/>
    </row>
    <row r="23" s="31" customFormat="1" ht="44.25" customHeight="1">
      <c r="A23" s="33">
        <v>2</v>
      </c>
      <c r="B23" s="34" t="s">
        <v>46</v>
      </c>
      <c r="C23" s="33" t="s">
        <v>43</v>
      </c>
      <c r="D23" s="35">
        <v>1967</v>
      </c>
      <c r="E23" s="35" t="s">
        <v>47</v>
      </c>
      <c r="F23" s="33" t="s">
        <v>48</v>
      </c>
      <c r="G23" s="36">
        <v>5</v>
      </c>
      <c r="H23" s="36">
        <v>4</v>
      </c>
      <c r="I23" s="37">
        <v>3860.4000000000001</v>
      </c>
      <c r="J23" s="37">
        <v>3835.4000000000001</v>
      </c>
      <c r="K23" s="37">
        <v>3760.5</v>
      </c>
      <c r="L23" s="38">
        <v>128</v>
      </c>
      <c r="M23" s="39">
        <f t="shared" si="0"/>
        <v>5950906.5700000003</v>
      </c>
      <c r="N23" s="37">
        <v>0</v>
      </c>
      <c r="O23" s="37">
        <v>0</v>
      </c>
      <c r="P23" s="37">
        <v>0</v>
      </c>
      <c r="Q23" s="40">
        <f>'Таблица 3 '!C13</f>
        <v>5950906.5700000003</v>
      </c>
      <c r="R23" s="37">
        <f t="shared" si="1"/>
        <v>5950906.5700000003</v>
      </c>
      <c r="S23" s="37">
        <v>0</v>
      </c>
      <c r="T23" s="37">
        <f t="shared" si="2"/>
        <v>1551.5739088491423</v>
      </c>
      <c r="U23" s="37">
        <f t="shared" si="3"/>
        <v>1551.5739088491423</v>
      </c>
      <c r="V23" s="41" t="s">
        <v>45</v>
      </c>
      <c r="W23" s="31"/>
    </row>
    <row r="24" s="31" customFormat="1" ht="44.25" customHeight="1">
      <c r="A24" s="33">
        <v>3</v>
      </c>
      <c r="B24" s="42" t="s">
        <v>49</v>
      </c>
      <c r="C24" s="43" t="s">
        <v>43</v>
      </c>
      <c r="D24" s="35">
        <v>1961</v>
      </c>
      <c r="E24" s="44" t="s">
        <v>50</v>
      </c>
      <c r="F24" s="33" t="s">
        <v>44</v>
      </c>
      <c r="G24" s="45">
        <v>2</v>
      </c>
      <c r="H24" s="36">
        <v>1</v>
      </c>
      <c r="I24" s="46">
        <v>293.60000000000002</v>
      </c>
      <c r="J24" s="37">
        <v>292.10000000000002</v>
      </c>
      <c r="K24" s="46">
        <v>212.19999999999999</v>
      </c>
      <c r="L24" s="38">
        <v>22</v>
      </c>
      <c r="M24" s="39">
        <f t="shared" si="0"/>
        <v>171672.69</v>
      </c>
      <c r="N24" s="46">
        <v>0</v>
      </c>
      <c r="O24" s="37">
        <v>0</v>
      </c>
      <c r="P24" s="46">
        <v>0</v>
      </c>
      <c r="Q24" s="40">
        <f>'Таблица 3 '!C14</f>
        <v>171672.69</v>
      </c>
      <c r="R24" s="46">
        <f t="shared" si="1"/>
        <v>171672.69</v>
      </c>
      <c r="S24" s="37">
        <v>0</v>
      </c>
      <c r="T24" s="46">
        <f t="shared" si="2"/>
        <v>587.71889763779529</v>
      </c>
      <c r="U24" s="37">
        <f t="shared" si="3"/>
        <v>587.71889763779529</v>
      </c>
      <c r="V24" s="41" t="s">
        <v>45</v>
      </c>
      <c r="W24" s="47"/>
    </row>
    <row r="25" s="31" customFormat="1" ht="44.25" customHeight="1">
      <c r="A25" s="33">
        <v>4</v>
      </c>
      <c r="B25" s="34" t="s">
        <v>51</v>
      </c>
      <c r="C25" s="33" t="s">
        <v>43</v>
      </c>
      <c r="D25" s="35">
        <v>1967</v>
      </c>
      <c r="E25" s="35" t="s">
        <v>50</v>
      </c>
      <c r="F25" s="33" t="s">
        <v>48</v>
      </c>
      <c r="G25" s="36">
        <v>5</v>
      </c>
      <c r="H25" s="36">
        <v>3</v>
      </c>
      <c r="I25" s="37">
        <v>2574.5999999999999</v>
      </c>
      <c r="J25" s="37">
        <v>2566.6999999999998</v>
      </c>
      <c r="K25" s="37">
        <v>2355</v>
      </c>
      <c r="L25" s="38">
        <v>188</v>
      </c>
      <c r="M25" s="39">
        <f t="shared" si="0"/>
        <v>5669424.5199999996</v>
      </c>
      <c r="N25" s="37">
        <v>0</v>
      </c>
      <c r="O25" s="37">
        <v>0</v>
      </c>
      <c r="P25" s="37">
        <v>0</v>
      </c>
      <c r="Q25" s="40">
        <f>'Таблица 3 '!C15</f>
        <v>5669424.5199999996</v>
      </c>
      <c r="R25" s="37">
        <f t="shared" si="1"/>
        <v>5669424.5199999996</v>
      </c>
      <c r="S25" s="37">
        <v>0</v>
      </c>
      <c r="T25" s="37">
        <f t="shared" si="2"/>
        <v>2208.8380098959756</v>
      </c>
      <c r="U25" s="37">
        <f t="shared" si="3"/>
        <v>2208.8380098959756</v>
      </c>
      <c r="V25" s="41" t="s">
        <v>45</v>
      </c>
      <c r="W25" s="31"/>
    </row>
    <row r="26" s="31" customFormat="1" ht="44.25" customHeight="1">
      <c r="A26" s="33">
        <v>5</v>
      </c>
      <c r="B26" s="34" t="s">
        <v>52</v>
      </c>
      <c r="C26" s="33" t="s">
        <v>43</v>
      </c>
      <c r="D26" s="35">
        <v>1972</v>
      </c>
      <c r="E26" s="35" t="s">
        <v>39</v>
      </c>
      <c r="F26" s="33" t="s">
        <v>48</v>
      </c>
      <c r="G26" s="36">
        <v>5</v>
      </c>
      <c r="H26" s="36">
        <v>5</v>
      </c>
      <c r="I26" s="37">
        <v>4453.8999999999996</v>
      </c>
      <c r="J26" s="37">
        <v>4448.1000000000004</v>
      </c>
      <c r="K26" s="37">
        <v>4389.6999999999998</v>
      </c>
      <c r="L26" s="38">
        <v>170</v>
      </c>
      <c r="M26" s="39">
        <f t="shared" si="0"/>
        <v>6739721.1099999994</v>
      </c>
      <c r="N26" s="37">
        <v>0</v>
      </c>
      <c r="O26" s="37">
        <v>0</v>
      </c>
      <c r="P26" s="37">
        <v>0</v>
      </c>
      <c r="Q26" s="40">
        <f>'Таблица 3 '!C16</f>
        <v>6739721.1099999994</v>
      </c>
      <c r="R26" s="37">
        <f t="shared" si="1"/>
        <v>6739721.1099999994</v>
      </c>
      <c r="S26" s="37">
        <v>0</v>
      </c>
      <c r="T26" s="37">
        <f t="shared" si="2"/>
        <v>1515.1910051482653</v>
      </c>
      <c r="U26" s="37">
        <f t="shared" si="3"/>
        <v>1515.1910051482653</v>
      </c>
      <c r="V26" s="41" t="s">
        <v>45</v>
      </c>
      <c r="W26" s="31"/>
    </row>
    <row r="27" s="31" customFormat="1" ht="44.25" customHeight="1">
      <c r="A27" s="33">
        <v>6</v>
      </c>
      <c r="B27" s="34" t="s">
        <v>53</v>
      </c>
      <c r="C27" s="33" t="s">
        <v>43</v>
      </c>
      <c r="D27" s="35">
        <v>1972</v>
      </c>
      <c r="E27" s="35" t="s">
        <v>39</v>
      </c>
      <c r="F27" s="33" t="s">
        <v>48</v>
      </c>
      <c r="G27" s="36">
        <v>5</v>
      </c>
      <c r="H27" s="36">
        <v>5</v>
      </c>
      <c r="I27" s="37">
        <v>4474.8000000000002</v>
      </c>
      <c r="J27" s="37">
        <v>4452.1000000000004</v>
      </c>
      <c r="K27" s="37">
        <v>4261.3000000000002</v>
      </c>
      <c r="L27" s="38">
        <v>213</v>
      </c>
      <c r="M27" s="39">
        <f t="shared" si="0"/>
        <v>16977503.699999999</v>
      </c>
      <c r="N27" s="37">
        <v>0</v>
      </c>
      <c r="O27" s="37">
        <v>0</v>
      </c>
      <c r="P27" s="37">
        <v>0</v>
      </c>
      <c r="Q27" s="40">
        <f>'Таблица 3 '!C17</f>
        <v>16977503.699999999</v>
      </c>
      <c r="R27" s="37">
        <f t="shared" si="1"/>
        <v>16977503.699999999</v>
      </c>
      <c r="S27" s="37">
        <v>0</v>
      </c>
      <c r="T27" s="37">
        <f t="shared" si="2"/>
        <v>3813.3698030143073</v>
      </c>
      <c r="U27" s="37">
        <f t="shared" si="3"/>
        <v>3813.3698030143073</v>
      </c>
      <c r="V27" s="41" t="s">
        <v>45</v>
      </c>
      <c r="W27" s="31"/>
    </row>
    <row r="28" s="31" customFormat="1" ht="44.25" customHeight="1">
      <c r="A28" s="33">
        <v>7</v>
      </c>
      <c r="B28" s="34" t="s">
        <v>54</v>
      </c>
      <c r="C28" s="33" t="s">
        <v>43</v>
      </c>
      <c r="D28" s="35">
        <v>1972</v>
      </c>
      <c r="E28" s="35" t="s">
        <v>39</v>
      </c>
      <c r="F28" s="33" t="s">
        <v>48</v>
      </c>
      <c r="G28" s="36">
        <v>5</v>
      </c>
      <c r="H28" s="36">
        <v>4</v>
      </c>
      <c r="I28" s="37">
        <v>3881.5999999999999</v>
      </c>
      <c r="J28" s="37">
        <v>3857.9000000000001</v>
      </c>
      <c r="K28" s="37">
        <v>3756.6999999999998</v>
      </c>
      <c r="L28" s="38">
        <v>189</v>
      </c>
      <c r="M28" s="39">
        <f t="shared" si="0"/>
        <v>15896526.6</v>
      </c>
      <c r="N28" s="37">
        <v>0</v>
      </c>
      <c r="O28" s="37">
        <v>0</v>
      </c>
      <c r="P28" s="37">
        <v>0</v>
      </c>
      <c r="Q28" s="40">
        <f>'Таблица 3 '!C18</f>
        <v>15896526.6</v>
      </c>
      <c r="R28" s="37">
        <f t="shared" si="1"/>
        <v>15896526.6</v>
      </c>
      <c r="S28" s="37">
        <v>0</v>
      </c>
      <c r="T28" s="37">
        <f t="shared" si="2"/>
        <v>4120.5128696959482</v>
      </c>
      <c r="U28" s="37">
        <f t="shared" si="3"/>
        <v>4120.5128696959482</v>
      </c>
      <c r="V28" s="41" t="s">
        <v>45</v>
      </c>
      <c r="W28" s="31"/>
    </row>
    <row r="29" s="31" customFormat="1" ht="44.25" customHeight="1">
      <c r="A29" s="33">
        <v>8</v>
      </c>
      <c r="B29" s="34" t="s">
        <v>55</v>
      </c>
      <c r="C29" s="33" t="s">
        <v>43</v>
      </c>
      <c r="D29" s="35">
        <v>1971</v>
      </c>
      <c r="E29" s="35" t="s">
        <v>39</v>
      </c>
      <c r="F29" s="33" t="s">
        <v>44</v>
      </c>
      <c r="G29" s="36">
        <v>5</v>
      </c>
      <c r="H29" s="36">
        <v>4</v>
      </c>
      <c r="I29" s="37">
        <v>3387.4000000000001</v>
      </c>
      <c r="J29" s="37">
        <v>3357.8000000000002</v>
      </c>
      <c r="K29" s="37">
        <v>3209</v>
      </c>
      <c r="L29" s="38">
        <v>159</v>
      </c>
      <c r="M29" s="39">
        <f t="shared" si="0"/>
        <v>16333474.01</v>
      </c>
      <c r="N29" s="37">
        <v>0</v>
      </c>
      <c r="O29" s="37">
        <v>0</v>
      </c>
      <c r="P29" s="37">
        <v>0</v>
      </c>
      <c r="Q29" s="40">
        <f>'Таблица 3 '!C19</f>
        <v>16333474.01</v>
      </c>
      <c r="R29" s="37">
        <f t="shared" si="1"/>
        <v>16333474.01</v>
      </c>
      <c r="S29" s="37">
        <v>0</v>
      </c>
      <c r="T29" s="37">
        <f t="shared" si="2"/>
        <v>4864.3379623563042</v>
      </c>
      <c r="U29" s="37">
        <f t="shared" si="3"/>
        <v>4864.3379623563042</v>
      </c>
      <c r="V29" s="41" t="s">
        <v>45</v>
      </c>
      <c r="W29" s="31"/>
    </row>
    <row r="30" s="31" customFormat="1" ht="44.25" customHeight="1">
      <c r="A30" s="33">
        <v>9</v>
      </c>
      <c r="B30" s="34" t="s">
        <v>56</v>
      </c>
      <c r="C30" s="33" t="s">
        <v>43</v>
      </c>
      <c r="D30" s="33">
        <v>1986</v>
      </c>
      <c r="E30" s="35" t="s">
        <v>57</v>
      </c>
      <c r="F30" s="33" t="s">
        <v>48</v>
      </c>
      <c r="G30" s="36">
        <v>5</v>
      </c>
      <c r="H30" s="36">
        <v>4</v>
      </c>
      <c r="I30" s="37">
        <v>3262</v>
      </c>
      <c r="J30" s="37">
        <v>2954.9000000000001</v>
      </c>
      <c r="K30" s="37">
        <v>2904.9000000000001</v>
      </c>
      <c r="L30" s="38">
        <v>140</v>
      </c>
      <c r="M30" s="39">
        <f t="shared" si="0"/>
        <v>391899.60999999999</v>
      </c>
      <c r="N30" s="37">
        <v>0</v>
      </c>
      <c r="O30" s="37">
        <v>0</v>
      </c>
      <c r="P30" s="37">
        <v>0</v>
      </c>
      <c r="Q30" s="40">
        <f>'Таблица 3 '!C20</f>
        <v>391899.60999999999</v>
      </c>
      <c r="R30" s="37">
        <f t="shared" si="1"/>
        <v>391899.60999999999</v>
      </c>
      <c r="S30" s="37">
        <v>0</v>
      </c>
      <c r="T30" s="37">
        <f t="shared" si="2"/>
        <v>132.62702967951537</v>
      </c>
      <c r="U30" s="37">
        <f t="shared" si="3"/>
        <v>132.62702967951537</v>
      </c>
      <c r="V30" s="41" t="s">
        <v>45</v>
      </c>
      <c r="W30" s="31"/>
    </row>
    <row r="31" s="31" customFormat="1" ht="44.25" customHeight="1">
      <c r="A31" s="33">
        <v>10</v>
      </c>
      <c r="B31" s="34" t="s">
        <v>58</v>
      </c>
      <c r="C31" s="33" t="s">
        <v>43</v>
      </c>
      <c r="D31" s="35">
        <v>1967</v>
      </c>
      <c r="E31" s="35" t="s">
        <v>39</v>
      </c>
      <c r="F31" s="33" t="s">
        <v>48</v>
      </c>
      <c r="G31" s="36">
        <v>5</v>
      </c>
      <c r="H31" s="36">
        <v>3</v>
      </c>
      <c r="I31" s="37">
        <v>2580.8000000000002</v>
      </c>
      <c r="J31" s="37">
        <v>2557.5999999999999</v>
      </c>
      <c r="K31" s="37">
        <v>2371.5</v>
      </c>
      <c r="L31" s="38">
        <v>140</v>
      </c>
      <c r="M31" s="39">
        <f t="shared" si="0"/>
        <v>10953603.43</v>
      </c>
      <c r="N31" s="37">
        <v>0</v>
      </c>
      <c r="O31" s="37">
        <v>0</v>
      </c>
      <c r="P31" s="37">
        <v>0</v>
      </c>
      <c r="Q31" s="40">
        <f>'Таблица 3 '!C21</f>
        <v>10953603.43</v>
      </c>
      <c r="R31" s="37">
        <f t="shared" si="1"/>
        <v>10953603.43</v>
      </c>
      <c r="S31" s="37">
        <v>0</v>
      </c>
      <c r="T31" s="37">
        <f t="shared" si="2"/>
        <v>4282.766433375039</v>
      </c>
      <c r="U31" s="37">
        <f t="shared" si="3"/>
        <v>4282.766433375039</v>
      </c>
      <c r="V31" s="41" t="s">
        <v>45</v>
      </c>
      <c r="W31" s="31"/>
    </row>
    <row r="32" s="31" customFormat="1" ht="44.25" customHeight="1">
      <c r="A32" s="33">
        <v>11</v>
      </c>
      <c r="B32" s="34" t="s">
        <v>59</v>
      </c>
      <c r="C32" s="33" t="s">
        <v>43</v>
      </c>
      <c r="D32" s="33">
        <v>1988</v>
      </c>
      <c r="E32" s="35" t="s">
        <v>60</v>
      </c>
      <c r="F32" s="33" t="s">
        <v>48</v>
      </c>
      <c r="G32" s="36">
        <v>5</v>
      </c>
      <c r="H32" s="36">
        <v>4</v>
      </c>
      <c r="I32" s="37">
        <v>3338.3000000000002</v>
      </c>
      <c r="J32" s="37">
        <v>3008</v>
      </c>
      <c r="K32" s="37">
        <v>2870.5999999999999</v>
      </c>
      <c r="L32" s="38">
        <v>117</v>
      </c>
      <c r="M32" s="39">
        <f t="shared" si="0"/>
        <v>458721.95000000001</v>
      </c>
      <c r="N32" s="37">
        <v>0</v>
      </c>
      <c r="O32" s="37">
        <v>0</v>
      </c>
      <c r="P32" s="37">
        <v>0</v>
      </c>
      <c r="Q32" s="40">
        <f>'Таблица 3 '!C22</f>
        <v>458721.95000000001</v>
      </c>
      <c r="R32" s="37">
        <f t="shared" si="1"/>
        <v>458721.95000000001</v>
      </c>
      <c r="S32" s="37">
        <v>0</v>
      </c>
      <c r="T32" s="37">
        <f t="shared" si="2"/>
        <v>152.50064827127659</v>
      </c>
      <c r="U32" s="37">
        <f t="shared" si="3"/>
        <v>152.50064827127659</v>
      </c>
      <c r="V32" s="41" t="s">
        <v>45</v>
      </c>
      <c r="W32" s="31"/>
    </row>
    <row r="33" s="31" customFormat="1" ht="44.25" customHeight="1">
      <c r="A33" s="33">
        <v>12</v>
      </c>
      <c r="B33" s="34" t="s">
        <v>61</v>
      </c>
      <c r="C33" s="33" t="s">
        <v>43</v>
      </c>
      <c r="D33" s="33">
        <v>1989</v>
      </c>
      <c r="E33" s="35" t="s">
        <v>39</v>
      </c>
      <c r="F33" s="33" t="s">
        <v>48</v>
      </c>
      <c r="G33" s="36">
        <v>5</v>
      </c>
      <c r="H33" s="36">
        <v>6</v>
      </c>
      <c r="I33" s="37">
        <v>5150.2200000000003</v>
      </c>
      <c r="J33" s="37">
        <v>4629</v>
      </c>
      <c r="K33" s="37">
        <v>4629</v>
      </c>
      <c r="L33" s="38">
        <v>202</v>
      </c>
      <c r="M33" s="39">
        <f t="shared" si="0"/>
        <v>13855159.6</v>
      </c>
      <c r="N33" s="37">
        <v>0</v>
      </c>
      <c r="O33" s="37">
        <v>0</v>
      </c>
      <c r="P33" s="37">
        <v>0</v>
      </c>
      <c r="Q33" s="40">
        <f>'Таблица 3 '!C23</f>
        <v>13855159.6</v>
      </c>
      <c r="R33" s="37">
        <f t="shared" si="1"/>
        <v>13855159.6</v>
      </c>
      <c r="S33" s="37">
        <v>0</v>
      </c>
      <c r="T33" s="37">
        <f t="shared" si="2"/>
        <v>2993.1215381291854</v>
      </c>
      <c r="U33" s="37">
        <f t="shared" si="3"/>
        <v>2993.1215381291854</v>
      </c>
      <c r="V33" s="41" t="s">
        <v>45</v>
      </c>
      <c r="W33" s="31"/>
    </row>
    <row r="34" s="31" customFormat="1" ht="44.25" customHeight="1">
      <c r="A34" s="33">
        <v>13</v>
      </c>
      <c r="B34" s="34" t="s">
        <v>62</v>
      </c>
      <c r="C34" s="33" t="s">
        <v>43</v>
      </c>
      <c r="D34" s="33">
        <v>1978</v>
      </c>
      <c r="E34" s="35" t="s">
        <v>63</v>
      </c>
      <c r="F34" s="33" t="s">
        <v>48</v>
      </c>
      <c r="G34" s="36">
        <v>5</v>
      </c>
      <c r="H34" s="36">
        <v>5</v>
      </c>
      <c r="I34" s="37">
        <v>3582.4000000000001</v>
      </c>
      <c r="J34" s="37">
        <v>3595.5999999999999</v>
      </c>
      <c r="K34" s="37">
        <v>3413.0999999999999</v>
      </c>
      <c r="L34" s="38">
        <v>190</v>
      </c>
      <c r="M34" s="39">
        <f t="shared" si="0"/>
        <v>3655628.2599999998</v>
      </c>
      <c r="N34" s="37">
        <v>0</v>
      </c>
      <c r="O34" s="37">
        <v>0</v>
      </c>
      <c r="P34" s="37">
        <v>0</v>
      </c>
      <c r="Q34" s="40">
        <f>'Таблица 3 '!C24</f>
        <v>3655628.2599999998</v>
      </c>
      <c r="R34" s="37">
        <f t="shared" si="1"/>
        <v>3655628.2599999998</v>
      </c>
      <c r="S34" s="37">
        <v>0</v>
      </c>
      <c r="T34" s="37">
        <f t="shared" si="2"/>
        <v>1016.6949215708087</v>
      </c>
      <c r="U34" s="37">
        <f t="shared" si="3"/>
        <v>1016.6949215708087</v>
      </c>
      <c r="V34" s="41" t="s">
        <v>45</v>
      </c>
      <c r="W34" s="31"/>
    </row>
    <row r="35" s="31" customFormat="1" ht="44.25" customHeight="1">
      <c r="A35" s="33">
        <v>14</v>
      </c>
      <c r="B35" s="34" t="s">
        <v>64</v>
      </c>
      <c r="C35" s="33" t="s">
        <v>43</v>
      </c>
      <c r="D35" s="33">
        <v>1976</v>
      </c>
      <c r="E35" s="35" t="s">
        <v>39</v>
      </c>
      <c r="F35" s="33" t="s">
        <v>48</v>
      </c>
      <c r="G35" s="36">
        <v>5</v>
      </c>
      <c r="H35" s="36">
        <v>6</v>
      </c>
      <c r="I35" s="40">
        <v>4485.8999999999996</v>
      </c>
      <c r="J35" s="40">
        <v>4380.1999999999998</v>
      </c>
      <c r="K35" s="40">
        <v>4278</v>
      </c>
      <c r="L35" s="48">
        <v>204</v>
      </c>
      <c r="M35" s="40">
        <f t="shared" si="0"/>
        <v>4547262.6200000001</v>
      </c>
      <c r="N35" s="40">
        <v>0</v>
      </c>
      <c r="O35" s="40">
        <v>0</v>
      </c>
      <c r="P35" s="40">
        <v>0</v>
      </c>
      <c r="Q35" s="40">
        <f>'Таблица 3 '!C25</f>
        <v>4547262.6200000001</v>
      </c>
      <c r="R35" s="40">
        <f t="shared" si="1"/>
        <v>4547262.6200000001</v>
      </c>
      <c r="S35" s="40">
        <v>0</v>
      </c>
      <c r="T35" s="37">
        <f t="shared" si="2"/>
        <v>1038.1404091137392</v>
      </c>
      <c r="U35" s="37">
        <f t="shared" si="3"/>
        <v>1038.1404091137392</v>
      </c>
      <c r="V35" s="41" t="s">
        <v>45</v>
      </c>
      <c r="W35" s="31"/>
    </row>
    <row r="36" s="31" customFormat="1" ht="44.25" customHeight="1">
      <c r="A36" s="33">
        <v>15</v>
      </c>
      <c r="B36" s="34" t="s">
        <v>65</v>
      </c>
      <c r="C36" s="33" t="s">
        <v>43</v>
      </c>
      <c r="D36" s="35">
        <v>1979</v>
      </c>
      <c r="E36" s="35" t="s">
        <v>39</v>
      </c>
      <c r="F36" s="33" t="s">
        <v>48</v>
      </c>
      <c r="G36" s="36">
        <v>5</v>
      </c>
      <c r="H36" s="36">
        <v>7</v>
      </c>
      <c r="I36" s="37">
        <v>5712.5</v>
      </c>
      <c r="J36" s="37">
        <v>5435.3000000000002</v>
      </c>
      <c r="K36" s="37">
        <v>5435.3000000000002</v>
      </c>
      <c r="L36" s="38">
        <v>97</v>
      </c>
      <c r="M36" s="39">
        <f t="shared" si="0"/>
        <v>9757581</v>
      </c>
      <c r="N36" s="37">
        <v>0</v>
      </c>
      <c r="O36" s="37">
        <v>0</v>
      </c>
      <c r="P36" s="37">
        <v>0</v>
      </c>
      <c r="Q36" s="40">
        <f>'Таблица 3 '!C26</f>
        <v>9757581</v>
      </c>
      <c r="R36" s="37">
        <f t="shared" si="1"/>
        <v>9757581</v>
      </c>
      <c r="S36" s="37">
        <v>0</v>
      </c>
      <c r="T36" s="37">
        <f t="shared" si="2"/>
        <v>1795.2239986753261</v>
      </c>
      <c r="U36" s="37">
        <f t="shared" si="3"/>
        <v>1795.2239986753261</v>
      </c>
      <c r="V36" s="41" t="s">
        <v>45</v>
      </c>
      <c r="W36" s="31"/>
    </row>
    <row r="37" s="31" customFormat="1" ht="44.25" customHeight="1">
      <c r="A37" s="33">
        <v>16</v>
      </c>
      <c r="B37" s="34" t="s">
        <v>66</v>
      </c>
      <c r="C37" s="33" t="s">
        <v>43</v>
      </c>
      <c r="D37" s="33">
        <v>1988</v>
      </c>
      <c r="E37" s="35" t="s">
        <v>47</v>
      </c>
      <c r="F37" s="33" t="s">
        <v>48</v>
      </c>
      <c r="G37" s="36">
        <v>5</v>
      </c>
      <c r="H37" s="36">
        <v>6</v>
      </c>
      <c r="I37" s="40">
        <v>4502.1000000000004</v>
      </c>
      <c r="J37" s="40">
        <v>4488.3000000000002</v>
      </c>
      <c r="K37" s="40">
        <v>4204.1999999999998</v>
      </c>
      <c r="L37" s="48">
        <v>220</v>
      </c>
      <c r="M37" s="40">
        <f t="shared" si="0"/>
        <v>4739370.8499999996</v>
      </c>
      <c r="N37" s="40">
        <v>0</v>
      </c>
      <c r="O37" s="40">
        <v>0</v>
      </c>
      <c r="P37" s="40">
        <v>0</v>
      </c>
      <c r="Q37" s="40">
        <f>'Таблица 3 '!C27</f>
        <v>4739370.8499999996</v>
      </c>
      <c r="R37" s="37">
        <f t="shared" si="1"/>
        <v>4739370.8499999996</v>
      </c>
      <c r="S37" s="40">
        <v>0</v>
      </c>
      <c r="T37" s="37">
        <f t="shared" si="2"/>
        <v>1055.9389635273933</v>
      </c>
      <c r="U37" s="37">
        <f t="shared" si="3"/>
        <v>1055.9389635273933</v>
      </c>
      <c r="V37" s="41" t="s">
        <v>45</v>
      </c>
      <c r="W37" s="31"/>
    </row>
    <row r="38" s="31" customFormat="1" ht="44.25" customHeight="1">
      <c r="A38" s="33">
        <v>17</v>
      </c>
      <c r="B38" s="34" t="s">
        <v>67</v>
      </c>
      <c r="C38" s="33" t="s">
        <v>43</v>
      </c>
      <c r="D38" s="35">
        <v>1985</v>
      </c>
      <c r="E38" s="35" t="s">
        <v>39</v>
      </c>
      <c r="F38" s="33" t="s">
        <v>44</v>
      </c>
      <c r="G38" s="36">
        <v>5</v>
      </c>
      <c r="H38" s="36">
        <v>4</v>
      </c>
      <c r="I38" s="37">
        <v>3408.0999999999999</v>
      </c>
      <c r="J38" s="37">
        <v>3357.4000000000001</v>
      </c>
      <c r="K38" s="37">
        <v>2716.6999999999998</v>
      </c>
      <c r="L38" s="38">
        <v>172</v>
      </c>
      <c r="M38" s="39">
        <f t="shared" si="0"/>
        <v>2859484.7999999998</v>
      </c>
      <c r="N38" s="37">
        <v>0</v>
      </c>
      <c r="O38" s="37">
        <v>0</v>
      </c>
      <c r="P38" s="37">
        <v>0</v>
      </c>
      <c r="Q38" s="40">
        <f>'Таблица 3 '!C28</f>
        <v>2859484.7999999998</v>
      </c>
      <c r="R38" s="37">
        <f t="shared" si="1"/>
        <v>2859484.7999999998</v>
      </c>
      <c r="S38" s="37">
        <v>0</v>
      </c>
      <c r="T38" s="37">
        <f t="shared" si="2"/>
        <v>851.6961934830523</v>
      </c>
      <c r="U38" s="37">
        <f t="shared" si="3"/>
        <v>851.6961934830523</v>
      </c>
      <c r="V38" s="41" t="s">
        <v>45</v>
      </c>
      <c r="W38" s="31"/>
    </row>
    <row r="39" s="31" customFormat="1" ht="44.25" customHeight="1">
      <c r="A39" s="33">
        <v>18</v>
      </c>
      <c r="B39" s="49" t="s">
        <v>68</v>
      </c>
      <c r="C39" s="33" t="s">
        <v>43</v>
      </c>
      <c r="D39" s="35">
        <v>2007</v>
      </c>
      <c r="E39" s="35" t="s">
        <v>39</v>
      </c>
      <c r="F39" s="33" t="s">
        <v>44</v>
      </c>
      <c r="G39" s="36">
        <v>5</v>
      </c>
      <c r="H39" s="36">
        <v>5</v>
      </c>
      <c r="I39" s="37">
        <v>4870.8999999999996</v>
      </c>
      <c r="J39" s="37">
        <v>3627.3000000000002</v>
      </c>
      <c r="K39" s="37">
        <v>329.5</v>
      </c>
      <c r="L39" s="38">
        <v>210</v>
      </c>
      <c r="M39" s="39">
        <f t="shared" si="0"/>
        <v>5306725.6099999994</v>
      </c>
      <c r="N39" s="37">
        <v>0</v>
      </c>
      <c r="O39" s="37">
        <v>0</v>
      </c>
      <c r="P39" s="37">
        <v>0</v>
      </c>
      <c r="Q39" s="40">
        <f>'Таблица 3 '!C29</f>
        <v>5306725.6099999994</v>
      </c>
      <c r="R39" s="37">
        <f t="shared" si="1"/>
        <v>5306725.6099999994</v>
      </c>
      <c r="S39" s="37">
        <v>0</v>
      </c>
      <c r="T39" s="37">
        <f t="shared" si="2"/>
        <v>1462.9960604306232</v>
      </c>
      <c r="U39" s="37">
        <f t="shared" si="3"/>
        <v>1462.9960604306232</v>
      </c>
      <c r="V39" s="41" t="s">
        <v>45</v>
      </c>
      <c r="W39" s="31"/>
    </row>
    <row r="40" s="31" customFormat="1" ht="44.25" customHeight="1">
      <c r="A40" s="33">
        <v>19</v>
      </c>
      <c r="B40" s="34" t="s">
        <v>69</v>
      </c>
      <c r="C40" s="33" t="s">
        <v>43</v>
      </c>
      <c r="D40" s="35">
        <v>1994</v>
      </c>
      <c r="E40" s="35" t="s">
        <v>70</v>
      </c>
      <c r="F40" s="33" t="s">
        <v>48</v>
      </c>
      <c r="G40" s="36">
        <v>5</v>
      </c>
      <c r="H40" s="36">
        <v>3</v>
      </c>
      <c r="I40" s="37">
        <v>5002.8000000000002</v>
      </c>
      <c r="J40" s="37">
        <v>3582.3000000000002</v>
      </c>
      <c r="K40" s="37">
        <v>3430.8000000000002</v>
      </c>
      <c r="L40" s="38">
        <v>145</v>
      </c>
      <c r="M40" s="39">
        <f t="shared" si="0"/>
        <v>2477673.8399999999</v>
      </c>
      <c r="N40" s="37">
        <v>0</v>
      </c>
      <c r="O40" s="37">
        <v>0</v>
      </c>
      <c r="P40" s="37">
        <v>0</v>
      </c>
      <c r="Q40" s="40">
        <f>'Таблица 3 '!C30</f>
        <v>2477673.8399999999</v>
      </c>
      <c r="R40" s="37">
        <f t="shared" si="1"/>
        <v>2477673.8399999999</v>
      </c>
      <c r="S40" s="37">
        <v>0</v>
      </c>
      <c r="T40" s="37">
        <f t="shared" si="2"/>
        <v>691.64331295536374</v>
      </c>
      <c r="U40" s="37">
        <f t="shared" si="3"/>
        <v>691.64331295536374</v>
      </c>
      <c r="V40" s="41" t="s">
        <v>45</v>
      </c>
      <c r="W40" s="31"/>
    </row>
    <row r="41" s="31" customFormat="1" ht="44.25" customHeight="1">
      <c r="A41" s="33">
        <v>20</v>
      </c>
      <c r="B41" s="34" t="s">
        <v>71</v>
      </c>
      <c r="C41" s="33" t="s">
        <v>43</v>
      </c>
      <c r="D41" s="35">
        <v>1996</v>
      </c>
      <c r="E41" s="35" t="s">
        <v>47</v>
      </c>
      <c r="F41" s="33" t="s">
        <v>48</v>
      </c>
      <c r="G41" s="36">
        <v>5</v>
      </c>
      <c r="H41" s="36">
        <v>2</v>
      </c>
      <c r="I41" s="37">
        <v>3235.8000000000002</v>
      </c>
      <c r="J41" s="37">
        <v>2361.9000000000001</v>
      </c>
      <c r="K41" s="37">
        <v>2031</v>
      </c>
      <c r="L41" s="38">
        <v>89</v>
      </c>
      <c r="M41" s="39">
        <f t="shared" si="0"/>
        <v>2207923.4299999997</v>
      </c>
      <c r="N41" s="37">
        <v>0</v>
      </c>
      <c r="O41" s="37">
        <v>0</v>
      </c>
      <c r="P41" s="37">
        <v>0</v>
      </c>
      <c r="Q41" s="40">
        <f>'Таблица 3 '!C31</f>
        <v>2207923.4299999997</v>
      </c>
      <c r="R41" s="37">
        <f t="shared" si="1"/>
        <v>2207923.4299999997</v>
      </c>
      <c r="S41" s="37">
        <v>0</v>
      </c>
      <c r="T41" s="37">
        <f t="shared" si="2"/>
        <v>934.80817562132165</v>
      </c>
      <c r="U41" s="37">
        <f t="shared" si="3"/>
        <v>934.80817562132165</v>
      </c>
      <c r="V41" s="41" t="s">
        <v>45</v>
      </c>
      <c r="W41" s="31"/>
    </row>
    <row r="42" s="31" customFormat="1" ht="44.25" customHeight="1">
      <c r="A42" s="33">
        <v>21</v>
      </c>
      <c r="B42" s="34" t="s">
        <v>72</v>
      </c>
      <c r="C42" s="33" t="s">
        <v>43</v>
      </c>
      <c r="D42" s="35">
        <v>2000</v>
      </c>
      <c r="E42" s="35" t="s">
        <v>57</v>
      </c>
      <c r="F42" s="33" t="s">
        <v>48</v>
      </c>
      <c r="G42" s="36">
        <v>5</v>
      </c>
      <c r="H42" s="36">
        <v>4</v>
      </c>
      <c r="I42" s="37">
        <v>6620.5</v>
      </c>
      <c r="J42" s="37">
        <v>5145.1000000000004</v>
      </c>
      <c r="K42" s="37">
        <v>4205.3999999999996</v>
      </c>
      <c r="L42" s="38">
        <v>197</v>
      </c>
      <c r="M42" s="39">
        <f t="shared" si="0"/>
        <v>21520750.23</v>
      </c>
      <c r="N42" s="37">
        <v>0</v>
      </c>
      <c r="O42" s="37">
        <v>0</v>
      </c>
      <c r="P42" s="37">
        <v>0</v>
      </c>
      <c r="Q42" s="40">
        <f>'Таблица 3 '!C32</f>
        <v>21520750.23</v>
      </c>
      <c r="R42" s="37">
        <f t="shared" si="1"/>
        <v>21520750.23</v>
      </c>
      <c r="S42" s="37">
        <v>0</v>
      </c>
      <c r="T42" s="37">
        <f t="shared" si="2"/>
        <v>4182.7661716973425</v>
      </c>
      <c r="U42" s="37">
        <f t="shared" si="3"/>
        <v>4182.7661716973425</v>
      </c>
      <c r="V42" s="41" t="s">
        <v>45</v>
      </c>
      <c r="W42" s="31"/>
    </row>
    <row r="43" s="31" customFormat="1" ht="44.25" customHeight="1">
      <c r="A43" s="33">
        <v>22</v>
      </c>
      <c r="B43" s="34" t="s">
        <v>73</v>
      </c>
      <c r="C43" s="33" t="s">
        <v>43</v>
      </c>
      <c r="D43" s="33">
        <v>1989</v>
      </c>
      <c r="E43" s="35" t="s">
        <v>70</v>
      </c>
      <c r="F43" s="33" t="s">
        <v>48</v>
      </c>
      <c r="G43" s="36">
        <v>5</v>
      </c>
      <c r="H43" s="36">
        <v>4</v>
      </c>
      <c r="I43" s="37">
        <v>2903.3000000000002</v>
      </c>
      <c r="J43" s="37">
        <v>2900.5</v>
      </c>
      <c r="K43" s="37">
        <v>2235.8000000000002</v>
      </c>
      <c r="L43" s="38">
        <v>67</v>
      </c>
      <c r="M43" s="39">
        <f t="shared" si="0"/>
        <v>2497643.7799999998</v>
      </c>
      <c r="N43" s="37">
        <v>0</v>
      </c>
      <c r="O43" s="37">
        <v>0</v>
      </c>
      <c r="P43" s="37">
        <v>0</v>
      </c>
      <c r="Q43" s="40">
        <f>'Таблица 3 '!C33</f>
        <v>2497643.7799999998</v>
      </c>
      <c r="R43" s="37">
        <f t="shared" si="1"/>
        <v>2497643.7799999998</v>
      </c>
      <c r="S43" s="37">
        <v>0</v>
      </c>
      <c r="T43" s="37">
        <f t="shared" si="2"/>
        <v>861.10800896397166</v>
      </c>
      <c r="U43" s="37">
        <f t="shared" si="3"/>
        <v>861.10800896397166</v>
      </c>
      <c r="V43" s="41" t="s">
        <v>45</v>
      </c>
      <c r="W43" s="31"/>
    </row>
    <row r="44" s="31" customFormat="1" ht="44.25" customHeight="1">
      <c r="A44" s="33">
        <v>23</v>
      </c>
      <c r="B44" s="34" t="s">
        <v>74</v>
      </c>
      <c r="C44" s="33" t="s">
        <v>43</v>
      </c>
      <c r="D44" s="33">
        <v>1978</v>
      </c>
      <c r="E44" s="35" t="s">
        <v>39</v>
      </c>
      <c r="F44" s="33" t="s">
        <v>48</v>
      </c>
      <c r="G44" s="36">
        <v>5</v>
      </c>
      <c r="H44" s="36">
        <v>4</v>
      </c>
      <c r="I44" s="37">
        <v>4751.6000000000004</v>
      </c>
      <c r="J44" s="37">
        <v>3671.0999999999999</v>
      </c>
      <c r="K44" s="37">
        <v>2923.5</v>
      </c>
      <c r="L44" s="38">
        <v>81</v>
      </c>
      <c r="M44" s="39">
        <f t="shared" si="0"/>
        <v>210912.42999999999</v>
      </c>
      <c r="N44" s="37">
        <v>0</v>
      </c>
      <c r="O44" s="37">
        <v>0</v>
      </c>
      <c r="P44" s="37">
        <v>0</v>
      </c>
      <c r="Q44" s="40">
        <f>'Таблица 3 '!C34</f>
        <v>210912.42999999999</v>
      </c>
      <c r="R44" s="37">
        <f t="shared" si="1"/>
        <v>210912.42999999999</v>
      </c>
      <c r="S44" s="37">
        <v>0</v>
      </c>
      <c r="T44" s="37">
        <f t="shared" si="2"/>
        <v>57.452106997902533</v>
      </c>
      <c r="U44" s="37">
        <f t="shared" si="3"/>
        <v>57.452106997902533</v>
      </c>
      <c r="V44" s="41" t="s">
        <v>45</v>
      </c>
      <c r="W44" s="31"/>
    </row>
    <row r="45" s="31" customFormat="1" ht="44.25" customHeight="1">
      <c r="A45" s="33">
        <v>24</v>
      </c>
      <c r="B45" s="34" t="s">
        <v>75</v>
      </c>
      <c r="C45" s="33" t="s">
        <v>43</v>
      </c>
      <c r="D45" s="35">
        <v>1974</v>
      </c>
      <c r="E45" s="35" t="s">
        <v>39</v>
      </c>
      <c r="F45" s="33" t="s">
        <v>44</v>
      </c>
      <c r="G45" s="36">
        <v>3</v>
      </c>
      <c r="H45" s="36">
        <v>2</v>
      </c>
      <c r="I45" s="37">
        <v>1116.4000000000001</v>
      </c>
      <c r="J45" s="37">
        <v>1111.9000000000001</v>
      </c>
      <c r="K45" s="37">
        <v>1070.2</v>
      </c>
      <c r="L45" s="38">
        <v>60</v>
      </c>
      <c r="M45" s="39">
        <f t="shared" si="0"/>
        <v>257335.73999999999</v>
      </c>
      <c r="N45" s="37">
        <v>0</v>
      </c>
      <c r="O45" s="37">
        <v>0</v>
      </c>
      <c r="P45" s="37">
        <v>0</v>
      </c>
      <c r="Q45" s="40">
        <f>'Таблица 3 '!C35</f>
        <v>257335.73999999999</v>
      </c>
      <c r="R45" s="37">
        <f t="shared" si="1"/>
        <v>257335.73999999999</v>
      </c>
      <c r="S45" s="37">
        <v>0</v>
      </c>
      <c r="T45" s="37">
        <f t="shared" si="2"/>
        <v>231.43784512995771</v>
      </c>
      <c r="U45" s="37">
        <f t="shared" si="3"/>
        <v>231.43784512995771</v>
      </c>
      <c r="V45" s="41" t="s">
        <v>45</v>
      </c>
      <c r="W45" s="31"/>
    </row>
    <row r="46" s="31" customFormat="1" ht="44.25" customHeight="1">
      <c r="A46" s="33">
        <v>25</v>
      </c>
      <c r="B46" s="34" t="s">
        <v>76</v>
      </c>
      <c r="C46" s="33" t="s">
        <v>43</v>
      </c>
      <c r="D46" s="33">
        <v>1994</v>
      </c>
      <c r="E46" s="35" t="s">
        <v>39</v>
      </c>
      <c r="F46" s="33" t="s">
        <v>77</v>
      </c>
      <c r="G46" s="36">
        <v>3</v>
      </c>
      <c r="H46" s="36">
        <v>1</v>
      </c>
      <c r="I46" s="40">
        <v>1295.2</v>
      </c>
      <c r="J46" s="40">
        <v>1193</v>
      </c>
      <c r="K46" s="40">
        <v>1193</v>
      </c>
      <c r="L46" s="48">
        <v>54</v>
      </c>
      <c r="M46" s="39">
        <f t="shared" si="0"/>
        <v>260604.32000000001</v>
      </c>
      <c r="N46" s="37">
        <v>0</v>
      </c>
      <c r="O46" s="37">
        <v>0</v>
      </c>
      <c r="P46" s="37">
        <v>0</v>
      </c>
      <c r="Q46" s="40">
        <f>'Таблица 3 '!C36</f>
        <v>260604.32000000001</v>
      </c>
      <c r="R46" s="37">
        <f t="shared" si="1"/>
        <v>260604.32000000001</v>
      </c>
      <c r="S46" s="40">
        <v>0</v>
      </c>
      <c r="T46" s="37">
        <f t="shared" si="2"/>
        <v>218.44452640402346</v>
      </c>
      <c r="U46" s="37">
        <f t="shared" si="3"/>
        <v>218.44452640402346</v>
      </c>
      <c r="V46" s="41" t="s">
        <v>45</v>
      </c>
      <c r="W46" s="31"/>
    </row>
    <row r="47" s="31" customFormat="1" ht="44.25" customHeight="1">
      <c r="A47" s="33">
        <v>26</v>
      </c>
      <c r="B47" s="34" t="s">
        <v>78</v>
      </c>
      <c r="C47" s="33" t="s">
        <v>43</v>
      </c>
      <c r="D47" s="35" t="s">
        <v>79</v>
      </c>
      <c r="E47" s="35" t="s">
        <v>39</v>
      </c>
      <c r="F47" s="33" t="s">
        <v>44</v>
      </c>
      <c r="G47" s="36">
        <v>3</v>
      </c>
      <c r="H47" s="36">
        <v>2</v>
      </c>
      <c r="I47" s="37">
        <v>1954.7</v>
      </c>
      <c r="J47" s="37">
        <v>1295.5</v>
      </c>
      <c r="K47" s="37">
        <v>1295.5</v>
      </c>
      <c r="L47" s="38">
        <v>23</v>
      </c>
      <c r="M47" s="39">
        <f t="shared" si="0"/>
        <v>254122.85000000001</v>
      </c>
      <c r="N47" s="37">
        <v>0</v>
      </c>
      <c r="O47" s="37">
        <v>0</v>
      </c>
      <c r="P47" s="37">
        <v>0</v>
      </c>
      <c r="Q47" s="40">
        <f>'Таблица 3 '!C37</f>
        <v>254122.85000000001</v>
      </c>
      <c r="R47" s="37">
        <f t="shared" si="1"/>
        <v>254122.85000000001</v>
      </c>
      <c r="S47" s="37">
        <v>0</v>
      </c>
      <c r="T47" s="37">
        <f t="shared" si="2"/>
        <v>196.1581242763412</v>
      </c>
      <c r="U47" s="37">
        <f t="shared" si="3"/>
        <v>196.1581242763412</v>
      </c>
      <c r="V47" s="41" t="s">
        <v>45</v>
      </c>
      <c r="W47" s="31"/>
    </row>
    <row r="48" s="31" customFormat="1" ht="44.25" customHeight="1">
      <c r="A48" s="33">
        <v>27</v>
      </c>
      <c r="B48" s="34" t="s">
        <v>80</v>
      </c>
      <c r="C48" s="33" t="s">
        <v>43</v>
      </c>
      <c r="D48" s="35">
        <v>1989</v>
      </c>
      <c r="E48" s="35" t="s">
        <v>39</v>
      </c>
      <c r="F48" s="33" t="s">
        <v>48</v>
      </c>
      <c r="G48" s="36">
        <v>5</v>
      </c>
      <c r="H48" s="36">
        <v>4</v>
      </c>
      <c r="I48" s="37">
        <v>3947.1999999999998</v>
      </c>
      <c r="J48" s="37">
        <v>2813.4000000000001</v>
      </c>
      <c r="K48" s="37">
        <v>1942.5</v>
      </c>
      <c r="L48" s="38">
        <v>133</v>
      </c>
      <c r="M48" s="39">
        <f t="shared" si="0"/>
        <v>9222817.9900000002</v>
      </c>
      <c r="N48" s="37">
        <v>0</v>
      </c>
      <c r="O48" s="37">
        <v>0</v>
      </c>
      <c r="P48" s="37">
        <v>0</v>
      </c>
      <c r="Q48" s="40">
        <f>'Таблица 3 '!C38</f>
        <v>9222817.9900000002</v>
      </c>
      <c r="R48" s="37">
        <f t="shared" si="1"/>
        <v>9222817.9900000002</v>
      </c>
      <c r="S48" s="37">
        <v>0</v>
      </c>
      <c r="T48" s="37">
        <f t="shared" si="2"/>
        <v>3278.1751581716071</v>
      </c>
      <c r="U48" s="37">
        <f t="shared" si="3"/>
        <v>3278.1751581716071</v>
      </c>
      <c r="V48" s="41" t="s">
        <v>45</v>
      </c>
      <c r="W48" s="31"/>
    </row>
    <row r="49" s="31" customFormat="1" ht="44.25" customHeight="1">
      <c r="A49" s="33">
        <v>28</v>
      </c>
      <c r="B49" s="34" t="s">
        <v>81</v>
      </c>
      <c r="C49" s="33" t="s">
        <v>43</v>
      </c>
      <c r="D49" s="35">
        <v>1990</v>
      </c>
      <c r="E49" s="35" t="s">
        <v>39</v>
      </c>
      <c r="F49" s="33" t="s">
        <v>48</v>
      </c>
      <c r="G49" s="36">
        <v>5</v>
      </c>
      <c r="H49" s="36">
        <v>4</v>
      </c>
      <c r="I49" s="37">
        <v>3897.4000000000001</v>
      </c>
      <c r="J49" s="37">
        <v>2832.3000000000002</v>
      </c>
      <c r="K49" s="37">
        <v>2023.8</v>
      </c>
      <c r="L49" s="38">
        <v>129</v>
      </c>
      <c r="M49" s="39">
        <f t="shared" si="0"/>
        <v>15219489.770000001</v>
      </c>
      <c r="N49" s="37">
        <v>0</v>
      </c>
      <c r="O49" s="37">
        <v>0</v>
      </c>
      <c r="P49" s="37">
        <v>0</v>
      </c>
      <c r="Q49" s="40">
        <f>'Таблица 3 '!C39</f>
        <v>15219489.770000001</v>
      </c>
      <c r="R49" s="37">
        <f t="shared" si="1"/>
        <v>15219489.770000001</v>
      </c>
      <c r="S49" s="37">
        <v>0</v>
      </c>
      <c r="T49" s="37">
        <f t="shared" si="2"/>
        <v>5373.544387953254</v>
      </c>
      <c r="U49" s="37">
        <f t="shared" si="3"/>
        <v>5373.544387953254</v>
      </c>
      <c r="V49" s="41" t="s">
        <v>45</v>
      </c>
      <c r="W49" s="31"/>
    </row>
    <row r="50" s="31" customFormat="1" ht="44.25" customHeight="1">
      <c r="A50" s="33">
        <v>29</v>
      </c>
      <c r="B50" s="50" t="s">
        <v>82</v>
      </c>
      <c r="C50" s="33" t="s">
        <v>43</v>
      </c>
      <c r="D50" s="35" t="s">
        <v>83</v>
      </c>
      <c r="E50" s="35" t="s">
        <v>39</v>
      </c>
      <c r="F50" s="33" t="s">
        <v>44</v>
      </c>
      <c r="G50" s="36">
        <v>9</v>
      </c>
      <c r="H50" s="36">
        <v>1</v>
      </c>
      <c r="I50" s="37">
        <v>2485.5</v>
      </c>
      <c r="J50" s="37">
        <v>2402.0999999999999</v>
      </c>
      <c r="K50" s="37">
        <v>2198.9000000000001</v>
      </c>
      <c r="L50" s="38">
        <v>98</v>
      </c>
      <c r="M50" s="39">
        <f t="shared" si="0"/>
        <v>2438379.8000000003</v>
      </c>
      <c r="N50" s="37">
        <v>0</v>
      </c>
      <c r="O50" s="37">
        <v>0</v>
      </c>
      <c r="P50" s="37">
        <v>0</v>
      </c>
      <c r="Q50" s="40">
        <f>'Таблица 3 '!C40</f>
        <v>2438379.8000000003</v>
      </c>
      <c r="R50" s="37">
        <f t="shared" si="1"/>
        <v>2438379.8000000003</v>
      </c>
      <c r="S50" s="37">
        <v>0</v>
      </c>
      <c r="T50" s="37">
        <f t="shared" si="2"/>
        <v>1015.1033678864328</v>
      </c>
      <c r="U50" s="37">
        <f t="shared" si="3"/>
        <v>1015.1033678864328</v>
      </c>
      <c r="V50" s="41" t="s">
        <v>45</v>
      </c>
      <c r="W50" s="31"/>
    </row>
    <row r="51" s="31" customFormat="1" ht="44.25" customHeight="1">
      <c r="A51" s="33">
        <v>30</v>
      </c>
      <c r="B51" s="50" t="s">
        <v>84</v>
      </c>
      <c r="C51" s="33" t="s">
        <v>85</v>
      </c>
      <c r="D51" s="35" t="s">
        <v>86</v>
      </c>
      <c r="E51" s="35" t="s">
        <v>39</v>
      </c>
      <c r="F51" s="33" t="s">
        <v>48</v>
      </c>
      <c r="G51" s="36">
        <v>5</v>
      </c>
      <c r="H51" s="36">
        <v>9</v>
      </c>
      <c r="I51" s="37">
        <v>6714.1000000000004</v>
      </c>
      <c r="J51" s="37">
        <v>6723</v>
      </c>
      <c r="K51" s="37">
        <v>6505.8999999999996</v>
      </c>
      <c r="L51" s="38">
        <v>285</v>
      </c>
      <c r="M51" s="39">
        <f t="shared" si="0"/>
        <v>2126097.6099999999</v>
      </c>
      <c r="N51" s="37">
        <v>0</v>
      </c>
      <c r="O51" s="37">
        <v>0</v>
      </c>
      <c r="P51" s="37">
        <v>0</v>
      </c>
      <c r="Q51" s="40">
        <f>'Таблица 3 '!C41</f>
        <v>2126097.6099999999</v>
      </c>
      <c r="R51" s="37">
        <f t="shared" si="1"/>
        <v>2126097.6099999999</v>
      </c>
      <c r="S51" s="37">
        <v>0</v>
      </c>
      <c r="T51" s="37">
        <f t="shared" si="2"/>
        <v>316.2423932768109</v>
      </c>
      <c r="U51" s="37">
        <f t="shared" si="3"/>
        <v>316.2423932768109</v>
      </c>
      <c r="V51" s="41" t="s">
        <v>45</v>
      </c>
      <c r="W51" s="31"/>
    </row>
    <row r="52" s="31" customFormat="1" ht="44.25" customHeight="1">
      <c r="A52" s="33">
        <v>31</v>
      </c>
      <c r="B52" s="50" t="s">
        <v>87</v>
      </c>
      <c r="C52" s="33" t="s">
        <v>43</v>
      </c>
      <c r="D52" s="35" t="s">
        <v>88</v>
      </c>
      <c r="E52" s="35" t="s">
        <v>47</v>
      </c>
      <c r="F52" s="33" t="s">
        <v>48</v>
      </c>
      <c r="G52" s="36">
        <v>10</v>
      </c>
      <c r="H52" s="36">
        <v>6</v>
      </c>
      <c r="I52" s="37">
        <v>19831</v>
      </c>
      <c r="J52" s="37">
        <v>14546.1</v>
      </c>
      <c r="K52" s="37">
        <v>14546.1</v>
      </c>
      <c r="L52" s="38">
        <v>605</v>
      </c>
      <c r="M52" s="39">
        <f t="shared" si="0"/>
        <v>12828640.93</v>
      </c>
      <c r="N52" s="37">
        <v>0</v>
      </c>
      <c r="O52" s="37">
        <v>0</v>
      </c>
      <c r="P52" s="37">
        <v>0</v>
      </c>
      <c r="Q52" s="40">
        <f>'Таблица 3 '!C42</f>
        <v>12828640.93</v>
      </c>
      <c r="R52" s="37">
        <f t="shared" si="1"/>
        <v>12828640.93</v>
      </c>
      <c r="S52" s="37">
        <v>0</v>
      </c>
      <c r="T52" s="37">
        <f t="shared" si="2"/>
        <v>881.92992829693173</v>
      </c>
      <c r="U52" s="37">
        <f t="shared" si="3"/>
        <v>881.92992829693173</v>
      </c>
      <c r="V52" s="41" t="s">
        <v>45</v>
      </c>
      <c r="W52" s="31"/>
    </row>
    <row r="53" s="47" customFormat="1" ht="44.25" customHeight="1">
      <c r="A53" s="33">
        <v>32</v>
      </c>
      <c r="B53" s="50" t="s">
        <v>89</v>
      </c>
      <c r="C53" s="43" t="s">
        <v>90</v>
      </c>
      <c r="D53" s="35" t="s">
        <v>91</v>
      </c>
      <c r="E53" s="44" t="s">
        <v>39</v>
      </c>
      <c r="F53" s="33" t="s">
        <v>48</v>
      </c>
      <c r="G53" s="45">
        <v>10</v>
      </c>
      <c r="H53" s="36">
        <v>3</v>
      </c>
      <c r="I53" s="46">
        <v>7240.3000000000002</v>
      </c>
      <c r="J53" s="37">
        <v>7240.3000000000002</v>
      </c>
      <c r="K53" s="46">
        <v>7240.3000000000002</v>
      </c>
      <c r="L53" s="38">
        <v>273</v>
      </c>
      <c r="M53" s="39">
        <f t="shared" si="0"/>
        <v>8751660</v>
      </c>
      <c r="N53" s="46">
        <v>0</v>
      </c>
      <c r="O53" s="37">
        <v>0</v>
      </c>
      <c r="P53" s="46">
        <v>0</v>
      </c>
      <c r="Q53" s="40">
        <f>'Таблица 3 '!C43</f>
        <v>8751660</v>
      </c>
      <c r="R53" s="46">
        <f t="shared" si="1"/>
        <v>8751660</v>
      </c>
      <c r="S53" s="37">
        <v>0</v>
      </c>
      <c r="T53" s="46">
        <f t="shared" si="2"/>
        <v>1208.7427316547657</v>
      </c>
      <c r="U53" s="37">
        <f t="shared" si="3"/>
        <v>1208.7427316547657</v>
      </c>
      <c r="V53" s="41" t="s">
        <v>45</v>
      </c>
      <c r="W53" s="47"/>
    </row>
    <row r="54" s="31" customFormat="1" ht="44.25" customHeight="1">
      <c r="A54" s="33">
        <v>33</v>
      </c>
      <c r="B54" s="34" t="s">
        <v>92</v>
      </c>
      <c r="C54" s="33" t="s">
        <v>43</v>
      </c>
      <c r="D54" s="35" t="s">
        <v>93</v>
      </c>
      <c r="E54" s="35" t="s">
        <v>39</v>
      </c>
      <c r="F54" s="33" t="s">
        <v>44</v>
      </c>
      <c r="G54" s="36">
        <v>2</v>
      </c>
      <c r="H54" s="36">
        <v>1</v>
      </c>
      <c r="I54" s="37">
        <v>322.30000000000001</v>
      </c>
      <c r="J54" s="37">
        <v>322.30000000000001</v>
      </c>
      <c r="K54" s="37">
        <v>213.5</v>
      </c>
      <c r="L54" s="38">
        <v>16</v>
      </c>
      <c r="M54" s="39">
        <f t="shared" si="0"/>
        <v>265575.20000000001</v>
      </c>
      <c r="N54" s="37">
        <v>0</v>
      </c>
      <c r="O54" s="37">
        <v>0</v>
      </c>
      <c r="P54" s="37">
        <v>0</v>
      </c>
      <c r="Q54" s="40">
        <f>'Таблица 3 '!C44</f>
        <v>265575.20000000001</v>
      </c>
      <c r="R54" s="37">
        <f t="shared" si="1"/>
        <v>265575.20000000001</v>
      </c>
      <c r="S54" s="37">
        <v>0</v>
      </c>
      <c r="T54" s="37">
        <f t="shared" si="2"/>
        <v>824</v>
      </c>
      <c r="U54" s="37">
        <f t="shared" si="3"/>
        <v>824</v>
      </c>
      <c r="V54" s="41" t="s">
        <v>45</v>
      </c>
      <c r="W54" s="31"/>
    </row>
    <row r="55" s="31" customFormat="1" ht="44.25" customHeight="1">
      <c r="A55" s="33">
        <v>34</v>
      </c>
      <c r="B55" s="34" t="s">
        <v>94</v>
      </c>
      <c r="C55" s="33" t="s">
        <v>43</v>
      </c>
      <c r="D55" s="33">
        <v>1991</v>
      </c>
      <c r="E55" s="35" t="s">
        <v>39</v>
      </c>
      <c r="F55" s="33" t="s">
        <v>48</v>
      </c>
      <c r="G55" s="36">
        <v>10</v>
      </c>
      <c r="H55" s="36">
        <v>3</v>
      </c>
      <c r="I55" s="37">
        <v>7213.1999999999998</v>
      </c>
      <c r="J55" s="37">
        <v>5771.3999999999996</v>
      </c>
      <c r="K55" s="37">
        <v>0</v>
      </c>
      <c r="L55" s="38">
        <v>20</v>
      </c>
      <c r="M55" s="39">
        <f t="shared" si="0"/>
        <v>6058818.71</v>
      </c>
      <c r="N55" s="37">
        <v>0</v>
      </c>
      <c r="O55" s="37">
        <v>0</v>
      </c>
      <c r="P55" s="37">
        <v>0</v>
      </c>
      <c r="Q55" s="40">
        <f>'Таблица 3 '!C45</f>
        <v>6058818.71</v>
      </c>
      <c r="R55" s="37">
        <f t="shared" si="1"/>
        <v>6058818.71</v>
      </c>
      <c r="S55" s="37">
        <v>0</v>
      </c>
      <c r="T55" s="37">
        <f t="shared" si="2"/>
        <v>1049.8005180718717</v>
      </c>
      <c r="U55" s="37">
        <f t="shared" si="3"/>
        <v>1049.8005180718717</v>
      </c>
      <c r="V55" s="41" t="s">
        <v>45</v>
      </c>
      <c r="W55" s="31"/>
    </row>
    <row r="56" s="31" customFormat="1" ht="44.25" customHeight="1">
      <c r="A56" s="33">
        <v>35</v>
      </c>
      <c r="B56" s="34" t="s">
        <v>95</v>
      </c>
      <c r="C56" s="33" t="s">
        <v>43</v>
      </c>
      <c r="D56" s="33">
        <v>2011</v>
      </c>
      <c r="E56" s="35" t="s">
        <v>39</v>
      </c>
      <c r="F56" s="33" t="s">
        <v>48</v>
      </c>
      <c r="G56" s="36">
        <v>5</v>
      </c>
      <c r="H56" s="36">
        <v>5</v>
      </c>
      <c r="I56" s="37">
        <v>8137</v>
      </c>
      <c r="J56" s="37">
        <v>5829.1000000000004</v>
      </c>
      <c r="K56" s="37">
        <v>0</v>
      </c>
      <c r="L56" s="38">
        <v>2</v>
      </c>
      <c r="M56" s="39">
        <f t="shared" si="0"/>
        <v>1301702.3999999999</v>
      </c>
      <c r="N56" s="37">
        <v>0</v>
      </c>
      <c r="O56" s="37">
        <v>0</v>
      </c>
      <c r="P56" s="37">
        <v>0</v>
      </c>
      <c r="Q56" s="40">
        <f>'Таблица 3 '!C46</f>
        <v>1301702.3999999999</v>
      </c>
      <c r="R56" s="37">
        <f t="shared" si="1"/>
        <v>1301702.3999999999</v>
      </c>
      <c r="S56" s="37">
        <v>0</v>
      </c>
      <c r="T56" s="37">
        <f t="shared" si="2"/>
        <v>223.31104287111214</v>
      </c>
      <c r="U56" s="37">
        <f t="shared" si="3"/>
        <v>223.31104287111214</v>
      </c>
      <c r="V56" s="41" t="s">
        <v>45</v>
      </c>
      <c r="W56" s="31"/>
    </row>
    <row r="57" s="31" customFormat="1" ht="44.25" customHeight="1">
      <c r="A57" s="33">
        <v>36</v>
      </c>
      <c r="B57" s="49" t="s">
        <v>96</v>
      </c>
      <c r="C57" s="33" t="s">
        <v>43</v>
      </c>
      <c r="D57" s="33">
        <v>1984</v>
      </c>
      <c r="E57" s="35" t="s">
        <v>39</v>
      </c>
      <c r="F57" s="33" t="s">
        <v>48</v>
      </c>
      <c r="G57" s="36">
        <v>5</v>
      </c>
      <c r="H57" s="36">
        <v>4</v>
      </c>
      <c r="I57" s="37">
        <v>7213</v>
      </c>
      <c r="J57" s="37">
        <v>2963.5</v>
      </c>
      <c r="K57" s="37">
        <v>0</v>
      </c>
      <c r="L57" s="38">
        <v>20</v>
      </c>
      <c r="M57" s="39">
        <f t="shared" si="0"/>
        <v>2742180</v>
      </c>
      <c r="N57" s="37">
        <v>0</v>
      </c>
      <c r="O57" s="37">
        <v>0</v>
      </c>
      <c r="P57" s="37">
        <v>0</v>
      </c>
      <c r="Q57" s="40">
        <f>'Таблица 3 '!C47</f>
        <v>2742180</v>
      </c>
      <c r="R57" s="37">
        <f t="shared" si="1"/>
        <v>2742180</v>
      </c>
      <c r="S57" s="37">
        <v>0</v>
      </c>
      <c r="T57" s="37">
        <f t="shared" si="2"/>
        <v>925.3180361059558</v>
      </c>
      <c r="U57" s="37">
        <f t="shared" si="3"/>
        <v>925.3180361059558</v>
      </c>
      <c r="V57" s="41" t="s">
        <v>45</v>
      </c>
      <c r="W57" s="31"/>
    </row>
    <row r="58" s="31" customFormat="1" ht="44.25" customHeight="1">
      <c r="A58" s="33">
        <v>37</v>
      </c>
      <c r="B58" s="49" t="s">
        <v>97</v>
      </c>
      <c r="C58" s="33" t="s">
        <v>43</v>
      </c>
      <c r="D58" s="33">
        <v>1952</v>
      </c>
      <c r="E58" s="35" t="s">
        <v>39</v>
      </c>
      <c r="F58" s="33" t="s">
        <v>48</v>
      </c>
      <c r="G58" s="36">
        <v>2</v>
      </c>
      <c r="H58" s="36">
        <v>1</v>
      </c>
      <c r="I58" s="37">
        <v>546</v>
      </c>
      <c r="J58" s="37">
        <v>385.10000000000002</v>
      </c>
      <c r="K58" s="37">
        <v>0</v>
      </c>
      <c r="L58" s="38">
        <v>12</v>
      </c>
      <c r="M58" s="39">
        <f t="shared" si="0"/>
        <v>473467.07999999996</v>
      </c>
      <c r="N58" s="37">
        <v>0</v>
      </c>
      <c r="O58" s="37">
        <v>0</v>
      </c>
      <c r="P58" s="37">
        <v>0</v>
      </c>
      <c r="Q58" s="40">
        <f>'Таблица 3 '!C48</f>
        <v>473467.07999999996</v>
      </c>
      <c r="R58" s="37">
        <f t="shared" si="1"/>
        <v>473467.07999999996</v>
      </c>
      <c r="S58" s="37">
        <v>0</v>
      </c>
      <c r="T58" s="37">
        <f t="shared" si="2"/>
        <v>1229.4652817450012</v>
      </c>
      <c r="U58" s="37">
        <f t="shared" si="3"/>
        <v>1229.4652817450012</v>
      </c>
      <c r="V58" s="41" t="s">
        <v>45</v>
      </c>
      <c r="W58" s="31"/>
    </row>
    <row r="59" s="31" customFormat="1" ht="44.25" customHeight="1">
      <c r="A59" s="33">
        <v>38</v>
      </c>
      <c r="B59" s="49" t="s">
        <v>98</v>
      </c>
      <c r="C59" s="33" t="s">
        <v>43</v>
      </c>
      <c r="D59" s="33">
        <v>1952</v>
      </c>
      <c r="E59" s="35" t="s">
        <v>39</v>
      </c>
      <c r="F59" s="33" t="s">
        <v>48</v>
      </c>
      <c r="G59" s="36">
        <v>2</v>
      </c>
      <c r="H59" s="36">
        <v>1</v>
      </c>
      <c r="I59" s="37">
        <v>389</v>
      </c>
      <c r="J59" s="37">
        <v>389</v>
      </c>
      <c r="K59" s="37">
        <v>0</v>
      </c>
      <c r="L59" s="38">
        <v>2</v>
      </c>
      <c r="M59" s="39">
        <f t="shared" si="0"/>
        <v>423649.33000000002</v>
      </c>
      <c r="N59" s="37">
        <v>0</v>
      </c>
      <c r="O59" s="37">
        <v>0</v>
      </c>
      <c r="P59" s="37">
        <v>0</v>
      </c>
      <c r="Q59" s="40">
        <f>'Таблица 3 '!C49</f>
        <v>423649.33000000002</v>
      </c>
      <c r="R59" s="37">
        <f t="shared" si="1"/>
        <v>423649.33000000002</v>
      </c>
      <c r="S59" s="37">
        <v>0</v>
      </c>
      <c r="T59" s="37">
        <f t="shared" si="2"/>
        <v>1089.0728277634962</v>
      </c>
      <c r="U59" s="37">
        <f t="shared" si="3"/>
        <v>1089.0728277634962</v>
      </c>
      <c r="V59" s="41" t="s">
        <v>45</v>
      </c>
      <c r="W59" s="31"/>
    </row>
    <row r="60" s="31" customFormat="1" ht="44.25" customHeight="1">
      <c r="A60" s="33">
        <v>39</v>
      </c>
      <c r="B60" s="49" t="s">
        <v>99</v>
      </c>
      <c r="C60" s="33" t="s">
        <v>43</v>
      </c>
      <c r="D60" s="33">
        <v>1952</v>
      </c>
      <c r="E60" s="35" t="s">
        <v>39</v>
      </c>
      <c r="F60" s="33" t="s">
        <v>48</v>
      </c>
      <c r="G60" s="36">
        <v>2</v>
      </c>
      <c r="H60" s="36">
        <v>1</v>
      </c>
      <c r="I60" s="37">
        <v>426.60000000000002</v>
      </c>
      <c r="J60" s="37">
        <v>391</v>
      </c>
      <c r="K60" s="37">
        <v>0</v>
      </c>
      <c r="L60" s="38">
        <v>2</v>
      </c>
      <c r="M60" s="39">
        <f t="shared" si="0"/>
        <v>426814.43000000005</v>
      </c>
      <c r="N60" s="37">
        <v>0</v>
      </c>
      <c r="O60" s="37">
        <v>0</v>
      </c>
      <c r="P60" s="37">
        <v>0</v>
      </c>
      <c r="Q60" s="40">
        <f>'Таблица 3 '!C50</f>
        <v>426814.43000000005</v>
      </c>
      <c r="R60" s="37">
        <f t="shared" si="1"/>
        <v>426814.43000000005</v>
      </c>
      <c r="S60" s="37">
        <v>0</v>
      </c>
      <c r="T60" s="37">
        <f t="shared" si="2"/>
        <v>1091.5970076726344</v>
      </c>
      <c r="U60" s="37">
        <f t="shared" si="3"/>
        <v>1091.5970076726344</v>
      </c>
      <c r="V60" s="41" t="s">
        <v>45</v>
      </c>
      <c r="W60" s="31"/>
    </row>
    <row r="61" s="31" customFormat="1" ht="44.25" customHeight="1">
      <c r="A61" s="33">
        <v>40</v>
      </c>
      <c r="B61" s="49" t="s">
        <v>100</v>
      </c>
      <c r="C61" s="33" t="s">
        <v>43</v>
      </c>
      <c r="D61" s="33">
        <v>1965</v>
      </c>
      <c r="E61" s="35" t="s">
        <v>39</v>
      </c>
      <c r="F61" s="33" t="s">
        <v>48</v>
      </c>
      <c r="G61" s="36">
        <v>2</v>
      </c>
      <c r="H61" s="36">
        <v>2</v>
      </c>
      <c r="I61" s="37">
        <v>162.09999999999999</v>
      </c>
      <c r="J61" s="37">
        <v>637.89999999999998</v>
      </c>
      <c r="K61" s="37">
        <v>0</v>
      </c>
      <c r="L61" s="38">
        <v>2</v>
      </c>
      <c r="M61" s="39">
        <f t="shared" si="0"/>
        <v>487666.59999999998</v>
      </c>
      <c r="N61" s="37">
        <v>0</v>
      </c>
      <c r="O61" s="37">
        <v>0</v>
      </c>
      <c r="P61" s="37">
        <v>0</v>
      </c>
      <c r="Q61" s="40">
        <f>'Таблица 3 '!C51</f>
        <v>487666.59999999998</v>
      </c>
      <c r="R61" s="37">
        <f t="shared" si="1"/>
        <v>487666.59999999998</v>
      </c>
      <c r="S61" s="37">
        <v>0</v>
      </c>
      <c r="T61" s="37">
        <f t="shared" si="2"/>
        <v>764.48753723154095</v>
      </c>
      <c r="U61" s="37">
        <f t="shared" si="3"/>
        <v>764.48753723154095</v>
      </c>
      <c r="V61" s="41" t="s">
        <v>45</v>
      </c>
      <c r="W61" s="31"/>
    </row>
    <row r="62" s="31" customFormat="1" ht="44.25" customHeight="1">
      <c r="A62" s="33">
        <v>41</v>
      </c>
      <c r="B62" s="49" t="s">
        <v>101</v>
      </c>
      <c r="C62" s="33" t="s">
        <v>43</v>
      </c>
      <c r="D62" s="33">
        <v>1972</v>
      </c>
      <c r="E62" s="35" t="s">
        <v>39</v>
      </c>
      <c r="F62" s="33" t="s">
        <v>48</v>
      </c>
      <c r="G62" s="36">
        <v>2</v>
      </c>
      <c r="H62" s="36">
        <v>2</v>
      </c>
      <c r="I62" s="37">
        <v>589</v>
      </c>
      <c r="J62" s="37">
        <v>633.29999999999995</v>
      </c>
      <c r="K62" s="37">
        <v>0</v>
      </c>
      <c r="L62" s="38">
        <v>2</v>
      </c>
      <c r="M62" s="39">
        <f t="shared" si="0"/>
        <v>478271.47999999998</v>
      </c>
      <c r="N62" s="37">
        <v>0</v>
      </c>
      <c r="O62" s="37">
        <v>0</v>
      </c>
      <c r="P62" s="37">
        <v>0</v>
      </c>
      <c r="Q62" s="40">
        <f>'Таблица 3 '!C52</f>
        <v>478271.47999999998</v>
      </c>
      <c r="R62" s="37">
        <f t="shared" si="1"/>
        <v>478271.47999999998</v>
      </c>
      <c r="S62" s="37">
        <v>0</v>
      </c>
      <c r="T62" s="37">
        <f t="shared" si="2"/>
        <v>755.20524238117798</v>
      </c>
      <c r="U62" s="37">
        <f t="shared" si="3"/>
        <v>755.20524238117798</v>
      </c>
      <c r="V62" s="41" t="s">
        <v>45</v>
      </c>
      <c r="W62" s="31"/>
    </row>
    <row r="63" s="31" customFormat="1" ht="44.25" customHeight="1">
      <c r="A63" s="33">
        <v>42</v>
      </c>
      <c r="B63" s="49" t="s">
        <v>102</v>
      </c>
      <c r="C63" s="33" t="s">
        <v>43</v>
      </c>
      <c r="D63" s="33">
        <v>1978</v>
      </c>
      <c r="E63" s="35" t="s">
        <v>39</v>
      </c>
      <c r="F63" s="33" t="s">
        <v>48</v>
      </c>
      <c r="G63" s="36">
        <v>2</v>
      </c>
      <c r="H63" s="36">
        <v>2</v>
      </c>
      <c r="I63" s="37">
        <v>698</v>
      </c>
      <c r="J63" s="37">
        <v>738</v>
      </c>
      <c r="K63" s="37">
        <v>0</v>
      </c>
      <c r="L63" s="38">
        <v>2</v>
      </c>
      <c r="M63" s="39">
        <f t="shared" si="0"/>
        <v>559664</v>
      </c>
      <c r="N63" s="37">
        <v>0</v>
      </c>
      <c r="O63" s="37">
        <v>0</v>
      </c>
      <c r="P63" s="37">
        <v>0</v>
      </c>
      <c r="Q63" s="40">
        <f>'Таблица 3 '!C53</f>
        <v>559664</v>
      </c>
      <c r="R63" s="37">
        <f t="shared" si="1"/>
        <v>559664</v>
      </c>
      <c r="S63" s="37">
        <v>0</v>
      </c>
      <c r="T63" s="37">
        <f t="shared" si="2"/>
        <v>758.35230352303518</v>
      </c>
      <c r="U63" s="37">
        <f t="shared" si="3"/>
        <v>758.35230352303518</v>
      </c>
      <c r="V63" s="41" t="s">
        <v>45</v>
      </c>
      <c r="W63" s="31"/>
    </row>
    <row r="64" s="31" customFormat="1" ht="44.25" customHeight="1">
      <c r="A64" s="33">
        <v>43</v>
      </c>
      <c r="B64" s="34" t="s">
        <v>103</v>
      </c>
      <c r="C64" s="33" t="s">
        <v>43</v>
      </c>
      <c r="D64" s="35" t="s">
        <v>104</v>
      </c>
      <c r="E64" s="35" t="s">
        <v>39</v>
      </c>
      <c r="F64" s="33" t="s">
        <v>48</v>
      </c>
      <c r="G64" s="36">
        <v>5</v>
      </c>
      <c r="H64" s="36">
        <v>6</v>
      </c>
      <c r="I64" s="37">
        <v>4143.5</v>
      </c>
      <c r="J64" s="37">
        <v>4156.1999999999998</v>
      </c>
      <c r="K64" s="37">
        <v>3763.6999999999998</v>
      </c>
      <c r="L64" s="38">
        <v>198</v>
      </c>
      <c r="M64" s="39">
        <f t="shared" si="0"/>
        <v>34052018.460000001</v>
      </c>
      <c r="N64" s="37">
        <v>0</v>
      </c>
      <c r="O64" s="37">
        <v>0</v>
      </c>
      <c r="P64" s="37">
        <v>0</v>
      </c>
      <c r="Q64" s="40">
        <f>'Таблица 3 '!C54</f>
        <v>34052018.460000001</v>
      </c>
      <c r="R64" s="37">
        <f t="shared" si="1"/>
        <v>34052018.460000001</v>
      </c>
      <c r="S64" s="37">
        <v>0</v>
      </c>
      <c r="T64" s="37">
        <f t="shared" si="2"/>
        <v>8193.065410711708</v>
      </c>
      <c r="U64" s="37">
        <f t="shared" si="3"/>
        <v>8193.065410711708</v>
      </c>
      <c r="V64" s="41" t="s">
        <v>45</v>
      </c>
      <c r="W64" s="31"/>
    </row>
    <row r="65" s="31" customFormat="1" ht="44.25" customHeight="1">
      <c r="A65" s="33">
        <v>44</v>
      </c>
      <c r="B65" s="34" t="s">
        <v>105</v>
      </c>
      <c r="C65" s="33" t="s">
        <v>43</v>
      </c>
      <c r="D65" s="35" t="s">
        <v>106</v>
      </c>
      <c r="E65" s="35" t="s">
        <v>39</v>
      </c>
      <c r="F65" s="33" t="s">
        <v>44</v>
      </c>
      <c r="G65" s="36">
        <v>5</v>
      </c>
      <c r="H65" s="36">
        <v>3</v>
      </c>
      <c r="I65" s="37">
        <v>2776</v>
      </c>
      <c r="J65" s="37">
        <v>2757.5999999999999</v>
      </c>
      <c r="K65" s="37">
        <v>2632.8000000000002</v>
      </c>
      <c r="L65" s="38">
        <v>144</v>
      </c>
      <c r="M65" s="39">
        <f t="shared" si="0"/>
        <v>9410331.0999999996</v>
      </c>
      <c r="N65" s="37">
        <v>0</v>
      </c>
      <c r="O65" s="37">
        <v>0</v>
      </c>
      <c r="P65" s="37">
        <v>0</v>
      </c>
      <c r="Q65" s="40">
        <f>'Таблица 3 '!C55</f>
        <v>9410331.0999999996</v>
      </c>
      <c r="R65" s="37">
        <f t="shared" si="1"/>
        <v>9410331.0999999996</v>
      </c>
      <c r="S65" s="37">
        <v>0</v>
      </c>
      <c r="T65" s="37">
        <f t="shared" si="2"/>
        <v>3412.5076515810852</v>
      </c>
      <c r="U65" s="37">
        <f t="shared" si="3"/>
        <v>3412.5076515810852</v>
      </c>
      <c r="V65" s="41" t="s">
        <v>45</v>
      </c>
      <c r="W65" s="31"/>
    </row>
    <row r="66" s="31" customFormat="1" ht="44.25" customHeight="1">
      <c r="A66" s="33">
        <v>45</v>
      </c>
      <c r="B66" s="34" t="s">
        <v>107</v>
      </c>
      <c r="C66" s="33" t="s">
        <v>43</v>
      </c>
      <c r="D66" s="33">
        <v>1956</v>
      </c>
      <c r="E66" s="35" t="s">
        <v>39</v>
      </c>
      <c r="F66" s="33" t="s">
        <v>44</v>
      </c>
      <c r="G66" s="36">
        <v>2</v>
      </c>
      <c r="H66" s="36">
        <v>1</v>
      </c>
      <c r="I66" s="37">
        <v>368.10000000000002</v>
      </c>
      <c r="J66" s="37">
        <v>336.19999999999999</v>
      </c>
      <c r="K66" s="37">
        <v>368.89999999999998</v>
      </c>
      <c r="L66" s="38">
        <v>12</v>
      </c>
      <c r="M66" s="39">
        <f t="shared" si="0"/>
        <v>166822.20999999999</v>
      </c>
      <c r="N66" s="37">
        <v>0</v>
      </c>
      <c r="O66" s="37">
        <v>0</v>
      </c>
      <c r="P66" s="37">
        <v>0</v>
      </c>
      <c r="Q66" s="40">
        <f>'Таблица 3 '!C56</f>
        <v>166822.20999999999</v>
      </c>
      <c r="R66" s="37">
        <f t="shared" si="1"/>
        <v>166822.20999999999</v>
      </c>
      <c r="S66" s="37">
        <v>0</v>
      </c>
      <c r="T66" s="37">
        <f t="shared" si="2"/>
        <v>496.19931588340273</v>
      </c>
      <c r="U66" s="37">
        <f t="shared" si="3"/>
        <v>496.19931588340273</v>
      </c>
      <c r="V66" s="41" t="s">
        <v>45</v>
      </c>
      <c r="W66" s="31"/>
    </row>
    <row r="67" s="31" customFormat="1" ht="44.25" customHeight="1">
      <c r="A67" s="33">
        <v>46</v>
      </c>
      <c r="B67" s="34" t="s">
        <v>108</v>
      </c>
      <c r="C67" s="33" t="s">
        <v>43</v>
      </c>
      <c r="D67" s="35" t="s">
        <v>109</v>
      </c>
      <c r="E67" s="35" t="s">
        <v>63</v>
      </c>
      <c r="F67" s="33" t="s">
        <v>44</v>
      </c>
      <c r="G67" s="36">
        <v>9</v>
      </c>
      <c r="H67" s="36">
        <v>1</v>
      </c>
      <c r="I67" s="37">
        <v>4246.6000000000004</v>
      </c>
      <c r="J67" s="37">
        <v>4020.8000000000002</v>
      </c>
      <c r="K67" s="37">
        <v>3025.6999999999998</v>
      </c>
      <c r="L67" s="38">
        <v>139</v>
      </c>
      <c r="M67" s="39">
        <f t="shared" si="0"/>
        <v>3206846.21</v>
      </c>
      <c r="N67" s="37">
        <v>0</v>
      </c>
      <c r="O67" s="37">
        <v>0</v>
      </c>
      <c r="P67" s="37">
        <v>0</v>
      </c>
      <c r="Q67" s="40">
        <f>'Таблица 3 '!C57</f>
        <v>3206846.21</v>
      </c>
      <c r="R67" s="37">
        <f t="shared" si="1"/>
        <v>3206846.21</v>
      </c>
      <c r="S67" s="37">
        <v>0</v>
      </c>
      <c r="T67" s="37">
        <f t="shared" si="2"/>
        <v>797.56421856346992</v>
      </c>
      <c r="U67" s="37">
        <f t="shared" si="3"/>
        <v>797.56421856346992</v>
      </c>
      <c r="V67" s="41" t="s">
        <v>45</v>
      </c>
      <c r="W67" s="31"/>
    </row>
    <row r="68" s="31" customFormat="1" ht="44.25" customHeight="1">
      <c r="A68" s="33">
        <v>47</v>
      </c>
      <c r="B68" s="34" t="s">
        <v>110</v>
      </c>
      <c r="C68" s="43" t="s">
        <v>43</v>
      </c>
      <c r="D68" s="33">
        <v>1992</v>
      </c>
      <c r="E68" s="44" t="s">
        <v>39</v>
      </c>
      <c r="F68" s="33" t="s">
        <v>48</v>
      </c>
      <c r="G68" s="45">
        <v>9</v>
      </c>
      <c r="H68" s="36">
        <v>2</v>
      </c>
      <c r="I68" s="46">
        <v>3528.1999999999998</v>
      </c>
      <c r="J68" s="37">
        <v>3528.1999999999998</v>
      </c>
      <c r="K68" s="46">
        <v>3528.1999999999998</v>
      </c>
      <c r="L68" s="38">
        <v>126</v>
      </c>
      <c r="M68" s="39">
        <f t="shared" si="0"/>
        <v>134171</v>
      </c>
      <c r="N68" s="46">
        <v>0</v>
      </c>
      <c r="O68" s="37">
        <v>0</v>
      </c>
      <c r="P68" s="46">
        <v>0</v>
      </c>
      <c r="Q68" s="40">
        <f>'Таблица 3 '!C58</f>
        <v>134171</v>
      </c>
      <c r="R68" s="46">
        <f t="shared" si="1"/>
        <v>134171</v>
      </c>
      <c r="S68" s="37">
        <v>0</v>
      </c>
      <c r="T68" s="46">
        <f t="shared" si="2"/>
        <v>38.028173006065416</v>
      </c>
      <c r="U68" s="37">
        <f t="shared" si="3"/>
        <v>38.028173006065416</v>
      </c>
      <c r="V68" s="41" t="s">
        <v>45</v>
      </c>
      <c r="W68" s="47"/>
    </row>
    <row r="69" s="31" customFormat="1" ht="44.25" customHeight="1">
      <c r="A69" s="33">
        <v>48</v>
      </c>
      <c r="B69" s="34" t="s">
        <v>111</v>
      </c>
      <c r="C69" s="33" t="s">
        <v>43</v>
      </c>
      <c r="D69" s="33">
        <v>1973</v>
      </c>
      <c r="E69" s="35" t="s">
        <v>57</v>
      </c>
      <c r="F69" s="33" t="s">
        <v>44</v>
      </c>
      <c r="G69" s="36">
        <v>2</v>
      </c>
      <c r="H69" s="36">
        <v>2</v>
      </c>
      <c r="I69" s="37">
        <v>744.5</v>
      </c>
      <c r="J69" s="37">
        <v>730.70000000000005</v>
      </c>
      <c r="K69" s="37">
        <v>646.10000000000002</v>
      </c>
      <c r="L69" s="38">
        <v>37</v>
      </c>
      <c r="M69" s="39">
        <f t="shared" si="0"/>
        <v>219362.54000000001</v>
      </c>
      <c r="N69" s="37">
        <v>0</v>
      </c>
      <c r="O69" s="37">
        <v>0</v>
      </c>
      <c r="P69" s="37">
        <v>0</v>
      </c>
      <c r="Q69" s="40">
        <f>'Таблица 3 '!C59</f>
        <v>219362.54000000001</v>
      </c>
      <c r="R69" s="37">
        <f t="shared" si="1"/>
        <v>219362.54000000001</v>
      </c>
      <c r="S69" s="37">
        <v>0</v>
      </c>
      <c r="T69" s="37">
        <f t="shared" si="2"/>
        <v>300.20875872451074</v>
      </c>
      <c r="U69" s="37">
        <f t="shared" si="3"/>
        <v>300.20875872451074</v>
      </c>
      <c r="V69" s="41" t="s">
        <v>45</v>
      </c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="31" customFormat="1" ht="44.25" customHeight="1">
      <c r="A70" s="33">
        <v>49</v>
      </c>
      <c r="B70" s="34" t="s">
        <v>112</v>
      </c>
      <c r="C70" s="43" t="s">
        <v>43</v>
      </c>
      <c r="D70" s="33">
        <v>1971</v>
      </c>
      <c r="E70" s="44" t="s">
        <v>39</v>
      </c>
      <c r="F70" s="33" t="s">
        <v>48</v>
      </c>
      <c r="G70" s="45">
        <v>2</v>
      </c>
      <c r="H70" s="36">
        <v>2</v>
      </c>
      <c r="I70" s="51">
        <v>653.20000000000005</v>
      </c>
      <c r="J70" s="40">
        <v>639.89999999999998</v>
      </c>
      <c r="K70" s="51">
        <v>357.80000000000001</v>
      </c>
      <c r="L70" s="48">
        <v>41</v>
      </c>
      <c r="M70" s="39">
        <f t="shared" si="0"/>
        <v>377981.09999999998</v>
      </c>
      <c r="N70" s="46">
        <v>0</v>
      </c>
      <c r="O70" s="37">
        <v>0</v>
      </c>
      <c r="P70" s="46">
        <v>0</v>
      </c>
      <c r="Q70" s="40">
        <f>'Таблица 3 '!C60</f>
        <v>377981.09999999998</v>
      </c>
      <c r="R70" s="46">
        <f t="shared" si="1"/>
        <v>377981.09999999998</v>
      </c>
      <c r="S70" s="40">
        <v>0</v>
      </c>
      <c r="T70" s="46">
        <f t="shared" si="2"/>
        <v>590.68776371308013</v>
      </c>
      <c r="U70" s="37">
        <f t="shared" si="3"/>
        <v>590.68776371308013</v>
      </c>
      <c r="V70" s="41" t="s">
        <v>45</v>
      </c>
      <c r="W70" s="47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="31" customFormat="1" ht="44.25" customHeight="1">
      <c r="A71" s="33">
        <v>50</v>
      </c>
      <c r="B71" s="42" t="s">
        <v>113</v>
      </c>
      <c r="C71" s="33" t="s">
        <v>90</v>
      </c>
      <c r="D71" s="35" t="s">
        <v>114</v>
      </c>
      <c r="E71" s="35" t="s">
        <v>39</v>
      </c>
      <c r="F71" s="33" t="s">
        <v>44</v>
      </c>
      <c r="G71" s="36">
        <v>5</v>
      </c>
      <c r="H71" s="36">
        <v>6</v>
      </c>
      <c r="I71" s="37">
        <v>4322.8000000000002</v>
      </c>
      <c r="J71" s="37">
        <v>3857.1999999999998</v>
      </c>
      <c r="K71" s="37">
        <v>3857.1999999999998</v>
      </c>
      <c r="L71" s="38">
        <v>168</v>
      </c>
      <c r="M71" s="39">
        <f t="shared" si="0"/>
        <v>1546459.7</v>
      </c>
      <c r="N71" s="37">
        <v>0</v>
      </c>
      <c r="O71" s="37">
        <v>0</v>
      </c>
      <c r="P71" s="37">
        <v>0</v>
      </c>
      <c r="Q71" s="40">
        <f>'Таблица 3 '!C61</f>
        <v>1546459.7</v>
      </c>
      <c r="R71" s="37">
        <f t="shared" si="1"/>
        <v>1546459.7</v>
      </c>
      <c r="S71" s="37">
        <v>0</v>
      </c>
      <c r="T71" s="37">
        <f t="shared" si="2"/>
        <v>400.9280566213834</v>
      </c>
      <c r="U71" s="37">
        <f t="shared" si="3"/>
        <v>400.9280566213834</v>
      </c>
      <c r="V71" s="41" t="s">
        <v>45</v>
      </c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="31" customFormat="1" ht="44.25" customHeight="1">
      <c r="A72" s="33">
        <v>51</v>
      </c>
      <c r="B72" s="42" t="s">
        <v>115</v>
      </c>
      <c r="C72" s="33" t="s">
        <v>43</v>
      </c>
      <c r="D72" s="35" t="s">
        <v>93</v>
      </c>
      <c r="E72" s="35" t="s">
        <v>39</v>
      </c>
      <c r="F72" s="33" t="s">
        <v>44</v>
      </c>
      <c r="G72" s="36">
        <v>4</v>
      </c>
      <c r="H72" s="36">
        <v>3</v>
      </c>
      <c r="I72" s="37">
        <v>2018.7</v>
      </c>
      <c r="J72" s="37">
        <v>2012.9000000000001</v>
      </c>
      <c r="K72" s="37">
        <v>1808.5</v>
      </c>
      <c r="L72" s="38">
        <v>99</v>
      </c>
      <c r="M72" s="39">
        <f t="shared" si="0"/>
        <v>11659431.08</v>
      </c>
      <c r="N72" s="37">
        <v>0</v>
      </c>
      <c r="O72" s="37">
        <v>0</v>
      </c>
      <c r="P72" s="37">
        <v>0</v>
      </c>
      <c r="Q72" s="40">
        <f>'Таблица 3 '!C62</f>
        <v>11659431.08</v>
      </c>
      <c r="R72" s="37">
        <f t="shared" si="1"/>
        <v>11659431.08</v>
      </c>
      <c r="S72" s="37">
        <v>0</v>
      </c>
      <c r="T72" s="37">
        <f t="shared" si="2"/>
        <v>5792.3548512096968</v>
      </c>
      <c r="U72" s="37">
        <f t="shared" si="3"/>
        <v>5792.3548512096968</v>
      </c>
      <c r="V72" s="41" t="s">
        <v>45</v>
      </c>
      <c r="W72" s="31"/>
    </row>
    <row r="73" s="31" customFormat="1" ht="44.25" customHeight="1">
      <c r="A73" s="33">
        <v>52</v>
      </c>
      <c r="B73" s="42" t="s">
        <v>116</v>
      </c>
      <c r="C73" s="33" t="s">
        <v>85</v>
      </c>
      <c r="D73" s="35" t="s">
        <v>93</v>
      </c>
      <c r="E73" s="35" t="s">
        <v>39</v>
      </c>
      <c r="F73" s="33" t="s">
        <v>44</v>
      </c>
      <c r="G73" s="36">
        <v>4</v>
      </c>
      <c r="H73" s="36">
        <v>2</v>
      </c>
      <c r="I73" s="37">
        <v>1289.2</v>
      </c>
      <c r="J73" s="37">
        <v>1272.9000000000001</v>
      </c>
      <c r="K73" s="37">
        <v>1209.4000000000001</v>
      </c>
      <c r="L73" s="38">
        <v>62</v>
      </c>
      <c r="M73" s="39">
        <f t="shared" si="0"/>
        <v>379523.79999999999</v>
      </c>
      <c r="N73" s="37">
        <v>0</v>
      </c>
      <c r="O73" s="37">
        <v>0</v>
      </c>
      <c r="P73" s="37">
        <v>0</v>
      </c>
      <c r="Q73" s="40">
        <f>'Таблица 3 '!C63</f>
        <v>379523.79999999999</v>
      </c>
      <c r="R73" s="37">
        <f t="shared" si="1"/>
        <v>379523.79999999999</v>
      </c>
      <c r="S73" s="37">
        <v>0</v>
      </c>
      <c r="T73" s="37">
        <f t="shared" si="2"/>
        <v>298.15680729043913</v>
      </c>
      <c r="U73" s="37">
        <f t="shared" si="3"/>
        <v>298.15680729043913</v>
      </c>
      <c r="V73" s="41" t="s">
        <v>45</v>
      </c>
      <c r="W73" s="31"/>
    </row>
    <row r="74" s="31" customFormat="1" ht="44.25" customHeight="1">
      <c r="A74" s="33">
        <v>53</v>
      </c>
      <c r="B74" s="34" t="s">
        <v>117</v>
      </c>
      <c r="C74" s="33" t="s">
        <v>43</v>
      </c>
      <c r="D74" s="33">
        <v>1959</v>
      </c>
      <c r="E74" s="35" t="s">
        <v>39</v>
      </c>
      <c r="F74" s="33" t="s">
        <v>44</v>
      </c>
      <c r="G74" s="36">
        <v>2</v>
      </c>
      <c r="H74" s="36">
        <v>1</v>
      </c>
      <c r="I74" s="37">
        <v>268.89999999999998</v>
      </c>
      <c r="J74" s="37">
        <v>273</v>
      </c>
      <c r="K74" s="37">
        <v>190.69999999999999</v>
      </c>
      <c r="L74" s="38">
        <v>20</v>
      </c>
      <c r="M74" s="39">
        <f t="shared" si="0"/>
        <v>145370.03</v>
      </c>
      <c r="N74" s="37">
        <v>0</v>
      </c>
      <c r="O74" s="37">
        <v>0</v>
      </c>
      <c r="P74" s="37">
        <v>0</v>
      </c>
      <c r="Q74" s="40">
        <f>'Таблица 3 '!C64</f>
        <v>145370.03</v>
      </c>
      <c r="R74" s="37">
        <f t="shared" si="1"/>
        <v>145370.03</v>
      </c>
      <c r="S74" s="37">
        <v>0</v>
      </c>
      <c r="T74" s="37">
        <f t="shared" si="2"/>
        <v>532.49095238095242</v>
      </c>
      <c r="U74" s="37">
        <f t="shared" si="3"/>
        <v>532.49095238095242</v>
      </c>
      <c r="V74" s="41" t="s">
        <v>45</v>
      </c>
      <c r="W74" s="31"/>
    </row>
    <row r="75" s="31" customFormat="1" ht="44.25" customHeight="1">
      <c r="A75" s="33">
        <v>54</v>
      </c>
      <c r="B75" s="34" t="s">
        <v>118</v>
      </c>
      <c r="C75" s="33" t="s">
        <v>43</v>
      </c>
      <c r="D75" s="33">
        <v>1960</v>
      </c>
      <c r="E75" s="35" t="s">
        <v>39</v>
      </c>
      <c r="F75" s="33" t="s">
        <v>44</v>
      </c>
      <c r="G75" s="36">
        <v>2</v>
      </c>
      <c r="H75" s="36">
        <v>1</v>
      </c>
      <c r="I75" s="37">
        <v>284.69999999999999</v>
      </c>
      <c r="J75" s="37">
        <v>272.5</v>
      </c>
      <c r="K75" s="37">
        <v>237.59999999999999</v>
      </c>
      <c r="L75" s="38">
        <v>16</v>
      </c>
      <c r="M75" s="39">
        <f t="shared" si="0"/>
        <v>147350.51000000001</v>
      </c>
      <c r="N75" s="37">
        <v>0</v>
      </c>
      <c r="O75" s="37">
        <v>0</v>
      </c>
      <c r="P75" s="37">
        <v>0</v>
      </c>
      <c r="Q75" s="40">
        <f>'Таблица 3 '!C65</f>
        <v>147350.51000000001</v>
      </c>
      <c r="R75" s="37">
        <f t="shared" si="1"/>
        <v>147350.51000000001</v>
      </c>
      <c r="S75" s="37">
        <v>0</v>
      </c>
      <c r="T75" s="37">
        <f t="shared" si="2"/>
        <v>540.73581651376151</v>
      </c>
      <c r="U75" s="37">
        <f t="shared" si="3"/>
        <v>540.73581651376151</v>
      </c>
      <c r="V75" s="41" t="s">
        <v>45</v>
      </c>
      <c r="W75" s="31"/>
      <c r="X75" s="31"/>
    </row>
    <row r="76" s="31" customFormat="1" ht="44.25" customHeight="1">
      <c r="A76" s="33">
        <v>55</v>
      </c>
      <c r="B76" s="34" t="s">
        <v>119</v>
      </c>
      <c r="C76" s="33" t="s">
        <v>43</v>
      </c>
      <c r="D76" s="33">
        <v>1958</v>
      </c>
      <c r="E76" s="35" t="s">
        <v>39</v>
      </c>
      <c r="F76" s="33" t="s">
        <v>44</v>
      </c>
      <c r="G76" s="36">
        <v>2</v>
      </c>
      <c r="H76" s="36">
        <v>1</v>
      </c>
      <c r="I76" s="37">
        <v>261.80000000000001</v>
      </c>
      <c r="J76" s="37">
        <v>273.39999999999998</v>
      </c>
      <c r="K76" s="37">
        <v>273.39999999999998</v>
      </c>
      <c r="L76" s="38">
        <v>8</v>
      </c>
      <c r="M76" s="39">
        <f t="shared" si="0"/>
        <v>140658.88</v>
      </c>
      <c r="N76" s="37">
        <v>0</v>
      </c>
      <c r="O76" s="37">
        <v>0</v>
      </c>
      <c r="P76" s="37">
        <v>0</v>
      </c>
      <c r="Q76" s="40">
        <f>'Таблица 3 '!C66</f>
        <v>140658.88</v>
      </c>
      <c r="R76" s="37">
        <f t="shared" si="1"/>
        <v>140658.88</v>
      </c>
      <c r="S76" s="37">
        <v>0</v>
      </c>
      <c r="T76" s="37">
        <f t="shared" si="2"/>
        <v>514.48017556693492</v>
      </c>
      <c r="U76" s="37">
        <f t="shared" si="3"/>
        <v>514.48017556693492</v>
      </c>
      <c r="V76" s="41" t="s">
        <v>45</v>
      </c>
      <c r="W76" s="31"/>
    </row>
    <row r="77" s="31" customFormat="1" ht="44.25" customHeight="1">
      <c r="A77" s="33">
        <v>56</v>
      </c>
      <c r="B77" s="34" t="s">
        <v>120</v>
      </c>
      <c r="C77" s="33" t="s">
        <v>43</v>
      </c>
      <c r="D77" s="33">
        <v>1975</v>
      </c>
      <c r="E77" s="35" t="s">
        <v>57</v>
      </c>
      <c r="F77" s="33" t="s">
        <v>77</v>
      </c>
      <c r="G77" s="36">
        <v>5</v>
      </c>
      <c r="H77" s="36">
        <v>3</v>
      </c>
      <c r="I77" s="40">
        <v>2805.0999999999999</v>
      </c>
      <c r="J77" s="40">
        <v>3154.5999999999999</v>
      </c>
      <c r="K77" s="40">
        <v>2713.5</v>
      </c>
      <c r="L77" s="48">
        <v>72</v>
      </c>
      <c r="M77" s="39">
        <f t="shared" si="0"/>
        <v>292575.33000000002</v>
      </c>
      <c r="N77" s="37">
        <v>0</v>
      </c>
      <c r="O77" s="37">
        <v>0</v>
      </c>
      <c r="P77" s="37">
        <v>0</v>
      </c>
      <c r="Q77" s="40">
        <f>'Таблица 3 '!C67</f>
        <v>292575.33000000002</v>
      </c>
      <c r="R77" s="37">
        <f t="shared" si="1"/>
        <v>292575.33000000002</v>
      </c>
      <c r="S77" s="40">
        <v>0</v>
      </c>
      <c r="T77" s="37">
        <f t="shared" si="2"/>
        <v>92.745619095923416</v>
      </c>
      <c r="U77" s="37">
        <f t="shared" si="3"/>
        <v>92.745619095923416</v>
      </c>
      <c r="V77" s="41" t="s">
        <v>45</v>
      </c>
      <c r="W77" s="31"/>
    </row>
    <row r="78" s="31" customFormat="1" ht="44.25" customHeight="1">
      <c r="A78" s="33">
        <v>57</v>
      </c>
      <c r="B78" s="52" t="s">
        <v>121</v>
      </c>
      <c r="C78" s="33" t="s">
        <v>43</v>
      </c>
      <c r="D78" s="35" t="s">
        <v>93</v>
      </c>
      <c r="E78" s="35" t="s">
        <v>39</v>
      </c>
      <c r="F78" s="33" t="s">
        <v>44</v>
      </c>
      <c r="G78" s="36">
        <v>2</v>
      </c>
      <c r="H78" s="36">
        <v>2</v>
      </c>
      <c r="I78" s="37">
        <v>775.89999999999998</v>
      </c>
      <c r="J78" s="37">
        <v>676.70000000000005</v>
      </c>
      <c r="K78" s="37">
        <v>107</v>
      </c>
      <c r="L78" s="38">
        <v>49</v>
      </c>
      <c r="M78" s="39">
        <f t="shared" si="0"/>
        <v>1650674.04</v>
      </c>
      <c r="N78" s="37">
        <v>0</v>
      </c>
      <c r="O78" s="37">
        <v>0</v>
      </c>
      <c r="P78" s="37">
        <v>0</v>
      </c>
      <c r="Q78" s="40">
        <f>'Таблица 3 '!C68</f>
        <v>1650674.04</v>
      </c>
      <c r="R78" s="37">
        <f t="shared" si="1"/>
        <v>1650674.04</v>
      </c>
      <c r="S78" s="37">
        <v>0</v>
      </c>
      <c r="T78" s="37">
        <f t="shared" si="2"/>
        <v>2439.2996010048764</v>
      </c>
      <c r="U78" s="37">
        <f t="shared" si="3"/>
        <v>2439.2996010048764</v>
      </c>
      <c r="V78" s="41" t="s">
        <v>45</v>
      </c>
      <c r="W78" s="31"/>
    </row>
    <row r="79" s="31" customFormat="1" ht="44.25" customHeight="1">
      <c r="A79" s="33">
        <v>58</v>
      </c>
      <c r="B79" s="34" t="s">
        <v>122</v>
      </c>
      <c r="C79" s="43" t="s">
        <v>90</v>
      </c>
      <c r="D79" s="33">
        <v>1989</v>
      </c>
      <c r="E79" s="44" t="s">
        <v>39</v>
      </c>
      <c r="F79" s="33" t="s">
        <v>48</v>
      </c>
      <c r="G79" s="45">
        <v>5</v>
      </c>
      <c r="H79" s="36">
        <v>4</v>
      </c>
      <c r="I79" s="51">
        <v>3829.1999999999998</v>
      </c>
      <c r="J79" s="40">
        <v>2816.4000000000001</v>
      </c>
      <c r="K79" s="51">
        <v>2816.4000000000001</v>
      </c>
      <c r="L79" s="48">
        <v>127</v>
      </c>
      <c r="M79" s="39">
        <f t="shared" si="0"/>
        <v>1658604.53</v>
      </c>
      <c r="N79" s="46">
        <v>0</v>
      </c>
      <c r="O79" s="37">
        <v>0</v>
      </c>
      <c r="P79" s="46">
        <v>0</v>
      </c>
      <c r="Q79" s="40">
        <f>'Таблица 3 '!C69</f>
        <v>1658604.53</v>
      </c>
      <c r="R79" s="46">
        <f t="shared" si="1"/>
        <v>1658604.53</v>
      </c>
      <c r="S79" s="40">
        <v>0</v>
      </c>
      <c r="T79" s="46">
        <f t="shared" si="2"/>
        <v>588.90943402925723</v>
      </c>
      <c r="U79" s="37">
        <f t="shared" si="3"/>
        <v>588.90943402925723</v>
      </c>
      <c r="V79" s="41" t="s">
        <v>45</v>
      </c>
      <c r="W79" s="47"/>
      <c r="X79" s="31"/>
    </row>
    <row r="80" s="31" customFormat="1" ht="44.25" customHeight="1">
      <c r="A80" s="33">
        <v>59</v>
      </c>
      <c r="B80" s="34" t="s">
        <v>123</v>
      </c>
      <c r="C80" s="33" t="s">
        <v>43</v>
      </c>
      <c r="D80" s="33">
        <v>1987</v>
      </c>
      <c r="E80" s="35" t="s">
        <v>57</v>
      </c>
      <c r="F80" s="33" t="s">
        <v>48</v>
      </c>
      <c r="G80" s="36">
        <v>5</v>
      </c>
      <c r="H80" s="36">
        <v>4</v>
      </c>
      <c r="I80" s="40">
        <v>4753.1000000000004</v>
      </c>
      <c r="J80" s="40">
        <v>4005.4000000000001</v>
      </c>
      <c r="K80" s="40">
        <v>3883.1999999999998</v>
      </c>
      <c r="L80" s="48">
        <v>169</v>
      </c>
      <c r="M80" s="39">
        <f t="shared" si="0"/>
        <v>997039.41000000003</v>
      </c>
      <c r="N80" s="37">
        <v>0</v>
      </c>
      <c r="O80" s="37">
        <v>0</v>
      </c>
      <c r="P80" s="37">
        <v>0</v>
      </c>
      <c r="Q80" s="40">
        <f>'Таблица 3 '!C70</f>
        <v>997039.41000000003</v>
      </c>
      <c r="R80" s="37">
        <f t="shared" si="1"/>
        <v>997039.41000000003</v>
      </c>
      <c r="S80" s="40">
        <v>0</v>
      </c>
      <c r="T80" s="37">
        <f t="shared" si="2"/>
        <v>248.92380536276028</v>
      </c>
      <c r="U80" s="37">
        <f t="shared" si="3"/>
        <v>248.92380536276028</v>
      </c>
      <c r="V80" s="41" t="s">
        <v>45</v>
      </c>
      <c r="W80" s="31"/>
      <c r="X80" s="31"/>
    </row>
    <row r="81" s="31" customFormat="1" ht="44.25" customHeight="1">
      <c r="A81" s="33">
        <v>60</v>
      </c>
      <c r="B81" s="50" t="s">
        <v>124</v>
      </c>
      <c r="C81" s="33" t="s">
        <v>43</v>
      </c>
      <c r="D81" s="35" t="s">
        <v>114</v>
      </c>
      <c r="E81" s="35" t="s">
        <v>39</v>
      </c>
      <c r="F81" s="33" t="s">
        <v>44</v>
      </c>
      <c r="G81" s="36">
        <v>5</v>
      </c>
      <c r="H81" s="36">
        <v>4</v>
      </c>
      <c r="I81" s="37">
        <v>3355.8000000000002</v>
      </c>
      <c r="J81" s="37">
        <v>3363.3000000000002</v>
      </c>
      <c r="K81" s="37">
        <v>3175.9000000000001</v>
      </c>
      <c r="L81" s="38">
        <v>174</v>
      </c>
      <c r="M81" s="39">
        <f t="shared" si="0"/>
        <v>419368.33999999997</v>
      </c>
      <c r="N81" s="37">
        <v>0</v>
      </c>
      <c r="O81" s="37">
        <v>0</v>
      </c>
      <c r="P81" s="37">
        <v>0</v>
      </c>
      <c r="Q81" s="40">
        <f>'Таблица 3 '!C71</f>
        <v>419368.33999999997</v>
      </c>
      <c r="R81" s="37">
        <f t="shared" si="1"/>
        <v>419368.33999999997</v>
      </c>
      <c r="S81" s="37">
        <v>0</v>
      </c>
      <c r="T81" s="37">
        <f t="shared" si="2"/>
        <v>124.68954300835487</v>
      </c>
      <c r="U81" s="37">
        <f t="shared" si="3"/>
        <v>124.68954300835487</v>
      </c>
      <c r="V81" s="41" t="s">
        <v>45</v>
      </c>
      <c r="W81" s="31"/>
      <c r="X81" s="31"/>
    </row>
    <row r="82" s="31" customFormat="1" ht="44.25" customHeight="1">
      <c r="A82" s="33">
        <v>61</v>
      </c>
      <c r="B82" s="34" t="s">
        <v>125</v>
      </c>
      <c r="C82" s="33" t="s">
        <v>43</v>
      </c>
      <c r="D82" s="35" t="s">
        <v>126</v>
      </c>
      <c r="E82" s="35" t="s">
        <v>39</v>
      </c>
      <c r="F82" s="33" t="s">
        <v>44</v>
      </c>
      <c r="G82" s="36">
        <v>4</v>
      </c>
      <c r="H82" s="36">
        <v>1</v>
      </c>
      <c r="I82" s="37">
        <v>869.89999999999998</v>
      </c>
      <c r="J82" s="37">
        <v>847.10000000000002</v>
      </c>
      <c r="K82" s="37">
        <v>642.70000000000005</v>
      </c>
      <c r="L82" s="38">
        <v>52</v>
      </c>
      <c r="M82" s="39">
        <f t="shared" si="0"/>
        <v>259180.81</v>
      </c>
      <c r="N82" s="37">
        <v>0</v>
      </c>
      <c r="O82" s="37">
        <v>0</v>
      </c>
      <c r="P82" s="37">
        <v>0</v>
      </c>
      <c r="Q82" s="40">
        <f>'Таблица 3 '!C72</f>
        <v>259180.81</v>
      </c>
      <c r="R82" s="37">
        <f t="shared" si="1"/>
        <v>259180.81</v>
      </c>
      <c r="S82" s="37">
        <v>0</v>
      </c>
      <c r="T82" s="37">
        <f t="shared" si="2"/>
        <v>305.96247196316847</v>
      </c>
      <c r="U82" s="37">
        <f t="shared" si="3"/>
        <v>305.96247196316847</v>
      </c>
      <c r="V82" s="41" t="s">
        <v>45</v>
      </c>
      <c r="W82" s="31"/>
    </row>
    <row r="83" s="31" customFormat="1" ht="44.25" customHeight="1">
      <c r="A83" s="33">
        <v>62</v>
      </c>
      <c r="B83" s="34" t="s">
        <v>127</v>
      </c>
      <c r="C83" s="33" t="s">
        <v>43</v>
      </c>
      <c r="D83" s="33">
        <v>1935</v>
      </c>
      <c r="E83" s="33">
        <v>2025</v>
      </c>
      <c r="F83" s="33" t="s">
        <v>44</v>
      </c>
      <c r="G83" s="36">
        <v>4</v>
      </c>
      <c r="H83" s="36">
        <v>7</v>
      </c>
      <c r="I83" s="40">
        <v>4718.5</v>
      </c>
      <c r="J83" s="40">
        <v>2825.0999999999999</v>
      </c>
      <c r="K83" s="40">
        <v>2427.3000000000002</v>
      </c>
      <c r="L83" s="48">
        <v>98</v>
      </c>
      <c r="M83" s="39">
        <f t="shared" si="0"/>
        <v>11751748.800000001</v>
      </c>
      <c r="N83" s="37">
        <v>0</v>
      </c>
      <c r="O83" s="37">
        <v>0</v>
      </c>
      <c r="P83" s="37">
        <v>0</v>
      </c>
      <c r="Q83" s="40">
        <f>'Таблица 3 '!C73</f>
        <v>11751748.800000001</v>
      </c>
      <c r="R83" s="37">
        <f t="shared" si="1"/>
        <v>11751748.800000001</v>
      </c>
      <c r="S83" s="37">
        <v>0</v>
      </c>
      <c r="T83" s="37">
        <f t="shared" si="2"/>
        <v>4159.7638313688012</v>
      </c>
      <c r="U83" s="37">
        <f t="shared" si="3"/>
        <v>4159.7638313688012</v>
      </c>
      <c r="V83" s="41" t="s">
        <v>45</v>
      </c>
      <c r="W83" s="31"/>
    </row>
    <row r="84" s="31" customFormat="1" ht="44.25" customHeight="1">
      <c r="A84" s="33">
        <v>63</v>
      </c>
      <c r="B84" s="34" t="s">
        <v>128</v>
      </c>
      <c r="C84" s="33" t="s">
        <v>43</v>
      </c>
      <c r="D84" s="35" t="s">
        <v>129</v>
      </c>
      <c r="E84" s="35" t="s">
        <v>130</v>
      </c>
      <c r="F84" s="33" t="s">
        <v>44</v>
      </c>
      <c r="G84" s="36">
        <v>4</v>
      </c>
      <c r="H84" s="36">
        <v>6</v>
      </c>
      <c r="I84" s="37">
        <v>4579.6999999999998</v>
      </c>
      <c r="J84" s="37">
        <v>4405.5</v>
      </c>
      <c r="K84" s="37">
        <v>4234.3999999999996</v>
      </c>
      <c r="L84" s="38">
        <v>67</v>
      </c>
      <c r="M84" s="39">
        <f t="shared" si="0"/>
        <v>198651.10999999999</v>
      </c>
      <c r="N84" s="37">
        <v>0</v>
      </c>
      <c r="O84" s="37">
        <v>0</v>
      </c>
      <c r="P84" s="37">
        <v>0</v>
      </c>
      <c r="Q84" s="40">
        <f>'Таблица 3 '!C74</f>
        <v>198651.10999999999</v>
      </c>
      <c r="R84" s="37">
        <f t="shared" si="1"/>
        <v>198651.10999999999</v>
      </c>
      <c r="S84" s="37">
        <v>0</v>
      </c>
      <c r="T84" s="37">
        <f t="shared" si="2"/>
        <v>45.091615026671207</v>
      </c>
      <c r="U84" s="37">
        <f t="shared" si="3"/>
        <v>45.091615026671207</v>
      </c>
      <c r="V84" s="41" t="s">
        <v>45</v>
      </c>
      <c r="W84" s="31"/>
    </row>
    <row r="85" s="31" customFormat="1" ht="44.25" customHeight="1">
      <c r="A85" s="33">
        <v>64</v>
      </c>
      <c r="B85" s="34" t="s">
        <v>131</v>
      </c>
      <c r="C85" s="33" t="s">
        <v>43</v>
      </c>
      <c r="D85" s="35" t="s">
        <v>132</v>
      </c>
      <c r="E85" s="35" t="s">
        <v>39</v>
      </c>
      <c r="F85" s="33" t="s">
        <v>44</v>
      </c>
      <c r="G85" s="36">
        <v>5</v>
      </c>
      <c r="H85" s="36">
        <v>2</v>
      </c>
      <c r="I85" s="37">
        <v>1789.4000000000001</v>
      </c>
      <c r="J85" s="37">
        <v>1785.3</v>
      </c>
      <c r="K85" s="37">
        <v>1785.3</v>
      </c>
      <c r="L85" s="38">
        <v>77</v>
      </c>
      <c r="M85" s="39">
        <f t="shared" si="0"/>
        <v>4521682.1600000001</v>
      </c>
      <c r="N85" s="37">
        <v>0</v>
      </c>
      <c r="O85" s="37">
        <v>0</v>
      </c>
      <c r="P85" s="37">
        <v>0</v>
      </c>
      <c r="Q85" s="40">
        <f>'Таблица 3 '!C75</f>
        <v>4521682.1600000001</v>
      </c>
      <c r="R85" s="37">
        <f t="shared" si="1"/>
        <v>4521682.1600000001</v>
      </c>
      <c r="S85" s="37">
        <v>0</v>
      </c>
      <c r="T85" s="37">
        <f t="shared" si="2"/>
        <v>2532.7296028678657</v>
      </c>
      <c r="U85" s="37">
        <f t="shared" si="3"/>
        <v>2532.7296028678657</v>
      </c>
      <c r="V85" s="41" t="s">
        <v>45</v>
      </c>
      <c r="W85" s="31"/>
    </row>
    <row r="86" s="31" customFormat="1" ht="44.25" customHeight="1">
      <c r="A86" s="33">
        <v>65</v>
      </c>
      <c r="B86" s="34" t="s">
        <v>133</v>
      </c>
      <c r="C86" s="33" t="s">
        <v>43</v>
      </c>
      <c r="D86" s="33">
        <v>1961</v>
      </c>
      <c r="E86" s="33">
        <v>2019</v>
      </c>
      <c r="F86" s="33" t="s">
        <v>77</v>
      </c>
      <c r="G86" s="36">
        <v>4</v>
      </c>
      <c r="H86" s="36">
        <v>2</v>
      </c>
      <c r="I86" s="40">
        <v>1679.4000000000001</v>
      </c>
      <c r="J86" s="40">
        <v>1187.8</v>
      </c>
      <c r="K86" s="40">
        <v>880.20000000000005</v>
      </c>
      <c r="L86" s="48">
        <v>51</v>
      </c>
      <c r="M86" s="39">
        <f t="shared" ref="M86:M148" si="4">SUM(N86:Q86)</f>
        <v>1190490.9399999999</v>
      </c>
      <c r="N86" s="37">
        <v>0</v>
      </c>
      <c r="O86" s="37">
        <v>0</v>
      </c>
      <c r="P86" s="37">
        <v>0</v>
      </c>
      <c r="Q86" s="40">
        <f>'Таблица 3 '!C76</f>
        <v>1190490.9399999999</v>
      </c>
      <c r="R86" s="37">
        <f t="shared" ref="R86:R148" si="5">Q86</f>
        <v>1190490.9399999999</v>
      </c>
      <c r="S86" s="37">
        <v>0</v>
      </c>
      <c r="T86" s="37">
        <f t="shared" ref="T86:T148" si="6">M86/J86</f>
        <v>1002.2654824044452</v>
      </c>
      <c r="U86" s="37">
        <f t="shared" ref="U86:U148" si="7">T86</f>
        <v>1002.2654824044452</v>
      </c>
      <c r="V86" s="41" t="s">
        <v>45</v>
      </c>
      <c r="W86" s="31"/>
    </row>
    <row r="87" s="31" customFormat="1" ht="44.25" customHeight="1">
      <c r="A87" s="33">
        <v>66</v>
      </c>
      <c r="B87" s="34" t="s">
        <v>134</v>
      </c>
      <c r="C87" s="33" t="s">
        <v>43</v>
      </c>
      <c r="D87" s="35" t="s">
        <v>135</v>
      </c>
      <c r="E87" s="35" t="s">
        <v>39</v>
      </c>
      <c r="F87" s="33" t="s">
        <v>48</v>
      </c>
      <c r="G87" s="36">
        <v>5</v>
      </c>
      <c r="H87" s="36">
        <v>2</v>
      </c>
      <c r="I87" s="37">
        <v>2558.3000000000002</v>
      </c>
      <c r="J87" s="37">
        <v>1950.5</v>
      </c>
      <c r="K87" s="37">
        <v>1630.3</v>
      </c>
      <c r="L87" s="38">
        <v>54</v>
      </c>
      <c r="M87" s="39">
        <f t="shared" si="4"/>
        <v>6511803.1200000001</v>
      </c>
      <c r="N87" s="37">
        <v>0</v>
      </c>
      <c r="O87" s="37">
        <v>0</v>
      </c>
      <c r="P87" s="37">
        <v>0</v>
      </c>
      <c r="Q87" s="40">
        <f>'Таблица 3 '!C77</f>
        <v>6511803.1200000001</v>
      </c>
      <c r="R87" s="37">
        <f t="shared" si="5"/>
        <v>6511803.1200000001</v>
      </c>
      <c r="S87" s="37">
        <v>0</v>
      </c>
      <c r="T87" s="37">
        <f t="shared" si="6"/>
        <v>3338.5301820046143</v>
      </c>
      <c r="U87" s="37">
        <f t="shared" si="7"/>
        <v>3338.5301820046143</v>
      </c>
      <c r="V87" s="41" t="s">
        <v>45</v>
      </c>
      <c r="W87" s="31"/>
    </row>
    <row r="88" s="31" customFormat="1" ht="44.25" customHeight="1">
      <c r="A88" s="33">
        <v>67</v>
      </c>
      <c r="B88" s="34" t="s">
        <v>136</v>
      </c>
      <c r="C88" s="33" t="s">
        <v>43</v>
      </c>
      <c r="D88" s="35" t="s">
        <v>137</v>
      </c>
      <c r="E88" s="35" t="s">
        <v>63</v>
      </c>
      <c r="F88" s="33" t="s">
        <v>44</v>
      </c>
      <c r="G88" s="36">
        <v>9</v>
      </c>
      <c r="H88" s="36">
        <v>1</v>
      </c>
      <c r="I88" s="37">
        <v>2776.6999999999998</v>
      </c>
      <c r="J88" s="37">
        <v>2774.4000000000001</v>
      </c>
      <c r="K88" s="37">
        <v>2139.5999999999999</v>
      </c>
      <c r="L88" s="38">
        <v>84</v>
      </c>
      <c r="M88" s="39">
        <f t="shared" si="4"/>
        <v>372048.23999999999</v>
      </c>
      <c r="N88" s="37">
        <v>0</v>
      </c>
      <c r="O88" s="37">
        <v>0</v>
      </c>
      <c r="P88" s="37">
        <v>0</v>
      </c>
      <c r="Q88" s="40">
        <f>'Таблица 3 '!C78</f>
        <v>372048.23999999999</v>
      </c>
      <c r="R88" s="37">
        <f t="shared" si="5"/>
        <v>372048.23999999999</v>
      </c>
      <c r="S88" s="37">
        <v>0</v>
      </c>
      <c r="T88" s="37">
        <f t="shared" si="6"/>
        <v>134.10043252595156</v>
      </c>
      <c r="U88" s="37">
        <f t="shared" si="7"/>
        <v>134.10043252595156</v>
      </c>
      <c r="V88" s="41" t="s">
        <v>45</v>
      </c>
      <c r="W88" s="31"/>
    </row>
    <row r="89" s="31" customFormat="1" ht="44.25" customHeight="1">
      <c r="A89" s="33">
        <v>68</v>
      </c>
      <c r="B89" s="34" t="s">
        <v>138</v>
      </c>
      <c r="C89" s="33" t="s">
        <v>43</v>
      </c>
      <c r="D89" s="35" t="s">
        <v>126</v>
      </c>
      <c r="E89" s="35" t="s">
        <v>39</v>
      </c>
      <c r="F89" s="33" t="s">
        <v>44</v>
      </c>
      <c r="G89" s="36">
        <v>4</v>
      </c>
      <c r="H89" s="36">
        <v>2</v>
      </c>
      <c r="I89" s="37">
        <v>1259.7</v>
      </c>
      <c r="J89" s="37">
        <v>1266.5999999999999</v>
      </c>
      <c r="K89" s="37">
        <v>1213.0999999999999</v>
      </c>
      <c r="L89" s="38">
        <v>47</v>
      </c>
      <c r="M89" s="39">
        <f t="shared" si="4"/>
        <v>557624.08000000007</v>
      </c>
      <c r="N89" s="37">
        <v>0</v>
      </c>
      <c r="O89" s="37">
        <v>0</v>
      </c>
      <c r="P89" s="37">
        <v>0</v>
      </c>
      <c r="Q89" s="40">
        <f>'Таблица 3 '!C79</f>
        <v>557624.08000000007</v>
      </c>
      <c r="R89" s="37">
        <f t="shared" si="5"/>
        <v>557624.08000000007</v>
      </c>
      <c r="S89" s="37">
        <v>0</v>
      </c>
      <c r="T89" s="37">
        <f t="shared" si="6"/>
        <v>440.25270803726522</v>
      </c>
      <c r="U89" s="37">
        <f t="shared" si="7"/>
        <v>440.25270803726522</v>
      </c>
      <c r="V89" s="41" t="s">
        <v>45</v>
      </c>
      <c r="W89" s="31"/>
    </row>
    <row r="90" s="31" customFormat="1" ht="44.25" customHeight="1">
      <c r="A90" s="33">
        <v>69</v>
      </c>
      <c r="B90" s="34" t="s">
        <v>139</v>
      </c>
      <c r="C90" s="33" t="s">
        <v>43</v>
      </c>
      <c r="D90" s="33">
        <v>1962</v>
      </c>
      <c r="E90" s="35" t="s">
        <v>140</v>
      </c>
      <c r="F90" s="33" t="s">
        <v>77</v>
      </c>
      <c r="G90" s="36">
        <v>3</v>
      </c>
      <c r="H90" s="36">
        <v>2</v>
      </c>
      <c r="I90" s="40">
        <v>1265.4000000000001</v>
      </c>
      <c r="J90" s="40">
        <v>1266.2</v>
      </c>
      <c r="K90" s="40">
        <v>1266.4000000000001</v>
      </c>
      <c r="L90" s="48">
        <v>47</v>
      </c>
      <c r="M90" s="39">
        <f t="shared" si="4"/>
        <v>292381.35999999999</v>
      </c>
      <c r="N90" s="37">
        <v>0</v>
      </c>
      <c r="O90" s="37">
        <v>0</v>
      </c>
      <c r="P90" s="37">
        <v>0</v>
      </c>
      <c r="Q90" s="40">
        <f>'Таблица 3 '!C80</f>
        <v>292381.35999999999</v>
      </c>
      <c r="R90" s="37">
        <f t="shared" si="5"/>
        <v>292381.35999999999</v>
      </c>
      <c r="S90" s="40">
        <v>0</v>
      </c>
      <c r="T90" s="37">
        <f t="shared" si="6"/>
        <v>230.91246248617909</v>
      </c>
      <c r="U90" s="37">
        <f t="shared" si="7"/>
        <v>230.91246248617909</v>
      </c>
      <c r="V90" s="41" t="s">
        <v>45</v>
      </c>
      <c r="W90" s="31"/>
    </row>
    <row r="91" s="31" customFormat="1" ht="44.25" customHeight="1">
      <c r="A91" s="33">
        <v>70</v>
      </c>
      <c r="B91" s="34" t="s">
        <v>141</v>
      </c>
      <c r="C91" s="33" t="s">
        <v>43</v>
      </c>
      <c r="D91" s="35" t="s">
        <v>104</v>
      </c>
      <c r="E91" s="35" t="s">
        <v>70</v>
      </c>
      <c r="F91" s="33" t="s">
        <v>48</v>
      </c>
      <c r="G91" s="36">
        <v>9</v>
      </c>
      <c r="H91" s="36">
        <v>3</v>
      </c>
      <c r="I91" s="37">
        <v>5926.6999999999998</v>
      </c>
      <c r="J91" s="37">
        <v>5814.3999999999996</v>
      </c>
      <c r="K91" s="37">
        <v>5416.6000000000004</v>
      </c>
      <c r="L91" s="38">
        <v>197</v>
      </c>
      <c r="M91" s="39">
        <f t="shared" si="4"/>
        <v>10820677.99</v>
      </c>
      <c r="N91" s="37">
        <v>0</v>
      </c>
      <c r="O91" s="37">
        <v>0</v>
      </c>
      <c r="P91" s="37">
        <v>0</v>
      </c>
      <c r="Q91" s="40">
        <f>'Таблица 3 '!C81</f>
        <v>10820677.99</v>
      </c>
      <c r="R91" s="37">
        <f t="shared" si="5"/>
        <v>10820677.99</v>
      </c>
      <c r="S91" s="37">
        <v>0</v>
      </c>
      <c r="T91" s="37">
        <f t="shared" si="6"/>
        <v>1861.0136884287288</v>
      </c>
      <c r="U91" s="37">
        <f t="shared" si="7"/>
        <v>1861.0136884287288</v>
      </c>
      <c r="V91" s="41" t="s">
        <v>45</v>
      </c>
      <c r="W91" s="31"/>
    </row>
    <row r="92" s="31" customFormat="1" ht="44.25" customHeight="1">
      <c r="A92" s="33">
        <v>71</v>
      </c>
      <c r="B92" s="34" t="s">
        <v>142</v>
      </c>
      <c r="C92" s="33" t="s">
        <v>43</v>
      </c>
      <c r="D92" s="33">
        <v>1991</v>
      </c>
      <c r="E92" s="35" t="s">
        <v>57</v>
      </c>
      <c r="F92" s="33" t="s">
        <v>77</v>
      </c>
      <c r="G92" s="36">
        <v>5</v>
      </c>
      <c r="H92" s="36">
        <v>4</v>
      </c>
      <c r="I92" s="40">
        <v>2884.5999999999999</v>
      </c>
      <c r="J92" s="40">
        <v>2831</v>
      </c>
      <c r="K92" s="40">
        <v>2831</v>
      </c>
      <c r="L92" s="48">
        <v>113</v>
      </c>
      <c r="M92" s="39">
        <f t="shared" si="4"/>
        <v>1270282.45</v>
      </c>
      <c r="N92" s="37">
        <v>0</v>
      </c>
      <c r="O92" s="37">
        <v>0</v>
      </c>
      <c r="P92" s="37">
        <v>0</v>
      </c>
      <c r="Q92" s="40">
        <f>'Таблица 3 '!C82</f>
        <v>1270282.45</v>
      </c>
      <c r="R92" s="37">
        <f t="shared" si="5"/>
        <v>1270282.45</v>
      </c>
      <c r="S92" s="40">
        <v>0</v>
      </c>
      <c r="T92" s="37">
        <f t="shared" si="6"/>
        <v>448.70450370893673</v>
      </c>
      <c r="U92" s="37">
        <f t="shared" si="7"/>
        <v>448.70450370893673</v>
      </c>
      <c r="V92" s="41" t="s">
        <v>45</v>
      </c>
      <c r="W92" s="31"/>
    </row>
    <row r="93" s="31" customFormat="1" ht="44.25" customHeight="1">
      <c r="A93" s="33">
        <v>72</v>
      </c>
      <c r="B93" s="34" t="s">
        <v>143</v>
      </c>
      <c r="C93" s="33" t="s">
        <v>43</v>
      </c>
      <c r="D93" s="35" t="s">
        <v>132</v>
      </c>
      <c r="E93" s="35" t="s">
        <v>39</v>
      </c>
      <c r="F93" s="33" t="s">
        <v>48</v>
      </c>
      <c r="G93" s="36">
        <v>5</v>
      </c>
      <c r="H93" s="36">
        <v>4</v>
      </c>
      <c r="I93" s="37">
        <v>4222.6000000000004</v>
      </c>
      <c r="J93" s="37">
        <v>3268.5</v>
      </c>
      <c r="K93" s="37">
        <v>3206</v>
      </c>
      <c r="L93" s="38">
        <v>138</v>
      </c>
      <c r="M93" s="39">
        <f t="shared" si="4"/>
        <v>16876022.129999999</v>
      </c>
      <c r="N93" s="37">
        <v>0</v>
      </c>
      <c r="O93" s="37">
        <v>0</v>
      </c>
      <c r="P93" s="37">
        <v>0</v>
      </c>
      <c r="Q93" s="40">
        <f>'Таблица 3 '!C83</f>
        <v>16876022.129999999</v>
      </c>
      <c r="R93" s="37">
        <f t="shared" si="5"/>
        <v>16876022.129999999</v>
      </c>
      <c r="S93" s="37">
        <v>0</v>
      </c>
      <c r="T93" s="37">
        <f t="shared" si="6"/>
        <v>5163.2314915098668</v>
      </c>
      <c r="U93" s="37">
        <f t="shared" si="7"/>
        <v>5163.2314915098668</v>
      </c>
      <c r="V93" s="41" t="s">
        <v>45</v>
      </c>
      <c r="W93" s="31"/>
    </row>
    <row r="94" s="31" customFormat="1" ht="44.25" customHeight="1">
      <c r="A94" s="33">
        <v>73</v>
      </c>
      <c r="B94" s="50" t="s">
        <v>144</v>
      </c>
      <c r="C94" s="33" t="s">
        <v>43</v>
      </c>
      <c r="D94" s="35" t="s">
        <v>145</v>
      </c>
      <c r="E94" s="35" t="s">
        <v>60</v>
      </c>
      <c r="F94" s="33" t="s">
        <v>44</v>
      </c>
      <c r="G94" s="36">
        <v>5</v>
      </c>
      <c r="H94" s="36">
        <v>4</v>
      </c>
      <c r="I94" s="37">
        <v>2807</v>
      </c>
      <c r="J94" s="37">
        <v>2730.0999999999999</v>
      </c>
      <c r="K94" s="37">
        <v>2698.0999999999999</v>
      </c>
      <c r="L94" s="38">
        <v>119</v>
      </c>
      <c r="M94" s="39">
        <f t="shared" si="4"/>
        <v>5205688.3600000003</v>
      </c>
      <c r="N94" s="37">
        <v>0</v>
      </c>
      <c r="O94" s="37">
        <v>0</v>
      </c>
      <c r="P94" s="37">
        <v>0</v>
      </c>
      <c r="Q94" s="40">
        <f>'Таблица 3 '!C84</f>
        <v>5205688.3600000003</v>
      </c>
      <c r="R94" s="37">
        <f t="shared" si="5"/>
        <v>5205688.3600000003</v>
      </c>
      <c r="S94" s="37">
        <v>0</v>
      </c>
      <c r="T94" s="37">
        <f t="shared" si="6"/>
        <v>1906.7757078495295</v>
      </c>
      <c r="U94" s="37">
        <f t="shared" si="7"/>
        <v>1906.7757078495295</v>
      </c>
      <c r="V94" s="41" t="s">
        <v>45</v>
      </c>
      <c r="W94" s="31"/>
    </row>
    <row r="95" s="31" customFormat="1" ht="44.25" customHeight="1">
      <c r="A95" s="33">
        <v>74</v>
      </c>
      <c r="B95" s="42" t="s">
        <v>146</v>
      </c>
      <c r="C95" s="43" t="s">
        <v>43</v>
      </c>
      <c r="D95" s="35" t="s">
        <v>147</v>
      </c>
      <c r="E95" s="44" t="s">
        <v>39</v>
      </c>
      <c r="F95" s="33" t="s">
        <v>44</v>
      </c>
      <c r="G95" s="45">
        <v>5</v>
      </c>
      <c r="H95" s="36">
        <v>6</v>
      </c>
      <c r="I95" s="46">
        <v>4515.6999999999998</v>
      </c>
      <c r="J95" s="37">
        <v>4469.6000000000004</v>
      </c>
      <c r="K95" s="46">
        <v>4332.3999999999996</v>
      </c>
      <c r="L95" s="38">
        <v>184</v>
      </c>
      <c r="M95" s="39">
        <f t="shared" si="4"/>
        <v>312220.88</v>
      </c>
      <c r="N95" s="46">
        <v>0</v>
      </c>
      <c r="O95" s="37">
        <v>0</v>
      </c>
      <c r="P95" s="46">
        <v>0</v>
      </c>
      <c r="Q95" s="40">
        <f>'Таблица 3 '!C85</f>
        <v>312220.88</v>
      </c>
      <c r="R95" s="46">
        <f t="shared" si="5"/>
        <v>312220.88</v>
      </c>
      <c r="S95" s="37">
        <v>0</v>
      </c>
      <c r="T95" s="46">
        <f t="shared" si="6"/>
        <v>69.85432253445498</v>
      </c>
      <c r="U95" s="37">
        <f t="shared" si="7"/>
        <v>69.85432253445498</v>
      </c>
      <c r="V95" s="41" t="s">
        <v>45</v>
      </c>
      <c r="W95" s="47"/>
    </row>
    <row r="96" s="31" customFormat="1" ht="44.25" customHeight="1">
      <c r="A96" s="33">
        <v>75</v>
      </c>
      <c r="B96" s="50" t="s">
        <v>148</v>
      </c>
      <c r="C96" s="33" t="s">
        <v>43</v>
      </c>
      <c r="D96" s="35" t="s">
        <v>114</v>
      </c>
      <c r="E96" s="35">
        <v>2025</v>
      </c>
      <c r="F96" s="33" t="s">
        <v>44</v>
      </c>
      <c r="G96" s="36">
        <v>5</v>
      </c>
      <c r="H96" s="36">
        <v>6</v>
      </c>
      <c r="I96" s="37">
        <v>4546.1000000000004</v>
      </c>
      <c r="J96" s="37">
        <v>4505.3999999999996</v>
      </c>
      <c r="K96" s="37">
        <v>4458.5</v>
      </c>
      <c r="L96" s="38">
        <v>177</v>
      </c>
      <c r="M96" s="39">
        <f t="shared" si="4"/>
        <v>200481.32999999999</v>
      </c>
      <c r="N96" s="37">
        <v>0</v>
      </c>
      <c r="O96" s="37">
        <v>0</v>
      </c>
      <c r="P96" s="37">
        <v>0</v>
      </c>
      <c r="Q96" s="40">
        <f>'Таблица 3 '!C86</f>
        <v>200481.32999999999</v>
      </c>
      <c r="R96" s="37">
        <f t="shared" si="5"/>
        <v>200481.32999999999</v>
      </c>
      <c r="S96" s="37">
        <v>0</v>
      </c>
      <c r="T96" s="37">
        <f t="shared" si="6"/>
        <v>44.498009055799706</v>
      </c>
      <c r="U96" s="37">
        <f t="shared" si="7"/>
        <v>44.498009055799706</v>
      </c>
      <c r="V96" s="41" t="s">
        <v>45</v>
      </c>
      <c r="W96" s="31"/>
    </row>
    <row r="97" s="31" customFormat="1" ht="44.25" customHeight="1">
      <c r="A97" s="33">
        <v>76</v>
      </c>
      <c r="B97" s="50" t="s">
        <v>149</v>
      </c>
      <c r="C97" s="33" t="s">
        <v>43</v>
      </c>
      <c r="D97" s="33">
        <v>1983</v>
      </c>
      <c r="E97" s="33" t="s">
        <v>39</v>
      </c>
      <c r="F97" s="33" t="s">
        <v>77</v>
      </c>
      <c r="G97" s="36">
        <v>5</v>
      </c>
      <c r="H97" s="36">
        <v>1</v>
      </c>
      <c r="I97" s="40">
        <v>2402.5999999999999</v>
      </c>
      <c r="J97" s="40">
        <v>2111.1999999999998</v>
      </c>
      <c r="K97" s="40">
        <v>2111.1999999999998</v>
      </c>
      <c r="L97" s="48">
        <v>32</v>
      </c>
      <c r="M97" s="39">
        <f t="shared" si="4"/>
        <v>6117132.1600000001</v>
      </c>
      <c r="N97" s="37">
        <v>0</v>
      </c>
      <c r="O97" s="37">
        <v>0</v>
      </c>
      <c r="P97" s="37">
        <v>0</v>
      </c>
      <c r="Q97" s="40">
        <f>'Таблица 3 '!C87</f>
        <v>6117132.1600000001</v>
      </c>
      <c r="R97" s="37">
        <f t="shared" si="5"/>
        <v>6117132.1600000001</v>
      </c>
      <c r="S97" s="37">
        <v>0</v>
      </c>
      <c r="T97" s="37">
        <f t="shared" si="6"/>
        <v>2897.4669192876095</v>
      </c>
      <c r="U97" s="37">
        <f t="shared" si="7"/>
        <v>2897.4669192876095</v>
      </c>
      <c r="V97" s="41" t="s">
        <v>45</v>
      </c>
      <c r="W97" s="31"/>
    </row>
    <row r="98" s="31" customFormat="1" ht="44.25" customHeight="1">
      <c r="A98" s="33">
        <v>77</v>
      </c>
      <c r="B98" s="50" t="s">
        <v>150</v>
      </c>
      <c r="C98" s="33" t="s">
        <v>43</v>
      </c>
      <c r="D98" s="35" t="s">
        <v>106</v>
      </c>
      <c r="E98" s="35" t="s">
        <v>39</v>
      </c>
      <c r="F98" s="33" t="s">
        <v>44</v>
      </c>
      <c r="G98" s="36">
        <v>5</v>
      </c>
      <c r="H98" s="36">
        <v>4</v>
      </c>
      <c r="I98" s="37">
        <v>3181.9000000000001</v>
      </c>
      <c r="J98" s="37">
        <v>3152.5</v>
      </c>
      <c r="K98" s="37">
        <v>3094</v>
      </c>
      <c r="L98" s="38">
        <v>71</v>
      </c>
      <c r="M98" s="39">
        <f t="shared" si="4"/>
        <v>4621315.25</v>
      </c>
      <c r="N98" s="37">
        <v>0</v>
      </c>
      <c r="O98" s="37">
        <v>0</v>
      </c>
      <c r="P98" s="37">
        <v>0</v>
      </c>
      <c r="Q98" s="40">
        <f>'Таблица 3 '!C88</f>
        <v>4621315.25</v>
      </c>
      <c r="R98" s="37">
        <f t="shared" si="5"/>
        <v>4621315.25</v>
      </c>
      <c r="S98" s="37">
        <v>0</v>
      </c>
      <c r="T98" s="37">
        <f t="shared" si="6"/>
        <v>1465.9207771609833</v>
      </c>
      <c r="U98" s="37">
        <f t="shared" si="7"/>
        <v>1465.9207771609833</v>
      </c>
      <c r="V98" s="41" t="s">
        <v>45</v>
      </c>
      <c r="W98" s="31"/>
    </row>
    <row r="99" s="31" customFormat="1" ht="44.25" customHeight="1">
      <c r="A99" s="33">
        <v>78</v>
      </c>
      <c r="B99" s="50" t="s">
        <v>151</v>
      </c>
      <c r="C99" s="33" t="s">
        <v>43</v>
      </c>
      <c r="D99" s="35" t="s">
        <v>152</v>
      </c>
      <c r="E99" s="35" t="s">
        <v>39</v>
      </c>
      <c r="F99" s="33" t="s">
        <v>48</v>
      </c>
      <c r="G99" s="36">
        <v>5</v>
      </c>
      <c r="H99" s="36">
        <v>6</v>
      </c>
      <c r="I99" s="37">
        <v>5714.6999999999998</v>
      </c>
      <c r="J99" s="37">
        <v>5731.1999999999998</v>
      </c>
      <c r="K99" s="37">
        <v>4448.5600000000004</v>
      </c>
      <c r="L99" s="38">
        <v>277</v>
      </c>
      <c r="M99" s="39">
        <f t="shared" si="4"/>
        <v>21347944.390000001</v>
      </c>
      <c r="N99" s="37">
        <v>0</v>
      </c>
      <c r="O99" s="37">
        <v>0</v>
      </c>
      <c r="P99" s="37">
        <v>0</v>
      </c>
      <c r="Q99" s="40">
        <f>'Таблица 3 '!C89</f>
        <v>21347944.390000001</v>
      </c>
      <c r="R99" s="37">
        <f t="shared" si="5"/>
        <v>21347944.390000001</v>
      </c>
      <c r="S99" s="37">
        <v>0</v>
      </c>
      <c r="T99" s="37">
        <f t="shared" si="6"/>
        <v>3724.8646688302629</v>
      </c>
      <c r="U99" s="37">
        <f t="shared" si="7"/>
        <v>3724.8646688302629</v>
      </c>
      <c r="V99" s="41" t="s">
        <v>45</v>
      </c>
      <c r="W99" s="31"/>
    </row>
    <row r="100" s="31" customFormat="1" ht="44.25" customHeight="1">
      <c r="A100" s="33">
        <v>79</v>
      </c>
      <c r="B100" s="50" t="s">
        <v>153</v>
      </c>
      <c r="C100" s="33" t="s">
        <v>43</v>
      </c>
      <c r="D100" s="35" t="s">
        <v>154</v>
      </c>
      <c r="E100" s="35" t="s">
        <v>155</v>
      </c>
      <c r="F100" s="33" t="s">
        <v>48</v>
      </c>
      <c r="G100" s="36">
        <v>5</v>
      </c>
      <c r="H100" s="36">
        <v>5</v>
      </c>
      <c r="I100" s="37">
        <v>5140.6000000000004</v>
      </c>
      <c r="J100" s="37">
        <v>4624.6000000000004</v>
      </c>
      <c r="K100" s="37">
        <v>4538.8999999999996</v>
      </c>
      <c r="L100" s="38">
        <v>205</v>
      </c>
      <c r="M100" s="39">
        <f t="shared" si="4"/>
        <v>1158255.3600000001</v>
      </c>
      <c r="N100" s="37">
        <v>0</v>
      </c>
      <c r="O100" s="37">
        <v>0</v>
      </c>
      <c r="P100" s="37">
        <v>0</v>
      </c>
      <c r="Q100" s="40">
        <f>'Таблица 3 '!C90</f>
        <v>1158255.3600000001</v>
      </c>
      <c r="R100" s="37">
        <f t="shared" si="5"/>
        <v>1158255.3600000001</v>
      </c>
      <c r="S100" s="37">
        <v>0</v>
      </c>
      <c r="T100" s="37">
        <f t="shared" si="6"/>
        <v>250.45525234614885</v>
      </c>
      <c r="U100" s="37">
        <f t="shared" si="7"/>
        <v>250.45525234614885</v>
      </c>
      <c r="V100" s="41" t="s">
        <v>45</v>
      </c>
      <c r="W100" s="31"/>
    </row>
    <row r="101" s="31" customFormat="1" ht="44.25" customHeight="1">
      <c r="A101" s="33">
        <v>80</v>
      </c>
      <c r="B101" s="34" t="s">
        <v>156</v>
      </c>
      <c r="C101" s="43" t="s">
        <v>43</v>
      </c>
      <c r="D101" s="33">
        <v>1997</v>
      </c>
      <c r="E101" s="44" t="s">
        <v>39</v>
      </c>
      <c r="F101" s="33" t="s">
        <v>77</v>
      </c>
      <c r="G101" s="45">
        <v>9</v>
      </c>
      <c r="H101" s="36">
        <v>1</v>
      </c>
      <c r="I101" s="51">
        <v>6925.1999999999998</v>
      </c>
      <c r="J101" s="40">
        <v>4721.3999999999996</v>
      </c>
      <c r="K101" s="51">
        <v>3305.8000000000002</v>
      </c>
      <c r="L101" s="48">
        <v>116</v>
      </c>
      <c r="M101" s="39">
        <f>SUM(N101:Q101)</f>
        <v>328778.56</v>
      </c>
      <c r="N101" s="46">
        <v>0</v>
      </c>
      <c r="O101" s="37">
        <v>0</v>
      </c>
      <c r="P101" s="46">
        <v>0</v>
      </c>
      <c r="Q101" s="40">
        <f>'Таблица 3 '!C91</f>
        <v>328778.56</v>
      </c>
      <c r="R101" s="46">
        <f>Q101</f>
        <v>328778.56</v>
      </c>
      <c r="S101" s="40">
        <v>0</v>
      </c>
      <c r="T101" s="46">
        <f>M101/J101</f>
        <v>69.63581988393274</v>
      </c>
      <c r="U101" s="37">
        <f>T101</f>
        <v>69.63581988393274</v>
      </c>
      <c r="V101" s="41" t="s">
        <v>45</v>
      </c>
      <c r="W101" s="47"/>
    </row>
    <row r="102" s="31" customFormat="1" ht="44.25" customHeight="1">
      <c r="A102" s="33">
        <v>81</v>
      </c>
      <c r="B102" s="50" t="s">
        <v>157</v>
      </c>
      <c r="C102" s="33" t="s">
        <v>90</v>
      </c>
      <c r="D102" s="35" t="s">
        <v>158</v>
      </c>
      <c r="E102" s="35" t="s">
        <v>39</v>
      </c>
      <c r="F102" s="33" t="s">
        <v>77</v>
      </c>
      <c r="G102" s="36">
        <v>5</v>
      </c>
      <c r="H102" s="36">
        <v>4</v>
      </c>
      <c r="I102" s="37">
        <v>3047.3000000000002</v>
      </c>
      <c r="J102" s="37">
        <v>2437.8400000000001</v>
      </c>
      <c r="K102" s="37">
        <v>2437.8400000000001</v>
      </c>
      <c r="L102" s="38">
        <v>132</v>
      </c>
      <c r="M102" s="39">
        <f t="shared" si="4"/>
        <v>2601192.1299999999</v>
      </c>
      <c r="N102" s="37">
        <v>0</v>
      </c>
      <c r="O102" s="37">
        <v>0</v>
      </c>
      <c r="P102" s="37">
        <v>0</v>
      </c>
      <c r="Q102" s="40">
        <f>'Таблица 3 '!C92</f>
        <v>2601192.1299999999</v>
      </c>
      <c r="R102" s="37">
        <f t="shared" si="5"/>
        <v>2601192.1299999999</v>
      </c>
      <c r="S102" s="37">
        <v>0</v>
      </c>
      <c r="T102" s="37">
        <f t="shared" si="6"/>
        <v>1067.0069118563974</v>
      </c>
      <c r="U102" s="37">
        <f t="shared" si="7"/>
        <v>1067.0069118563974</v>
      </c>
      <c r="V102" s="41" t="s">
        <v>45</v>
      </c>
      <c r="W102" s="31"/>
    </row>
    <row r="103" s="31" customFormat="1" ht="44.25" customHeight="1">
      <c r="A103" s="33">
        <v>82</v>
      </c>
      <c r="B103" s="53" t="s">
        <v>159</v>
      </c>
      <c r="C103" s="33" t="s">
        <v>43</v>
      </c>
      <c r="D103" s="33">
        <v>1948</v>
      </c>
      <c r="E103" s="35" t="s">
        <v>160</v>
      </c>
      <c r="F103" s="33" t="s">
        <v>77</v>
      </c>
      <c r="G103" s="36">
        <v>2</v>
      </c>
      <c r="H103" s="36">
        <v>2</v>
      </c>
      <c r="I103" s="40">
        <v>893.5</v>
      </c>
      <c r="J103" s="40">
        <v>778.79999999999995</v>
      </c>
      <c r="K103" s="40">
        <v>546.29999999999995</v>
      </c>
      <c r="L103" s="48">
        <v>23</v>
      </c>
      <c r="M103" s="39">
        <f t="shared" si="4"/>
        <v>201141.47</v>
      </c>
      <c r="N103" s="37">
        <v>0</v>
      </c>
      <c r="O103" s="37">
        <v>0</v>
      </c>
      <c r="P103" s="37">
        <v>0</v>
      </c>
      <c r="Q103" s="40">
        <f>'Таблица 3 '!C93</f>
        <v>201141.47</v>
      </c>
      <c r="R103" s="37">
        <f t="shared" si="5"/>
        <v>201141.47</v>
      </c>
      <c r="S103" s="40">
        <v>0</v>
      </c>
      <c r="T103" s="37">
        <f t="shared" si="6"/>
        <v>258.27101951720596</v>
      </c>
      <c r="U103" s="37">
        <f t="shared" si="7"/>
        <v>258.27101951720596</v>
      </c>
      <c r="V103" s="41" t="s">
        <v>45</v>
      </c>
      <c r="W103" s="31"/>
    </row>
    <row r="104" s="31" customFormat="1" ht="44.25" customHeight="1">
      <c r="A104" s="33">
        <v>83</v>
      </c>
      <c r="B104" s="50" t="s">
        <v>161</v>
      </c>
      <c r="C104" s="33" t="s">
        <v>43</v>
      </c>
      <c r="D104" s="35" t="s">
        <v>79</v>
      </c>
      <c r="E104" s="35" t="s">
        <v>70</v>
      </c>
      <c r="F104" s="33" t="s">
        <v>44</v>
      </c>
      <c r="G104" s="36">
        <v>9</v>
      </c>
      <c r="H104" s="36">
        <v>8</v>
      </c>
      <c r="I104" s="37">
        <v>5087.6999999999998</v>
      </c>
      <c r="J104" s="37">
        <v>7642.6999999999998</v>
      </c>
      <c r="K104" s="37">
        <v>6843.1000000000004</v>
      </c>
      <c r="L104" s="38">
        <v>243</v>
      </c>
      <c r="M104" s="39">
        <f t="shared" si="4"/>
        <v>352229.03000000003</v>
      </c>
      <c r="N104" s="37">
        <v>0</v>
      </c>
      <c r="O104" s="37">
        <v>0</v>
      </c>
      <c r="P104" s="37">
        <v>0</v>
      </c>
      <c r="Q104" s="40">
        <f>'Таблица 3 '!C94</f>
        <v>352229.03000000003</v>
      </c>
      <c r="R104" s="37">
        <f t="shared" si="5"/>
        <v>352229.03000000003</v>
      </c>
      <c r="S104" s="37">
        <v>0</v>
      </c>
      <c r="T104" s="37">
        <f t="shared" si="6"/>
        <v>46.086988891360384</v>
      </c>
      <c r="U104" s="37">
        <f t="shared" si="7"/>
        <v>46.086988891360384</v>
      </c>
      <c r="V104" s="41" t="s">
        <v>45</v>
      </c>
      <c r="W104" s="31"/>
    </row>
    <row r="105" s="31" customFormat="1" ht="44.25" customHeight="1">
      <c r="A105" s="33">
        <v>84</v>
      </c>
      <c r="B105" s="34" t="s">
        <v>162</v>
      </c>
      <c r="C105" s="33" t="s">
        <v>43</v>
      </c>
      <c r="D105" s="35" t="s">
        <v>163</v>
      </c>
      <c r="E105" s="35" t="s">
        <v>39</v>
      </c>
      <c r="F105" s="33" t="s">
        <v>44</v>
      </c>
      <c r="G105" s="36">
        <v>3</v>
      </c>
      <c r="H105" s="36">
        <v>2</v>
      </c>
      <c r="I105" s="37">
        <v>1323.5999999999999</v>
      </c>
      <c r="J105" s="37">
        <v>1087.9000000000001</v>
      </c>
      <c r="K105" s="37">
        <v>812.35000000000002</v>
      </c>
      <c r="L105" s="38">
        <v>49</v>
      </c>
      <c r="M105" s="39">
        <f t="shared" si="4"/>
        <v>5453022.4100000001</v>
      </c>
      <c r="N105" s="37">
        <v>0</v>
      </c>
      <c r="O105" s="37">
        <v>0</v>
      </c>
      <c r="P105" s="37">
        <v>0</v>
      </c>
      <c r="Q105" s="40">
        <f>'Таблица 3 '!C95</f>
        <v>5453022.4100000001</v>
      </c>
      <c r="R105" s="37">
        <f t="shared" si="5"/>
        <v>5453022.4100000001</v>
      </c>
      <c r="S105" s="37">
        <v>0</v>
      </c>
      <c r="T105" s="37">
        <f t="shared" si="6"/>
        <v>5012.4298281092006</v>
      </c>
      <c r="U105" s="37">
        <f t="shared" si="7"/>
        <v>5012.4298281092006</v>
      </c>
      <c r="V105" s="41" t="s">
        <v>45</v>
      </c>
      <c r="W105" s="31"/>
    </row>
    <row r="106" s="31" customFormat="1" ht="44.25" customHeight="1">
      <c r="A106" s="33">
        <v>85</v>
      </c>
      <c r="B106" s="50" t="s">
        <v>164</v>
      </c>
      <c r="C106" s="33" t="s">
        <v>43</v>
      </c>
      <c r="D106" s="33">
        <v>1975</v>
      </c>
      <c r="E106" s="35" t="s">
        <v>39</v>
      </c>
      <c r="F106" s="33" t="s">
        <v>44</v>
      </c>
      <c r="G106" s="36">
        <v>5</v>
      </c>
      <c r="H106" s="36">
        <v>4</v>
      </c>
      <c r="I106" s="37">
        <v>3345.5</v>
      </c>
      <c r="J106" s="37">
        <v>3294.0999999999999</v>
      </c>
      <c r="K106" s="37">
        <v>3267.4000000000001</v>
      </c>
      <c r="L106" s="38">
        <v>168</v>
      </c>
      <c r="M106" s="39">
        <f>SUM(N106:Q106)</f>
        <v>6923682.1299999999</v>
      </c>
      <c r="N106" s="37">
        <v>0</v>
      </c>
      <c r="O106" s="37">
        <v>0</v>
      </c>
      <c r="P106" s="37">
        <v>0</v>
      </c>
      <c r="Q106" s="40">
        <f>'Таблица 3 '!C96</f>
        <v>6923682.1299999999</v>
      </c>
      <c r="R106" s="37">
        <f>Q106</f>
        <v>6923682.1299999999</v>
      </c>
      <c r="S106" s="37">
        <v>0</v>
      </c>
      <c r="T106" s="37">
        <f>M106/J106</f>
        <v>2101.8433350535806</v>
      </c>
      <c r="U106" s="37">
        <f>T106</f>
        <v>2101.8433350535806</v>
      </c>
      <c r="V106" s="41" t="s">
        <v>45</v>
      </c>
      <c r="W106" s="31"/>
    </row>
    <row r="107" s="31" customFormat="1" ht="44.25" customHeight="1">
      <c r="A107" s="33">
        <v>86</v>
      </c>
      <c r="B107" s="50" t="s">
        <v>165</v>
      </c>
      <c r="C107" s="33" t="s">
        <v>43</v>
      </c>
      <c r="D107" s="33">
        <v>1995</v>
      </c>
      <c r="E107" s="35" t="s">
        <v>39</v>
      </c>
      <c r="F107" s="33" t="s">
        <v>48</v>
      </c>
      <c r="G107" s="36">
        <v>5</v>
      </c>
      <c r="H107" s="36">
        <v>2</v>
      </c>
      <c r="I107" s="37">
        <v>3251.9000000000001</v>
      </c>
      <c r="J107" s="37">
        <v>3251.8000000000002</v>
      </c>
      <c r="K107" s="37">
        <v>2699.6999999999998</v>
      </c>
      <c r="L107" s="38">
        <v>168</v>
      </c>
      <c r="M107" s="39">
        <f t="shared" si="4"/>
        <v>251204.60999999999</v>
      </c>
      <c r="N107" s="37">
        <v>0</v>
      </c>
      <c r="O107" s="37">
        <v>0</v>
      </c>
      <c r="P107" s="37">
        <v>0</v>
      </c>
      <c r="Q107" s="40">
        <f>'Таблица 3 '!C97</f>
        <v>251204.60999999999</v>
      </c>
      <c r="R107" s="37">
        <f t="shared" si="5"/>
        <v>251204.60999999999</v>
      </c>
      <c r="S107" s="37">
        <v>0</v>
      </c>
      <c r="T107" s="37">
        <f t="shared" si="6"/>
        <v>77.250941017282727</v>
      </c>
      <c r="U107" s="37">
        <f t="shared" si="7"/>
        <v>77.250941017282727</v>
      </c>
      <c r="V107" s="41" t="s">
        <v>45</v>
      </c>
      <c r="W107" s="31"/>
    </row>
    <row r="108" s="31" customFormat="1" ht="44.25" customHeight="1">
      <c r="A108" s="33">
        <v>87</v>
      </c>
      <c r="B108" s="50" t="s">
        <v>166</v>
      </c>
      <c r="C108" s="43" t="s">
        <v>43</v>
      </c>
      <c r="D108" s="33">
        <v>1973</v>
      </c>
      <c r="E108" s="44" t="s">
        <v>39</v>
      </c>
      <c r="F108" s="33" t="s">
        <v>48</v>
      </c>
      <c r="G108" s="45">
        <v>5</v>
      </c>
      <c r="H108" s="36">
        <v>4</v>
      </c>
      <c r="I108" s="46">
        <v>3549</v>
      </c>
      <c r="J108" s="37">
        <v>3519.6999999999998</v>
      </c>
      <c r="K108" s="46">
        <v>3419.0999999999999</v>
      </c>
      <c r="L108" s="38">
        <v>190</v>
      </c>
      <c r="M108" s="39">
        <f>SUM(N108:Q108)</f>
        <v>222611.13</v>
      </c>
      <c r="N108" s="46">
        <v>0</v>
      </c>
      <c r="O108" s="37">
        <v>0</v>
      </c>
      <c r="P108" s="46">
        <v>0</v>
      </c>
      <c r="Q108" s="40">
        <f>'Таблица 3 '!C98</f>
        <v>222611.13</v>
      </c>
      <c r="R108" s="46">
        <f>Q108</f>
        <v>222611.13</v>
      </c>
      <c r="S108" s="37">
        <v>0</v>
      </c>
      <c r="T108" s="46">
        <f>M108/J108</f>
        <v>63.247188680853483</v>
      </c>
      <c r="U108" s="37">
        <f>T108</f>
        <v>63.247188680853483</v>
      </c>
      <c r="V108" s="41" t="s">
        <v>45</v>
      </c>
      <c r="W108" s="47"/>
    </row>
    <row r="109" s="31" customFormat="1" ht="44.25" customHeight="1">
      <c r="A109" s="33">
        <v>88</v>
      </c>
      <c r="B109" s="34" t="s">
        <v>167</v>
      </c>
      <c r="C109" s="33" t="s">
        <v>43</v>
      </c>
      <c r="D109" s="35" t="s">
        <v>168</v>
      </c>
      <c r="E109" s="35" t="s">
        <v>57</v>
      </c>
      <c r="F109" s="33" t="s">
        <v>48</v>
      </c>
      <c r="G109" s="36">
        <v>5</v>
      </c>
      <c r="H109" s="36">
        <v>6</v>
      </c>
      <c r="I109" s="37">
        <v>5767.5</v>
      </c>
      <c r="J109" s="37">
        <v>5746.6999999999998</v>
      </c>
      <c r="K109" s="37">
        <v>5568</v>
      </c>
      <c r="L109" s="38">
        <v>229</v>
      </c>
      <c r="M109" s="39">
        <f t="shared" si="4"/>
        <v>13161131.73</v>
      </c>
      <c r="N109" s="37">
        <v>0</v>
      </c>
      <c r="O109" s="37">
        <v>0</v>
      </c>
      <c r="P109" s="37">
        <v>0</v>
      </c>
      <c r="Q109" s="40">
        <f>'Таблица 3 '!C99</f>
        <v>13161131.73</v>
      </c>
      <c r="R109" s="37">
        <f t="shared" si="5"/>
        <v>13161131.73</v>
      </c>
      <c r="S109" s="37">
        <v>0</v>
      </c>
      <c r="T109" s="37">
        <f t="shared" si="6"/>
        <v>2290.2068543685941</v>
      </c>
      <c r="U109" s="37">
        <f t="shared" si="7"/>
        <v>2290.2068543685941</v>
      </c>
      <c r="V109" s="41" t="s">
        <v>45</v>
      </c>
      <c r="W109" s="31"/>
    </row>
    <row r="110" s="31" customFormat="1" ht="44.25" customHeight="1">
      <c r="A110" s="33">
        <v>89</v>
      </c>
      <c r="B110" s="34" t="s">
        <v>169</v>
      </c>
      <c r="C110" s="33" t="s">
        <v>43</v>
      </c>
      <c r="D110" s="35" t="s">
        <v>170</v>
      </c>
      <c r="E110" s="35" t="s">
        <v>39</v>
      </c>
      <c r="F110" s="33" t="s">
        <v>48</v>
      </c>
      <c r="G110" s="36">
        <v>5</v>
      </c>
      <c r="H110" s="36">
        <v>6</v>
      </c>
      <c r="I110" s="37">
        <v>6841.3999999999996</v>
      </c>
      <c r="J110" s="37">
        <v>6127.8999999999996</v>
      </c>
      <c r="K110" s="37">
        <v>5500.6000000000004</v>
      </c>
      <c r="L110" s="38">
        <v>242</v>
      </c>
      <c r="M110" s="39">
        <f t="shared" si="4"/>
        <v>26573380.960000005</v>
      </c>
      <c r="N110" s="37">
        <v>0</v>
      </c>
      <c r="O110" s="37">
        <v>0</v>
      </c>
      <c r="P110" s="37">
        <v>0</v>
      </c>
      <c r="Q110" s="40">
        <f>'Таблица 3 '!C100</f>
        <v>26573380.960000005</v>
      </c>
      <c r="R110" s="37">
        <f t="shared" si="5"/>
        <v>26573380.960000005</v>
      </c>
      <c r="S110" s="37">
        <v>0</v>
      </c>
      <c r="T110" s="37">
        <f t="shared" si="6"/>
        <v>4336.4579970299783</v>
      </c>
      <c r="U110" s="37">
        <f t="shared" si="7"/>
        <v>4336.4579970299783</v>
      </c>
      <c r="V110" s="41" t="s">
        <v>45</v>
      </c>
      <c r="W110" s="31"/>
    </row>
    <row r="111" s="31" customFormat="1" ht="44.25" customHeight="1">
      <c r="A111" s="33">
        <v>90</v>
      </c>
      <c r="B111" s="34" t="s">
        <v>171</v>
      </c>
      <c r="C111" s="33" t="s">
        <v>43</v>
      </c>
      <c r="D111" s="35" t="s">
        <v>168</v>
      </c>
      <c r="E111" s="35" t="s">
        <v>39</v>
      </c>
      <c r="F111" s="33" t="s">
        <v>48</v>
      </c>
      <c r="G111" s="36">
        <v>5</v>
      </c>
      <c r="H111" s="36">
        <v>6</v>
      </c>
      <c r="I111" s="37">
        <v>5866.3999999999996</v>
      </c>
      <c r="J111" s="37">
        <v>5742.8000000000002</v>
      </c>
      <c r="K111" s="37">
        <v>5272.3000000000002</v>
      </c>
      <c r="L111" s="38">
        <v>262</v>
      </c>
      <c r="M111" s="39">
        <f t="shared" si="4"/>
        <v>9264335.9600000009</v>
      </c>
      <c r="N111" s="37">
        <v>0</v>
      </c>
      <c r="O111" s="37">
        <v>0</v>
      </c>
      <c r="P111" s="37">
        <v>0</v>
      </c>
      <c r="Q111" s="40">
        <f>'Таблица 3 '!C101</f>
        <v>9264335.9600000009</v>
      </c>
      <c r="R111" s="37">
        <f t="shared" si="5"/>
        <v>9264335.9600000009</v>
      </c>
      <c r="S111" s="37">
        <v>0</v>
      </c>
      <c r="T111" s="37">
        <f t="shared" si="6"/>
        <v>1613.2088806853801</v>
      </c>
      <c r="U111" s="37">
        <f t="shared" si="7"/>
        <v>1613.2088806853801</v>
      </c>
      <c r="V111" s="41" t="s">
        <v>45</v>
      </c>
      <c r="W111" s="31"/>
    </row>
    <row r="112" s="31" customFormat="1" ht="44.25" customHeight="1">
      <c r="A112" s="33">
        <v>91</v>
      </c>
      <c r="B112" s="34" t="s">
        <v>172</v>
      </c>
      <c r="C112" s="33" t="s">
        <v>43</v>
      </c>
      <c r="D112" s="35" t="s">
        <v>173</v>
      </c>
      <c r="E112" s="35" t="s">
        <v>39</v>
      </c>
      <c r="F112" s="33" t="s">
        <v>48</v>
      </c>
      <c r="G112" s="36">
        <v>5</v>
      </c>
      <c r="H112" s="36">
        <v>4</v>
      </c>
      <c r="I112" s="37">
        <v>3829.3000000000002</v>
      </c>
      <c r="J112" s="37">
        <v>3827.9000000000001</v>
      </c>
      <c r="K112" s="37">
        <v>3677.6999999999998</v>
      </c>
      <c r="L112" s="38">
        <v>171</v>
      </c>
      <c r="M112" s="39">
        <f t="shared" si="4"/>
        <v>5782289.3100000005</v>
      </c>
      <c r="N112" s="37">
        <v>0</v>
      </c>
      <c r="O112" s="37">
        <v>0</v>
      </c>
      <c r="P112" s="37">
        <v>0</v>
      </c>
      <c r="Q112" s="40">
        <f>'Таблица 3 '!C102</f>
        <v>5782289.3100000005</v>
      </c>
      <c r="R112" s="37">
        <f t="shared" si="5"/>
        <v>5782289.3100000005</v>
      </c>
      <c r="S112" s="37">
        <v>0</v>
      </c>
      <c r="T112" s="37">
        <f t="shared" si="6"/>
        <v>1510.5643590480422</v>
      </c>
      <c r="U112" s="37">
        <f t="shared" si="7"/>
        <v>1510.5643590480422</v>
      </c>
      <c r="V112" s="41" t="s">
        <v>45</v>
      </c>
      <c r="W112" s="31"/>
    </row>
    <row r="113" s="31" customFormat="1" ht="44.25" customHeight="1">
      <c r="A113" s="33">
        <v>92</v>
      </c>
      <c r="B113" s="34" t="s">
        <v>174</v>
      </c>
      <c r="C113" s="33" t="s">
        <v>43</v>
      </c>
      <c r="D113" s="33">
        <v>1978</v>
      </c>
      <c r="E113" s="35" t="s">
        <v>39</v>
      </c>
      <c r="F113" s="33" t="s">
        <v>77</v>
      </c>
      <c r="G113" s="36">
        <v>5</v>
      </c>
      <c r="H113" s="36">
        <v>4</v>
      </c>
      <c r="I113" s="40">
        <v>3312.1999999999998</v>
      </c>
      <c r="J113" s="40">
        <v>3374</v>
      </c>
      <c r="K113" s="40">
        <v>3160.4000000000001</v>
      </c>
      <c r="L113" s="48">
        <v>124</v>
      </c>
      <c r="M113" s="39">
        <f t="shared" ref="M113:M115" si="8">SUM(N113:Q113)</f>
        <v>1377774.6800000002</v>
      </c>
      <c r="N113" s="37">
        <v>0</v>
      </c>
      <c r="O113" s="37">
        <v>0</v>
      </c>
      <c r="P113" s="37">
        <v>0</v>
      </c>
      <c r="Q113" s="40">
        <f>'Таблица 3 '!C103</f>
        <v>1377774.6800000002</v>
      </c>
      <c r="R113" s="37">
        <f t="shared" ref="R113:R115" si="9">Q113</f>
        <v>1377774.6800000002</v>
      </c>
      <c r="S113" s="40">
        <v>0</v>
      </c>
      <c r="T113" s="37">
        <f t="shared" ref="T113:T115" si="10">M113/J113</f>
        <v>408.35052756372261</v>
      </c>
      <c r="U113" s="37">
        <f t="shared" ref="U113:U115" si="11">T113</f>
        <v>408.35052756372261</v>
      </c>
      <c r="V113" s="41" t="s">
        <v>45</v>
      </c>
      <c r="W113" s="31"/>
    </row>
    <row r="114" s="54" customFormat="1" ht="44.25" customHeight="1">
      <c r="A114" s="33">
        <v>93</v>
      </c>
      <c r="B114" s="34" t="s">
        <v>175</v>
      </c>
      <c r="C114" s="33" t="s">
        <v>43</v>
      </c>
      <c r="D114" s="35" t="s">
        <v>176</v>
      </c>
      <c r="E114" s="35" t="s">
        <v>57</v>
      </c>
      <c r="F114" s="33" t="s">
        <v>48</v>
      </c>
      <c r="G114" s="36">
        <v>5</v>
      </c>
      <c r="H114" s="36">
        <v>4</v>
      </c>
      <c r="I114" s="37">
        <v>6254.5</v>
      </c>
      <c r="J114" s="37">
        <v>4492.6999999999998</v>
      </c>
      <c r="K114" s="37">
        <v>2712</v>
      </c>
      <c r="L114" s="38">
        <v>208</v>
      </c>
      <c r="M114" s="39">
        <f t="shared" si="8"/>
        <v>14706691.49</v>
      </c>
      <c r="N114" s="37">
        <v>0</v>
      </c>
      <c r="O114" s="37">
        <v>0</v>
      </c>
      <c r="P114" s="37">
        <v>0</v>
      </c>
      <c r="Q114" s="40">
        <f>'Таблица 3 '!C104</f>
        <v>14706691.49</v>
      </c>
      <c r="R114" s="37">
        <f t="shared" si="9"/>
        <v>14706691.49</v>
      </c>
      <c r="S114" s="37">
        <v>0</v>
      </c>
      <c r="T114" s="37">
        <f t="shared" si="10"/>
        <v>3273.4639504084407</v>
      </c>
      <c r="U114" s="37">
        <f t="shared" si="11"/>
        <v>3273.4639504084407</v>
      </c>
      <c r="V114" s="41" t="s">
        <v>45</v>
      </c>
      <c r="W114" s="31"/>
    </row>
    <row r="115" s="54" customFormat="1" ht="44.25" customHeight="1">
      <c r="A115" s="33">
        <v>94</v>
      </c>
      <c r="B115" s="34" t="s">
        <v>177</v>
      </c>
      <c r="C115" s="33" t="s">
        <v>43</v>
      </c>
      <c r="D115" s="35">
        <v>1979</v>
      </c>
      <c r="E115" s="35" t="s">
        <v>39</v>
      </c>
      <c r="F115" s="33" t="s">
        <v>48</v>
      </c>
      <c r="G115" s="36">
        <v>5</v>
      </c>
      <c r="H115" s="36">
        <v>4</v>
      </c>
      <c r="I115" s="37">
        <v>4731.8999999999996</v>
      </c>
      <c r="J115" s="37">
        <v>3440.9000000000001</v>
      </c>
      <c r="K115" s="37">
        <v>3396.4000000000001</v>
      </c>
      <c r="L115" s="38">
        <v>172</v>
      </c>
      <c r="M115" s="39">
        <f t="shared" si="8"/>
        <v>249341.12</v>
      </c>
      <c r="N115" s="37">
        <v>0</v>
      </c>
      <c r="O115" s="37">
        <v>0</v>
      </c>
      <c r="P115" s="37">
        <v>0</v>
      </c>
      <c r="Q115" s="40">
        <f>'Таблица 3 '!C105</f>
        <v>249341.12</v>
      </c>
      <c r="R115" s="37">
        <f t="shared" si="9"/>
        <v>249341.12</v>
      </c>
      <c r="S115" s="37">
        <v>0</v>
      </c>
      <c r="T115" s="37">
        <f t="shared" si="10"/>
        <v>72.463925135865608</v>
      </c>
      <c r="U115" s="37">
        <f t="shared" si="11"/>
        <v>72.463925135865608</v>
      </c>
      <c r="V115" s="41" t="s">
        <v>45</v>
      </c>
      <c r="W115" s="31"/>
    </row>
    <row r="116" s="31" customFormat="1" ht="44.25" customHeight="1">
      <c r="A116" s="33">
        <v>95</v>
      </c>
      <c r="B116" s="34" t="s">
        <v>178</v>
      </c>
      <c r="C116" s="33" t="s">
        <v>43</v>
      </c>
      <c r="D116" s="33">
        <v>1977</v>
      </c>
      <c r="E116" s="35" t="s">
        <v>70</v>
      </c>
      <c r="F116" s="33" t="s">
        <v>48</v>
      </c>
      <c r="G116" s="36">
        <v>5</v>
      </c>
      <c r="H116" s="36">
        <v>4</v>
      </c>
      <c r="I116" s="37">
        <v>4698.3000000000002</v>
      </c>
      <c r="J116" s="37">
        <v>3682.8000000000002</v>
      </c>
      <c r="K116" s="37">
        <v>3587.0999999999999</v>
      </c>
      <c r="L116" s="38">
        <v>86</v>
      </c>
      <c r="M116" s="39">
        <f t="shared" si="4"/>
        <v>2901295.6099999999</v>
      </c>
      <c r="N116" s="37">
        <v>0</v>
      </c>
      <c r="O116" s="37">
        <v>0</v>
      </c>
      <c r="P116" s="37">
        <v>0</v>
      </c>
      <c r="Q116" s="40">
        <f>'Таблица 3 '!C106</f>
        <v>2901295.6099999999</v>
      </c>
      <c r="R116" s="37">
        <f t="shared" si="5"/>
        <v>2901295.6099999999</v>
      </c>
      <c r="S116" s="37">
        <v>0</v>
      </c>
      <c r="T116" s="37">
        <f t="shared" si="6"/>
        <v>787.79613609210378</v>
      </c>
      <c r="U116" s="37">
        <f t="shared" si="7"/>
        <v>787.79613609210378</v>
      </c>
      <c r="V116" s="41" t="s">
        <v>45</v>
      </c>
      <c r="W116" s="31"/>
    </row>
    <row r="117" s="31" customFormat="1" ht="44.25" customHeight="1">
      <c r="A117" s="33">
        <v>96</v>
      </c>
      <c r="B117" s="42" t="s">
        <v>179</v>
      </c>
      <c r="C117" s="33" t="s">
        <v>43</v>
      </c>
      <c r="D117" s="33">
        <v>1973</v>
      </c>
      <c r="E117" s="35" t="s">
        <v>39</v>
      </c>
      <c r="F117" s="33" t="s">
        <v>48</v>
      </c>
      <c r="G117" s="36">
        <v>5</v>
      </c>
      <c r="H117" s="36">
        <v>4</v>
      </c>
      <c r="I117" s="37">
        <v>4374.1000000000004</v>
      </c>
      <c r="J117" s="37">
        <v>3351.6999999999998</v>
      </c>
      <c r="K117" s="37">
        <v>3236</v>
      </c>
      <c r="L117" s="38">
        <v>73</v>
      </c>
      <c r="M117" s="39">
        <f>SUM(N117:Q117)</f>
        <v>272569.13</v>
      </c>
      <c r="N117" s="37">
        <v>0</v>
      </c>
      <c r="O117" s="37">
        <v>0</v>
      </c>
      <c r="P117" s="37">
        <v>0</v>
      </c>
      <c r="Q117" s="40">
        <f>'Таблица 3 '!C107</f>
        <v>272569.13</v>
      </c>
      <c r="R117" s="37">
        <f>Q117</f>
        <v>272569.13</v>
      </c>
      <c r="S117" s="40">
        <v>0</v>
      </c>
      <c r="T117" s="37">
        <f>M117/J117</f>
        <v>81.322651191932465</v>
      </c>
      <c r="U117" s="37">
        <f>T117</f>
        <v>81.322651191932465</v>
      </c>
      <c r="V117" s="41" t="s">
        <v>45</v>
      </c>
      <c r="W117" s="31"/>
    </row>
    <row r="118" s="31" customFormat="1" ht="44.25" customHeight="1">
      <c r="A118" s="33">
        <v>97</v>
      </c>
      <c r="B118" s="34" t="s">
        <v>180</v>
      </c>
      <c r="C118" s="33" t="s">
        <v>43</v>
      </c>
      <c r="D118" s="33">
        <v>1991</v>
      </c>
      <c r="E118" s="35" t="s">
        <v>39</v>
      </c>
      <c r="F118" s="33" t="s">
        <v>48</v>
      </c>
      <c r="G118" s="36">
        <v>5</v>
      </c>
      <c r="H118" s="36">
        <v>3</v>
      </c>
      <c r="I118" s="37">
        <v>3716.3000000000002</v>
      </c>
      <c r="J118" s="37">
        <v>3305.9000000000001</v>
      </c>
      <c r="K118" s="37">
        <v>3219.8000000000002</v>
      </c>
      <c r="L118" s="38">
        <v>145</v>
      </c>
      <c r="M118" s="39">
        <f t="shared" si="4"/>
        <v>285156.96999999997</v>
      </c>
      <c r="N118" s="37">
        <v>0</v>
      </c>
      <c r="O118" s="37">
        <v>0</v>
      </c>
      <c r="P118" s="37">
        <v>0</v>
      </c>
      <c r="Q118" s="40">
        <f>'Таблица 3 '!C108</f>
        <v>285156.96999999997</v>
      </c>
      <c r="R118" s="37">
        <f t="shared" si="5"/>
        <v>285156.96999999997</v>
      </c>
      <c r="S118" s="37">
        <v>0</v>
      </c>
      <c r="T118" s="37">
        <f t="shared" si="6"/>
        <v>86.256985994736667</v>
      </c>
      <c r="U118" s="37">
        <f t="shared" si="7"/>
        <v>86.256985994736667</v>
      </c>
      <c r="V118" s="41" t="s">
        <v>45</v>
      </c>
      <c r="W118" s="31"/>
    </row>
    <row r="119" s="31" customFormat="1" ht="44.25" customHeight="1">
      <c r="A119" s="33">
        <v>98</v>
      </c>
      <c r="B119" s="34" t="s">
        <v>181</v>
      </c>
      <c r="C119" s="33" t="s">
        <v>43</v>
      </c>
      <c r="D119" s="35" t="s">
        <v>182</v>
      </c>
      <c r="E119" s="35" t="s">
        <v>70</v>
      </c>
      <c r="F119" s="33" t="s">
        <v>48</v>
      </c>
      <c r="G119" s="36">
        <v>5</v>
      </c>
      <c r="H119" s="36">
        <v>3</v>
      </c>
      <c r="I119" s="37">
        <v>3663.5999999999999</v>
      </c>
      <c r="J119" s="37">
        <v>3331.5</v>
      </c>
      <c r="K119" s="37">
        <v>2937</v>
      </c>
      <c r="L119" s="38">
        <v>126</v>
      </c>
      <c r="M119" s="39">
        <f t="shared" si="4"/>
        <v>2290444.2999999998</v>
      </c>
      <c r="N119" s="37">
        <v>0</v>
      </c>
      <c r="O119" s="37">
        <v>0</v>
      </c>
      <c r="P119" s="37">
        <v>0</v>
      </c>
      <c r="Q119" s="40">
        <f>'Таблица 3 '!C109</f>
        <v>2290444.2999999998</v>
      </c>
      <c r="R119" s="37">
        <f t="shared" si="5"/>
        <v>2290444.2999999998</v>
      </c>
      <c r="S119" s="37">
        <v>0</v>
      </c>
      <c r="T119" s="37">
        <f t="shared" si="6"/>
        <v>687.51142128170488</v>
      </c>
      <c r="U119" s="37">
        <f t="shared" si="7"/>
        <v>687.51142128170488</v>
      </c>
      <c r="V119" s="41" t="s">
        <v>45</v>
      </c>
      <c r="W119" s="31"/>
    </row>
    <row r="120" s="31" customFormat="1" ht="44.25" customHeight="1">
      <c r="A120" s="33">
        <v>99</v>
      </c>
      <c r="B120" s="34" t="s">
        <v>183</v>
      </c>
      <c r="C120" s="33" t="s">
        <v>43</v>
      </c>
      <c r="D120" s="35" t="s">
        <v>137</v>
      </c>
      <c r="E120" s="35" t="s">
        <v>39</v>
      </c>
      <c r="F120" s="33" t="s">
        <v>44</v>
      </c>
      <c r="G120" s="36">
        <v>5</v>
      </c>
      <c r="H120" s="36">
        <v>4</v>
      </c>
      <c r="I120" s="37">
        <v>3373</v>
      </c>
      <c r="J120" s="37">
        <v>3359.8000000000002</v>
      </c>
      <c r="K120" s="37">
        <v>3152.0999999999999</v>
      </c>
      <c r="L120" s="38">
        <v>175</v>
      </c>
      <c r="M120" s="39">
        <f t="shared" si="4"/>
        <v>8786046.040000001</v>
      </c>
      <c r="N120" s="37">
        <v>0</v>
      </c>
      <c r="O120" s="37">
        <v>0</v>
      </c>
      <c r="P120" s="37">
        <v>0</v>
      </c>
      <c r="Q120" s="40">
        <f>'Таблица 3 '!C110</f>
        <v>8786046.040000001</v>
      </c>
      <c r="R120" s="37">
        <f t="shared" si="5"/>
        <v>8786046.040000001</v>
      </c>
      <c r="S120" s="37">
        <v>0</v>
      </c>
      <c r="T120" s="37">
        <f t="shared" si="6"/>
        <v>2615.0503125186024</v>
      </c>
      <c r="U120" s="37">
        <f t="shared" si="7"/>
        <v>2615.0503125186024</v>
      </c>
      <c r="V120" s="41" t="s">
        <v>45</v>
      </c>
      <c r="W120" s="31"/>
    </row>
    <row r="121" s="31" customFormat="1" ht="44.25" customHeight="1">
      <c r="A121" s="33">
        <v>100</v>
      </c>
      <c r="B121" s="34" t="s">
        <v>184</v>
      </c>
      <c r="C121" s="33" t="s">
        <v>43</v>
      </c>
      <c r="D121" s="33">
        <v>1964</v>
      </c>
      <c r="E121" s="35" t="s">
        <v>39</v>
      </c>
      <c r="F121" s="33" t="s">
        <v>44</v>
      </c>
      <c r="G121" s="36">
        <v>2</v>
      </c>
      <c r="H121" s="36">
        <v>1</v>
      </c>
      <c r="I121" s="37">
        <v>297.5</v>
      </c>
      <c r="J121" s="37">
        <v>297.5</v>
      </c>
      <c r="K121" s="37">
        <v>221</v>
      </c>
      <c r="L121" s="38">
        <v>20</v>
      </c>
      <c r="M121" s="39">
        <f t="shared" si="4"/>
        <v>163729.57999999999</v>
      </c>
      <c r="N121" s="37">
        <v>0</v>
      </c>
      <c r="O121" s="37">
        <v>0</v>
      </c>
      <c r="P121" s="37">
        <v>0</v>
      </c>
      <c r="Q121" s="40">
        <f>'Таблица 3 '!C111</f>
        <v>163729.57999999999</v>
      </c>
      <c r="R121" s="37">
        <f t="shared" si="5"/>
        <v>163729.57999999999</v>
      </c>
      <c r="S121" s="37">
        <v>0</v>
      </c>
      <c r="T121" s="37">
        <f t="shared" si="6"/>
        <v>550.35152941176466</v>
      </c>
      <c r="U121" s="37">
        <f t="shared" si="7"/>
        <v>550.35152941176466</v>
      </c>
      <c r="V121" s="41" t="s">
        <v>45</v>
      </c>
      <c r="W121" s="31"/>
    </row>
    <row r="122" s="31" customFormat="1" ht="44.25" customHeight="1">
      <c r="A122" s="33">
        <v>101</v>
      </c>
      <c r="B122" s="34" t="s">
        <v>185</v>
      </c>
      <c r="C122" s="33" t="s">
        <v>43</v>
      </c>
      <c r="D122" s="33">
        <v>1963</v>
      </c>
      <c r="E122" s="35" t="s">
        <v>39</v>
      </c>
      <c r="F122" s="33" t="s">
        <v>44</v>
      </c>
      <c r="G122" s="36">
        <v>2</v>
      </c>
      <c r="H122" s="36">
        <v>2</v>
      </c>
      <c r="I122" s="37">
        <v>632.29999999999995</v>
      </c>
      <c r="J122" s="37">
        <v>633</v>
      </c>
      <c r="K122" s="37">
        <v>630.79999999999995</v>
      </c>
      <c r="L122" s="38">
        <v>28</v>
      </c>
      <c r="M122" s="39">
        <f>SUM(N122:Q122)</f>
        <v>220295.20000000001</v>
      </c>
      <c r="N122" s="37">
        <v>0</v>
      </c>
      <c r="O122" s="37">
        <v>0</v>
      </c>
      <c r="P122" s="37">
        <v>0</v>
      </c>
      <c r="Q122" s="40">
        <f>'Таблица 3 '!C112</f>
        <v>220295.20000000001</v>
      </c>
      <c r="R122" s="37">
        <f>Q122</f>
        <v>220295.20000000001</v>
      </c>
      <c r="S122" s="37">
        <v>0</v>
      </c>
      <c r="T122" s="37">
        <f>M122/J122</f>
        <v>348.01769352290682</v>
      </c>
      <c r="U122" s="37">
        <f>T122</f>
        <v>348.01769352290682</v>
      </c>
      <c r="V122" s="41" t="s">
        <v>45</v>
      </c>
      <c r="W122" s="31"/>
    </row>
    <row r="123" s="31" customFormat="1" ht="44.25" customHeight="1">
      <c r="A123" s="33">
        <v>102</v>
      </c>
      <c r="B123" s="34" t="s">
        <v>186</v>
      </c>
      <c r="C123" s="33" t="s">
        <v>43</v>
      </c>
      <c r="D123" s="33">
        <v>1993</v>
      </c>
      <c r="E123" s="35" t="s">
        <v>50</v>
      </c>
      <c r="F123" s="33" t="s">
        <v>48</v>
      </c>
      <c r="G123" s="36">
        <v>7</v>
      </c>
      <c r="H123" s="36">
        <v>2</v>
      </c>
      <c r="I123" s="37">
        <v>3265.3000000000002</v>
      </c>
      <c r="J123" s="37">
        <v>2587.9000000000001</v>
      </c>
      <c r="K123" s="37">
        <v>2529.9000000000001</v>
      </c>
      <c r="L123" s="38">
        <v>68</v>
      </c>
      <c r="M123" s="39">
        <f t="shared" si="4"/>
        <v>5559673.54</v>
      </c>
      <c r="N123" s="37">
        <v>0</v>
      </c>
      <c r="O123" s="37">
        <v>0</v>
      </c>
      <c r="P123" s="37">
        <v>0</v>
      </c>
      <c r="Q123" s="40">
        <f>'Таблица 3 '!C113</f>
        <v>5559673.54</v>
      </c>
      <c r="R123" s="37">
        <f t="shared" si="5"/>
        <v>5559673.54</v>
      </c>
      <c r="S123" s="37">
        <v>0</v>
      </c>
      <c r="T123" s="37">
        <f t="shared" si="6"/>
        <v>2148.3339928127052</v>
      </c>
      <c r="U123" s="37">
        <f t="shared" si="7"/>
        <v>2148.3339928127052</v>
      </c>
      <c r="V123" s="41" t="s">
        <v>45</v>
      </c>
      <c r="W123" s="31"/>
    </row>
    <row r="124" s="31" customFormat="1" ht="44.25" customHeight="1">
      <c r="A124" s="33">
        <v>103</v>
      </c>
      <c r="B124" s="34" t="s">
        <v>187</v>
      </c>
      <c r="C124" s="33" t="s">
        <v>43</v>
      </c>
      <c r="D124" s="35" t="s">
        <v>176</v>
      </c>
      <c r="E124" s="35" t="s">
        <v>60</v>
      </c>
      <c r="F124" s="33" t="s">
        <v>48</v>
      </c>
      <c r="G124" s="36">
        <v>10</v>
      </c>
      <c r="H124" s="36">
        <v>2</v>
      </c>
      <c r="I124" s="37">
        <v>4338.6000000000004</v>
      </c>
      <c r="J124" s="37">
        <v>4275.1999999999998</v>
      </c>
      <c r="K124" s="37">
        <v>4036.4000000000001</v>
      </c>
      <c r="L124" s="38">
        <v>142</v>
      </c>
      <c r="M124" s="39">
        <f t="shared" si="4"/>
        <v>6562018.6600000001</v>
      </c>
      <c r="N124" s="37">
        <v>0</v>
      </c>
      <c r="O124" s="37">
        <v>0</v>
      </c>
      <c r="P124" s="37">
        <v>0</v>
      </c>
      <c r="Q124" s="40">
        <f>'Таблица 3 '!C114</f>
        <v>6562018.6600000001</v>
      </c>
      <c r="R124" s="37">
        <f t="shared" si="5"/>
        <v>6562018.6600000001</v>
      </c>
      <c r="S124" s="37">
        <v>0</v>
      </c>
      <c r="T124" s="37">
        <f t="shared" si="6"/>
        <v>1534.9033168038923</v>
      </c>
      <c r="U124" s="37">
        <f t="shared" si="7"/>
        <v>1534.9033168038923</v>
      </c>
      <c r="V124" s="41" t="s">
        <v>45</v>
      </c>
      <c r="W124" s="31"/>
    </row>
    <row r="125" s="31" customFormat="1" ht="44.25" customHeight="1">
      <c r="A125" s="33">
        <v>104</v>
      </c>
      <c r="B125" s="34" t="s">
        <v>188</v>
      </c>
      <c r="C125" s="33" t="s">
        <v>43</v>
      </c>
      <c r="D125" s="33">
        <v>1990</v>
      </c>
      <c r="E125" s="35" t="s">
        <v>47</v>
      </c>
      <c r="F125" s="33" t="s">
        <v>48</v>
      </c>
      <c r="G125" s="36">
        <v>9</v>
      </c>
      <c r="H125" s="36">
        <v>3</v>
      </c>
      <c r="I125" s="40">
        <v>7590.1999999999998</v>
      </c>
      <c r="J125" s="40">
        <v>7326.5</v>
      </c>
      <c r="K125" s="40">
        <v>7397.8999999999996</v>
      </c>
      <c r="L125" s="48">
        <v>298</v>
      </c>
      <c r="M125" s="40">
        <f t="shared" ref="M125:M126" si="12">SUM(N125:Q125)</f>
        <v>5559998.6600000001</v>
      </c>
      <c r="N125" s="40">
        <v>0</v>
      </c>
      <c r="O125" s="40">
        <v>0</v>
      </c>
      <c r="P125" s="40">
        <v>0</v>
      </c>
      <c r="Q125" s="40">
        <f>'Таблица 3 '!C115</f>
        <v>5559998.6600000001</v>
      </c>
      <c r="R125" s="40">
        <f t="shared" ref="R125:R126" si="13">Q125</f>
        <v>5559998.6600000001</v>
      </c>
      <c r="S125" s="40">
        <v>0</v>
      </c>
      <c r="T125" s="37">
        <f t="shared" ref="T125:T126" si="14">M125/J125</f>
        <v>758.88878181942266</v>
      </c>
      <c r="U125" s="37">
        <f t="shared" ref="U125:U126" si="15">T125</f>
        <v>758.88878181942266</v>
      </c>
      <c r="V125" s="41" t="s">
        <v>45</v>
      </c>
      <c r="W125" s="31"/>
    </row>
    <row r="126" s="47" customFormat="1" ht="44.25" customHeight="1">
      <c r="A126" s="33">
        <v>105</v>
      </c>
      <c r="B126" s="34" t="s">
        <v>189</v>
      </c>
      <c r="C126" s="43" t="s">
        <v>43</v>
      </c>
      <c r="D126" s="35" t="s">
        <v>152</v>
      </c>
      <c r="E126" s="44" t="s">
        <v>50</v>
      </c>
      <c r="F126" s="33" t="s">
        <v>48</v>
      </c>
      <c r="G126" s="45">
        <v>5</v>
      </c>
      <c r="H126" s="36">
        <v>6</v>
      </c>
      <c r="I126" s="46">
        <v>6587.8000000000002</v>
      </c>
      <c r="J126" s="37">
        <v>4864.3000000000002</v>
      </c>
      <c r="K126" s="46">
        <v>4410.8999999999996</v>
      </c>
      <c r="L126" s="38">
        <v>208</v>
      </c>
      <c r="M126" s="39">
        <f t="shared" si="12"/>
        <v>200350.98000000001</v>
      </c>
      <c r="N126" s="46">
        <v>0</v>
      </c>
      <c r="O126" s="37">
        <v>0</v>
      </c>
      <c r="P126" s="46">
        <v>0</v>
      </c>
      <c r="Q126" s="40">
        <f>'Таблица 3 '!C116</f>
        <v>200350.98000000001</v>
      </c>
      <c r="R126" s="46">
        <f t="shared" si="13"/>
        <v>200350.98000000001</v>
      </c>
      <c r="S126" s="37">
        <v>0</v>
      </c>
      <c r="T126" s="46">
        <f t="shared" si="14"/>
        <v>41.188039389017945</v>
      </c>
      <c r="U126" s="37">
        <f t="shared" si="15"/>
        <v>41.188039389017945</v>
      </c>
      <c r="V126" s="41" t="s">
        <v>45</v>
      </c>
      <c r="W126" s="47"/>
    </row>
    <row r="127" s="31" customFormat="1" ht="44.25" customHeight="1">
      <c r="A127" s="33">
        <v>106</v>
      </c>
      <c r="B127" s="34" t="s">
        <v>190</v>
      </c>
      <c r="C127" s="33" t="s">
        <v>43</v>
      </c>
      <c r="D127" s="33">
        <v>1980</v>
      </c>
      <c r="E127" s="35" t="s">
        <v>39</v>
      </c>
      <c r="F127" s="33" t="s">
        <v>48</v>
      </c>
      <c r="G127" s="36">
        <v>5</v>
      </c>
      <c r="H127" s="36">
        <v>6</v>
      </c>
      <c r="I127" s="37">
        <v>6577.8999999999996</v>
      </c>
      <c r="J127" s="37">
        <v>5706.8999999999996</v>
      </c>
      <c r="K127" s="37">
        <v>5085.5</v>
      </c>
      <c r="L127" s="38">
        <v>210</v>
      </c>
      <c r="M127" s="39">
        <f t="shared" si="4"/>
        <v>17165455</v>
      </c>
      <c r="N127" s="37">
        <v>0</v>
      </c>
      <c r="O127" s="37">
        <v>0</v>
      </c>
      <c r="P127" s="37">
        <v>0</v>
      </c>
      <c r="Q127" s="40">
        <f>'Таблица 3 '!C117</f>
        <v>17165455</v>
      </c>
      <c r="R127" s="37">
        <f t="shared" si="5"/>
        <v>17165455</v>
      </c>
      <c r="S127" s="37">
        <v>0</v>
      </c>
      <c r="T127" s="37">
        <f t="shared" si="6"/>
        <v>3007.842261122501</v>
      </c>
      <c r="U127" s="37">
        <f t="shared" si="7"/>
        <v>3007.842261122501</v>
      </c>
      <c r="V127" s="41" t="s">
        <v>45</v>
      </c>
      <c r="W127" s="31"/>
    </row>
    <row r="128" s="31" customFormat="1" ht="44.25" customHeight="1">
      <c r="A128" s="33">
        <v>107</v>
      </c>
      <c r="B128" s="34" t="s">
        <v>191</v>
      </c>
      <c r="C128" s="33" t="s">
        <v>43</v>
      </c>
      <c r="D128" s="33">
        <v>1960</v>
      </c>
      <c r="E128" s="35" t="s">
        <v>39</v>
      </c>
      <c r="F128" s="33" t="s">
        <v>44</v>
      </c>
      <c r="G128" s="36">
        <v>2</v>
      </c>
      <c r="H128" s="36">
        <v>1</v>
      </c>
      <c r="I128" s="37">
        <v>288.80000000000001</v>
      </c>
      <c r="J128" s="37">
        <v>230</v>
      </c>
      <c r="K128" s="37">
        <v>263.10000000000002</v>
      </c>
      <c r="L128" s="38">
        <v>13</v>
      </c>
      <c r="M128" s="39">
        <f t="shared" si="4"/>
        <v>189520</v>
      </c>
      <c r="N128" s="37">
        <v>0</v>
      </c>
      <c r="O128" s="37">
        <v>0</v>
      </c>
      <c r="P128" s="37">
        <v>0</v>
      </c>
      <c r="Q128" s="40">
        <f>'Таблица 3 '!C118</f>
        <v>189520</v>
      </c>
      <c r="R128" s="37">
        <f t="shared" si="5"/>
        <v>189520</v>
      </c>
      <c r="S128" s="37">
        <v>0</v>
      </c>
      <c r="T128" s="37">
        <f t="shared" si="6"/>
        <v>824</v>
      </c>
      <c r="U128" s="37">
        <f t="shared" si="7"/>
        <v>824</v>
      </c>
      <c r="V128" s="41" t="s">
        <v>45</v>
      </c>
      <c r="W128" s="31"/>
    </row>
    <row r="129" s="31" customFormat="1" ht="44.25" customHeight="1">
      <c r="A129" s="33">
        <v>108</v>
      </c>
      <c r="B129" s="34" t="s">
        <v>192</v>
      </c>
      <c r="C129" s="33" t="s">
        <v>43</v>
      </c>
      <c r="D129" s="33">
        <v>1975</v>
      </c>
      <c r="E129" s="35" t="s">
        <v>39</v>
      </c>
      <c r="F129" s="33" t="s">
        <v>77</v>
      </c>
      <c r="G129" s="36">
        <v>2</v>
      </c>
      <c r="H129" s="36">
        <v>2</v>
      </c>
      <c r="I129" s="40">
        <v>1005.1</v>
      </c>
      <c r="J129" s="40">
        <v>917.39999999999998</v>
      </c>
      <c r="K129" s="40">
        <v>640</v>
      </c>
      <c r="L129" s="48">
        <v>41</v>
      </c>
      <c r="M129" s="39">
        <f>SUM(N129:Q129)</f>
        <v>221624.47</v>
      </c>
      <c r="N129" s="37">
        <v>0</v>
      </c>
      <c r="O129" s="37">
        <v>0</v>
      </c>
      <c r="P129" s="37">
        <v>0</v>
      </c>
      <c r="Q129" s="40">
        <f>'Таблица 3 '!C119</f>
        <v>221624.47</v>
      </c>
      <c r="R129" s="37">
        <f>Q129</f>
        <v>221624.47</v>
      </c>
      <c r="S129" s="40">
        <v>0</v>
      </c>
      <c r="T129" s="37">
        <f>M129/J129</f>
        <v>241.57888598212341</v>
      </c>
      <c r="U129" s="37">
        <f>T129</f>
        <v>241.57888598212341</v>
      </c>
      <c r="V129" s="41" t="s">
        <v>45</v>
      </c>
      <c r="W129" s="31"/>
    </row>
    <row r="130" s="31" customFormat="1" ht="44.25" customHeight="1">
      <c r="A130" s="33">
        <v>109</v>
      </c>
      <c r="B130" s="50" t="s">
        <v>193</v>
      </c>
      <c r="C130" s="33" t="s">
        <v>43</v>
      </c>
      <c r="D130" s="35" t="s">
        <v>170</v>
      </c>
      <c r="E130" s="35" t="s">
        <v>50</v>
      </c>
      <c r="F130" s="33" t="s">
        <v>44</v>
      </c>
      <c r="G130" s="36">
        <v>5</v>
      </c>
      <c r="H130" s="36">
        <v>4</v>
      </c>
      <c r="I130" s="37">
        <v>3726.8000000000002</v>
      </c>
      <c r="J130" s="37">
        <v>3165.4000000000001</v>
      </c>
      <c r="K130" s="37">
        <v>2711.6999999999998</v>
      </c>
      <c r="L130" s="38">
        <v>116</v>
      </c>
      <c r="M130" s="39">
        <f t="shared" si="4"/>
        <v>6353757.7700000014</v>
      </c>
      <c r="N130" s="37">
        <v>0</v>
      </c>
      <c r="O130" s="37">
        <v>0</v>
      </c>
      <c r="P130" s="37">
        <v>0</v>
      </c>
      <c r="Q130" s="40">
        <f>'Таблица 3 '!C120</f>
        <v>6353757.7700000014</v>
      </c>
      <c r="R130" s="37">
        <f t="shared" si="5"/>
        <v>6353757.7700000014</v>
      </c>
      <c r="S130" s="37">
        <v>0</v>
      </c>
      <c r="T130" s="37">
        <f t="shared" si="6"/>
        <v>2007.2527231945414</v>
      </c>
      <c r="U130" s="37">
        <f t="shared" si="7"/>
        <v>2007.2527231945414</v>
      </c>
      <c r="V130" s="41" t="s">
        <v>45</v>
      </c>
      <c r="W130" s="31"/>
    </row>
    <row r="131" s="31" customFormat="1" ht="44.25" customHeight="1">
      <c r="A131" s="33">
        <v>110</v>
      </c>
      <c r="B131" s="49" t="s">
        <v>194</v>
      </c>
      <c r="C131" s="33" t="s">
        <v>43</v>
      </c>
      <c r="D131" s="35" t="s">
        <v>195</v>
      </c>
      <c r="E131" s="35" t="s">
        <v>39</v>
      </c>
      <c r="F131" s="33" t="s">
        <v>44</v>
      </c>
      <c r="G131" s="36">
        <v>2</v>
      </c>
      <c r="H131" s="36">
        <v>2</v>
      </c>
      <c r="I131" s="37">
        <v>633</v>
      </c>
      <c r="J131" s="37">
        <v>540.70000000000005</v>
      </c>
      <c r="K131" s="37">
        <v>432.68000000000001</v>
      </c>
      <c r="L131" s="38">
        <v>28</v>
      </c>
      <c r="M131" s="39">
        <f t="shared" si="4"/>
        <v>190384.10000000001</v>
      </c>
      <c r="N131" s="37">
        <v>0</v>
      </c>
      <c r="O131" s="37">
        <v>0</v>
      </c>
      <c r="P131" s="37">
        <v>0</v>
      </c>
      <c r="Q131" s="40">
        <f>'Таблица 3 '!C121</f>
        <v>190384.10000000001</v>
      </c>
      <c r="R131" s="37">
        <f t="shared" si="5"/>
        <v>190384.10000000001</v>
      </c>
      <c r="S131" s="37">
        <v>0</v>
      </c>
      <c r="T131" s="37">
        <f t="shared" si="6"/>
        <v>352.10671351951174</v>
      </c>
      <c r="U131" s="37">
        <f t="shared" si="7"/>
        <v>352.10671351951174</v>
      </c>
      <c r="V131" s="41" t="s">
        <v>45</v>
      </c>
      <c r="W131" s="31"/>
    </row>
    <row r="132" s="31" customFormat="1" ht="44.25" customHeight="1">
      <c r="A132" s="33">
        <v>111</v>
      </c>
      <c r="B132" s="49" t="s">
        <v>196</v>
      </c>
      <c r="C132" s="33" t="s">
        <v>43</v>
      </c>
      <c r="D132" s="33">
        <v>1960</v>
      </c>
      <c r="E132" s="35" t="s">
        <v>39</v>
      </c>
      <c r="F132" s="33" t="s">
        <v>44</v>
      </c>
      <c r="G132" s="36">
        <v>2</v>
      </c>
      <c r="H132" s="36">
        <v>2</v>
      </c>
      <c r="I132" s="37">
        <v>647</v>
      </c>
      <c r="J132" s="37">
        <v>570.70000000000005</v>
      </c>
      <c r="K132" s="37">
        <v>572.30999999999995</v>
      </c>
      <c r="L132" s="38">
        <v>24</v>
      </c>
      <c r="M132" s="39">
        <f t="shared" si="4"/>
        <v>5555915.9100000001</v>
      </c>
      <c r="N132" s="37">
        <v>0</v>
      </c>
      <c r="O132" s="37">
        <v>0</v>
      </c>
      <c r="P132" s="37">
        <v>0</v>
      </c>
      <c r="Q132" s="40">
        <f>'Таблица 3 '!C122</f>
        <v>5555915.9100000001</v>
      </c>
      <c r="R132" s="37">
        <f t="shared" si="5"/>
        <v>5555915.9100000001</v>
      </c>
      <c r="S132" s="37">
        <v>0</v>
      </c>
      <c r="T132" s="37">
        <f t="shared" si="6"/>
        <v>9735.2653057648495</v>
      </c>
      <c r="U132" s="37">
        <f t="shared" si="7"/>
        <v>9735.2653057648495</v>
      </c>
      <c r="V132" s="41" t="s">
        <v>45</v>
      </c>
      <c r="W132" s="31"/>
    </row>
    <row r="133" s="31" customFormat="1" ht="44.25" customHeight="1">
      <c r="A133" s="33">
        <v>112</v>
      </c>
      <c r="B133" s="49" t="s">
        <v>197</v>
      </c>
      <c r="C133" s="33" t="s">
        <v>43</v>
      </c>
      <c r="D133" s="35">
        <v>1984</v>
      </c>
      <c r="E133" s="35" t="s">
        <v>39</v>
      </c>
      <c r="F133" s="33" t="s">
        <v>48</v>
      </c>
      <c r="G133" s="36">
        <v>5</v>
      </c>
      <c r="H133" s="36">
        <v>6</v>
      </c>
      <c r="I133" s="37">
        <v>4230.8000000000002</v>
      </c>
      <c r="J133" s="37">
        <v>4685.3999999999996</v>
      </c>
      <c r="K133" s="37">
        <v>4223</v>
      </c>
      <c r="L133" s="38">
        <v>90</v>
      </c>
      <c r="M133" s="39">
        <f t="shared" si="4"/>
        <v>293968.81</v>
      </c>
      <c r="N133" s="37">
        <v>0</v>
      </c>
      <c r="O133" s="37">
        <v>0</v>
      </c>
      <c r="P133" s="37">
        <v>0</v>
      </c>
      <c r="Q133" s="40">
        <f>'Таблица 3 '!C123</f>
        <v>293968.81</v>
      </c>
      <c r="R133" s="37">
        <f t="shared" si="5"/>
        <v>293968.81</v>
      </c>
      <c r="S133" s="37">
        <v>0</v>
      </c>
      <c r="T133" s="37">
        <f t="shared" si="6"/>
        <v>62.741454304861918</v>
      </c>
      <c r="U133" s="37">
        <f t="shared" si="7"/>
        <v>62.741454304861918</v>
      </c>
      <c r="V133" s="41" t="s">
        <v>45</v>
      </c>
      <c r="W133" s="31"/>
    </row>
    <row r="134" s="31" customFormat="1" ht="44.25" customHeight="1">
      <c r="A134" s="33">
        <v>113</v>
      </c>
      <c r="B134" s="49" t="s">
        <v>198</v>
      </c>
      <c r="C134" s="43" t="s">
        <v>43</v>
      </c>
      <c r="D134" s="35">
        <v>1984</v>
      </c>
      <c r="E134" s="44" t="s">
        <v>39</v>
      </c>
      <c r="F134" s="33" t="s">
        <v>48</v>
      </c>
      <c r="G134" s="45">
        <v>10</v>
      </c>
      <c r="H134" s="36">
        <v>2</v>
      </c>
      <c r="I134" s="46">
        <v>3764</v>
      </c>
      <c r="J134" s="37">
        <v>3764</v>
      </c>
      <c r="K134" s="46">
        <v>3620.0999999999999</v>
      </c>
      <c r="L134" s="38">
        <v>137</v>
      </c>
      <c r="M134" s="39">
        <f>SUM(N134:Q134)</f>
        <v>135276.94</v>
      </c>
      <c r="N134" s="46">
        <v>0</v>
      </c>
      <c r="O134" s="37">
        <v>0</v>
      </c>
      <c r="P134" s="46">
        <v>0</v>
      </c>
      <c r="Q134" s="40">
        <f>'Таблица 3 '!C124</f>
        <v>135276.94</v>
      </c>
      <c r="R134" s="46">
        <f>Q134</f>
        <v>135276.94</v>
      </c>
      <c r="S134" s="37">
        <v>0</v>
      </c>
      <c r="T134" s="46">
        <f>M134/J134</f>
        <v>35.939675876726888</v>
      </c>
      <c r="U134" s="37">
        <f>T134</f>
        <v>35.939675876726888</v>
      </c>
      <c r="V134" s="41" t="s">
        <v>45</v>
      </c>
      <c r="W134" s="47"/>
    </row>
    <row r="135" s="31" customFormat="1" ht="44.25" customHeight="1">
      <c r="A135" s="33">
        <v>114</v>
      </c>
      <c r="B135" s="34" t="s">
        <v>199</v>
      </c>
      <c r="C135" s="33" t="s">
        <v>43</v>
      </c>
      <c r="D135" s="35" t="s">
        <v>200</v>
      </c>
      <c r="E135" s="35" t="s">
        <v>39</v>
      </c>
      <c r="F135" s="33" t="s">
        <v>44</v>
      </c>
      <c r="G135" s="36">
        <v>4</v>
      </c>
      <c r="H135" s="36">
        <v>3</v>
      </c>
      <c r="I135" s="37">
        <v>2189.8000000000002</v>
      </c>
      <c r="J135" s="37">
        <v>1996.8</v>
      </c>
      <c r="K135" s="37">
        <v>1968</v>
      </c>
      <c r="L135" s="38">
        <v>112</v>
      </c>
      <c r="M135" s="39">
        <f t="shared" si="4"/>
        <v>8412000.1400000006</v>
      </c>
      <c r="N135" s="37">
        <v>0</v>
      </c>
      <c r="O135" s="37">
        <v>0</v>
      </c>
      <c r="P135" s="37">
        <v>0</v>
      </c>
      <c r="Q135" s="40">
        <f>'Таблица 3 '!C125</f>
        <v>8412000.1400000006</v>
      </c>
      <c r="R135" s="37">
        <f t="shared" si="5"/>
        <v>8412000.1400000006</v>
      </c>
      <c r="S135" s="37">
        <v>0</v>
      </c>
      <c r="T135" s="37">
        <f t="shared" si="6"/>
        <v>4212.7404547275646</v>
      </c>
      <c r="U135" s="37">
        <f t="shared" si="7"/>
        <v>4212.7404547275646</v>
      </c>
      <c r="V135" s="41" t="s">
        <v>45</v>
      </c>
      <c r="W135" s="31"/>
    </row>
    <row r="136" s="31" customFormat="1" ht="44.25" customHeight="1">
      <c r="A136" s="33">
        <v>115</v>
      </c>
      <c r="B136" s="34" t="s">
        <v>201</v>
      </c>
      <c r="C136" s="33" t="s">
        <v>43</v>
      </c>
      <c r="D136" s="35" t="s">
        <v>109</v>
      </c>
      <c r="E136" s="35" t="s">
        <v>47</v>
      </c>
      <c r="F136" s="33" t="s">
        <v>44</v>
      </c>
      <c r="G136" s="36">
        <v>5</v>
      </c>
      <c r="H136" s="36">
        <v>5</v>
      </c>
      <c r="I136" s="37">
        <v>4976.5</v>
      </c>
      <c r="J136" s="37">
        <v>3660.3000000000002</v>
      </c>
      <c r="K136" s="37">
        <v>3609.3000000000002</v>
      </c>
      <c r="L136" s="38">
        <v>147</v>
      </c>
      <c r="M136" s="39">
        <f t="shared" si="4"/>
        <v>9240034.6799999997</v>
      </c>
      <c r="N136" s="37">
        <v>0</v>
      </c>
      <c r="O136" s="37">
        <v>0</v>
      </c>
      <c r="P136" s="37">
        <v>0</v>
      </c>
      <c r="Q136" s="40">
        <f>'Таблица 3 '!C126</f>
        <v>9240034.6799999997</v>
      </c>
      <c r="R136" s="37">
        <f t="shared" si="5"/>
        <v>9240034.6799999997</v>
      </c>
      <c r="S136" s="37">
        <v>0</v>
      </c>
      <c r="T136" s="37">
        <f t="shared" si="6"/>
        <v>2524.3927219080401</v>
      </c>
      <c r="U136" s="37">
        <f t="shared" si="7"/>
        <v>2524.3927219080401</v>
      </c>
      <c r="V136" s="41" t="s">
        <v>45</v>
      </c>
      <c r="W136" s="31"/>
    </row>
    <row r="137" s="31" customFormat="1" ht="44.25" customHeight="1">
      <c r="A137" s="33">
        <v>116</v>
      </c>
      <c r="B137" s="34" t="s">
        <v>202</v>
      </c>
      <c r="C137" s="33" t="s">
        <v>43</v>
      </c>
      <c r="D137" s="35" t="s">
        <v>203</v>
      </c>
      <c r="E137" s="35" t="s">
        <v>47</v>
      </c>
      <c r="F137" s="33" t="s">
        <v>48</v>
      </c>
      <c r="G137" s="36">
        <v>5</v>
      </c>
      <c r="H137" s="36">
        <v>2</v>
      </c>
      <c r="I137" s="37">
        <v>4337.6999999999998</v>
      </c>
      <c r="J137" s="37">
        <v>2933.3000000000002</v>
      </c>
      <c r="K137" s="37">
        <v>2721.9000000000001</v>
      </c>
      <c r="L137" s="38">
        <v>38</v>
      </c>
      <c r="M137" s="39">
        <f t="shared" si="4"/>
        <v>9536674.4700000007</v>
      </c>
      <c r="N137" s="37">
        <v>0</v>
      </c>
      <c r="O137" s="37">
        <v>0</v>
      </c>
      <c r="P137" s="37">
        <v>0</v>
      </c>
      <c r="Q137" s="40">
        <f>'Таблица 3 '!C127</f>
        <v>9536674.4700000007</v>
      </c>
      <c r="R137" s="37">
        <f t="shared" si="5"/>
        <v>9536674.4700000007</v>
      </c>
      <c r="S137" s="37">
        <v>0</v>
      </c>
      <c r="T137" s="37">
        <f t="shared" si="6"/>
        <v>3251.1759690451026</v>
      </c>
      <c r="U137" s="37">
        <f t="shared" si="7"/>
        <v>3251.1759690451026</v>
      </c>
      <c r="V137" s="41" t="s">
        <v>45</v>
      </c>
      <c r="W137" s="31"/>
    </row>
    <row r="138" s="31" customFormat="1" ht="44.25" customHeight="1">
      <c r="A138" s="33">
        <v>117</v>
      </c>
      <c r="B138" s="34" t="s">
        <v>204</v>
      </c>
      <c r="C138" s="43" t="s">
        <v>90</v>
      </c>
      <c r="D138" s="35" t="s">
        <v>205</v>
      </c>
      <c r="E138" s="44" t="s">
        <v>39</v>
      </c>
      <c r="F138" s="33" t="s">
        <v>48</v>
      </c>
      <c r="G138" s="45">
        <v>5</v>
      </c>
      <c r="H138" s="36">
        <v>6</v>
      </c>
      <c r="I138" s="46">
        <v>5794.8000000000002</v>
      </c>
      <c r="J138" s="37">
        <v>4387.6999999999998</v>
      </c>
      <c r="K138" s="46">
        <v>4387.6999999999998</v>
      </c>
      <c r="L138" s="38">
        <v>156</v>
      </c>
      <c r="M138" s="39">
        <f t="shared" ref="M138:M140" si="16">SUM(N138:Q138)</f>
        <v>1598815.3200000001</v>
      </c>
      <c r="N138" s="46">
        <v>0</v>
      </c>
      <c r="O138" s="37">
        <v>0</v>
      </c>
      <c r="P138" s="46">
        <v>0</v>
      </c>
      <c r="Q138" s="40">
        <f>'Таблица 3 '!C128</f>
        <v>1598815.3200000001</v>
      </c>
      <c r="R138" s="46">
        <f t="shared" ref="R138:R140" si="17">Q138</f>
        <v>1598815.3200000001</v>
      </c>
      <c r="S138" s="37">
        <v>0</v>
      </c>
      <c r="T138" s="46">
        <f t="shared" ref="T138:T140" si="18">M138/J138</f>
        <v>364.38574196048046</v>
      </c>
      <c r="U138" s="37">
        <f t="shared" ref="U138:U140" si="19">T138</f>
        <v>364.38574196048046</v>
      </c>
      <c r="V138" s="41" t="s">
        <v>45</v>
      </c>
      <c r="W138" s="47"/>
    </row>
    <row r="139" s="31" customFormat="1" ht="44.25" customHeight="1">
      <c r="A139" s="33">
        <v>118</v>
      </c>
      <c r="B139" s="34" t="s">
        <v>206</v>
      </c>
      <c r="C139" s="33" t="s">
        <v>43</v>
      </c>
      <c r="D139" s="33">
        <v>1970</v>
      </c>
      <c r="E139" s="35" t="s">
        <v>57</v>
      </c>
      <c r="F139" s="33" t="s">
        <v>48</v>
      </c>
      <c r="G139" s="36">
        <v>5</v>
      </c>
      <c r="H139" s="36">
        <v>6</v>
      </c>
      <c r="I139" s="40">
        <v>4715.1999999999998</v>
      </c>
      <c r="J139" s="40">
        <v>4702.1000000000004</v>
      </c>
      <c r="K139" s="40">
        <v>4487.5</v>
      </c>
      <c r="L139" s="48">
        <v>230</v>
      </c>
      <c r="M139" s="40">
        <f t="shared" si="16"/>
        <v>3473605.5100000002</v>
      </c>
      <c r="N139" s="40">
        <v>0</v>
      </c>
      <c r="O139" s="40">
        <v>0</v>
      </c>
      <c r="P139" s="40">
        <v>0</v>
      </c>
      <c r="Q139" s="40">
        <f>'Таблица 3 '!C129</f>
        <v>3473605.5100000002</v>
      </c>
      <c r="R139" s="40">
        <f t="shared" si="17"/>
        <v>3473605.5100000002</v>
      </c>
      <c r="S139" s="40">
        <v>0</v>
      </c>
      <c r="T139" s="37">
        <f t="shared" si="18"/>
        <v>738.73492907424338</v>
      </c>
      <c r="U139" s="37">
        <f t="shared" si="19"/>
        <v>738.73492907424338</v>
      </c>
      <c r="V139" s="41" t="s">
        <v>45</v>
      </c>
      <c r="W139" s="31"/>
    </row>
    <row r="140" s="31" customFormat="1" ht="44.25" customHeight="1">
      <c r="A140" s="33">
        <v>119</v>
      </c>
      <c r="B140" s="34" t="s">
        <v>207</v>
      </c>
      <c r="C140" s="33" t="s">
        <v>43</v>
      </c>
      <c r="D140" s="33">
        <v>1978</v>
      </c>
      <c r="E140" s="35">
        <v>2024</v>
      </c>
      <c r="F140" s="33" t="s">
        <v>77</v>
      </c>
      <c r="G140" s="36">
        <v>5</v>
      </c>
      <c r="H140" s="36">
        <v>6</v>
      </c>
      <c r="I140" s="40">
        <v>5770.5</v>
      </c>
      <c r="J140" s="40">
        <v>4274.6999999999998</v>
      </c>
      <c r="K140" s="40">
        <v>4229</v>
      </c>
      <c r="L140" s="48">
        <v>238</v>
      </c>
      <c r="M140" s="39">
        <f t="shared" si="16"/>
        <v>275400.20000000001</v>
      </c>
      <c r="N140" s="37">
        <v>0</v>
      </c>
      <c r="O140" s="37">
        <v>0</v>
      </c>
      <c r="P140" s="37">
        <v>0</v>
      </c>
      <c r="Q140" s="40">
        <f>'Таблица 3 '!C130</f>
        <v>275400.20000000001</v>
      </c>
      <c r="R140" s="37">
        <f t="shared" si="17"/>
        <v>275400.20000000001</v>
      </c>
      <c r="S140" s="40">
        <v>0</v>
      </c>
      <c r="T140" s="37">
        <f t="shared" si="18"/>
        <v>64.425620511380927</v>
      </c>
      <c r="U140" s="37">
        <f t="shared" si="19"/>
        <v>64.425620511380927</v>
      </c>
      <c r="V140" s="41" t="s">
        <v>45</v>
      </c>
      <c r="W140" s="31"/>
    </row>
    <row r="141" s="31" customFormat="1" ht="44.25" customHeight="1">
      <c r="A141" s="33">
        <v>120</v>
      </c>
      <c r="B141" s="34" t="s">
        <v>208</v>
      </c>
      <c r="C141" s="33" t="s">
        <v>43</v>
      </c>
      <c r="D141" s="35" t="s">
        <v>106</v>
      </c>
      <c r="E141" s="35" t="s">
        <v>39</v>
      </c>
      <c r="F141" s="33" t="s">
        <v>44</v>
      </c>
      <c r="G141" s="36">
        <v>5</v>
      </c>
      <c r="H141" s="36">
        <v>4</v>
      </c>
      <c r="I141" s="37">
        <v>3376.6300000000001</v>
      </c>
      <c r="J141" s="37">
        <v>3316.8000000000002</v>
      </c>
      <c r="K141" s="37">
        <v>3316.8000000000002</v>
      </c>
      <c r="L141" s="38">
        <v>71</v>
      </c>
      <c r="M141" s="39">
        <f t="shared" si="4"/>
        <v>15913259.58</v>
      </c>
      <c r="N141" s="37">
        <v>0</v>
      </c>
      <c r="O141" s="37">
        <v>0</v>
      </c>
      <c r="P141" s="37">
        <v>0</v>
      </c>
      <c r="Q141" s="40">
        <f>'Таблица 3 '!C131</f>
        <v>15913259.58</v>
      </c>
      <c r="R141" s="37">
        <f t="shared" si="5"/>
        <v>15913259.58</v>
      </c>
      <c r="S141" s="37">
        <v>0</v>
      </c>
      <c r="T141" s="37">
        <f t="shared" si="6"/>
        <v>4797.7748371924745</v>
      </c>
      <c r="U141" s="37">
        <f t="shared" si="7"/>
        <v>4797.7748371924745</v>
      </c>
      <c r="V141" s="41" t="s">
        <v>45</v>
      </c>
      <c r="W141" s="31"/>
    </row>
    <row r="142" s="31" customFormat="1" ht="44.25" customHeight="1">
      <c r="A142" s="33">
        <v>121</v>
      </c>
      <c r="B142" s="34" t="s">
        <v>209</v>
      </c>
      <c r="C142" s="33" t="s">
        <v>43</v>
      </c>
      <c r="D142" s="33">
        <v>1983</v>
      </c>
      <c r="E142" s="35" t="s">
        <v>39</v>
      </c>
      <c r="F142" s="33" t="s">
        <v>48</v>
      </c>
      <c r="G142" s="36">
        <v>5</v>
      </c>
      <c r="H142" s="36">
        <v>5</v>
      </c>
      <c r="I142" s="37">
        <v>5025.3000000000002</v>
      </c>
      <c r="J142" s="37">
        <v>3690.4000000000001</v>
      </c>
      <c r="K142" s="37">
        <v>3690.4000000000001</v>
      </c>
      <c r="L142" s="38">
        <v>75</v>
      </c>
      <c r="M142" s="39">
        <f t="shared" si="4"/>
        <v>541588.65000000002</v>
      </c>
      <c r="N142" s="37">
        <v>0</v>
      </c>
      <c r="O142" s="37">
        <v>0</v>
      </c>
      <c r="P142" s="37">
        <v>0</v>
      </c>
      <c r="Q142" s="40">
        <f>'Таблица 3 '!C132</f>
        <v>541588.65000000002</v>
      </c>
      <c r="R142" s="37">
        <f t="shared" si="5"/>
        <v>541588.65000000002</v>
      </c>
      <c r="S142" s="37">
        <v>0</v>
      </c>
      <c r="T142" s="37">
        <f t="shared" si="6"/>
        <v>146.75608335139822</v>
      </c>
      <c r="U142" s="37">
        <f t="shared" si="7"/>
        <v>146.75608335139822</v>
      </c>
      <c r="V142" s="41" t="s">
        <v>45</v>
      </c>
      <c r="W142" s="31"/>
    </row>
    <row r="143" s="31" customFormat="1" ht="44.25" customHeight="1">
      <c r="A143" s="33">
        <v>122</v>
      </c>
      <c r="B143" s="34" t="s">
        <v>210</v>
      </c>
      <c r="C143" s="33" t="s">
        <v>43</v>
      </c>
      <c r="D143" s="33">
        <v>1961</v>
      </c>
      <c r="E143" s="35" t="s">
        <v>39</v>
      </c>
      <c r="F143" s="33" t="s">
        <v>44</v>
      </c>
      <c r="G143" s="36">
        <v>2</v>
      </c>
      <c r="H143" s="36">
        <v>1</v>
      </c>
      <c r="I143" s="37">
        <v>311.60000000000002</v>
      </c>
      <c r="J143" s="37">
        <v>286.30000000000001</v>
      </c>
      <c r="K143" s="37">
        <v>187.19999999999999</v>
      </c>
      <c r="L143" s="38">
        <v>11</v>
      </c>
      <c r="M143" s="39">
        <f t="shared" si="4"/>
        <v>117955.60000000001</v>
      </c>
      <c r="N143" s="37">
        <v>0</v>
      </c>
      <c r="O143" s="37">
        <v>0</v>
      </c>
      <c r="P143" s="37">
        <v>0</v>
      </c>
      <c r="Q143" s="40">
        <f>'Таблица 3 '!C133</f>
        <v>117955.60000000001</v>
      </c>
      <c r="R143" s="37">
        <f t="shared" si="5"/>
        <v>117955.60000000001</v>
      </c>
      <c r="S143" s="37">
        <v>0</v>
      </c>
      <c r="T143" s="37">
        <f t="shared" si="6"/>
        <v>412</v>
      </c>
      <c r="U143" s="37">
        <f t="shared" si="7"/>
        <v>412</v>
      </c>
      <c r="V143" s="41" t="s">
        <v>45</v>
      </c>
      <c r="W143" s="31"/>
    </row>
    <row r="144" s="31" customFormat="1" ht="44.25" customHeight="1">
      <c r="A144" s="33">
        <v>123</v>
      </c>
      <c r="B144" s="34" t="s">
        <v>211</v>
      </c>
      <c r="C144" s="33" t="s">
        <v>43</v>
      </c>
      <c r="D144" s="35" t="s">
        <v>173</v>
      </c>
      <c r="E144" s="35" t="s">
        <v>130</v>
      </c>
      <c r="F144" s="33" t="s">
        <v>44</v>
      </c>
      <c r="G144" s="36">
        <v>5</v>
      </c>
      <c r="H144" s="36">
        <v>4</v>
      </c>
      <c r="I144" s="37">
        <v>4574.1000000000004</v>
      </c>
      <c r="J144" s="37">
        <v>3350.3000000000002</v>
      </c>
      <c r="K144" s="37">
        <v>3349.4000000000001</v>
      </c>
      <c r="L144" s="38">
        <v>131</v>
      </c>
      <c r="M144" s="39">
        <f t="shared" si="4"/>
        <v>9352855.7899999991</v>
      </c>
      <c r="N144" s="37">
        <v>0</v>
      </c>
      <c r="O144" s="37">
        <v>0</v>
      </c>
      <c r="P144" s="37">
        <v>0</v>
      </c>
      <c r="Q144" s="40">
        <f>'Таблица 3 '!C134</f>
        <v>9352855.7899999991</v>
      </c>
      <c r="R144" s="37">
        <f t="shared" si="5"/>
        <v>9352855.7899999991</v>
      </c>
      <c r="S144" s="37">
        <v>0</v>
      </c>
      <c r="T144" s="37">
        <f t="shared" si="6"/>
        <v>2791.6472524848518</v>
      </c>
      <c r="U144" s="37">
        <f t="shared" si="7"/>
        <v>2791.6472524848518</v>
      </c>
      <c r="V144" s="41" t="s">
        <v>45</v>
      </c>
      <c r="W144" s="31"/>
    </row>
    <row r="145" s="31" customFormat="1" ht="44.25" customHeight="1">
      <c r="A145" s="33">
        <v>124</v>
      </c>
      <c r="B145" s="34" t="s">
        <v>212</v>
      </c>
      <c r="C145" s="33" t="s">
        <v>43</v>
      </c>
      <c r="D145" s="35" t="s">
        <v>213</v>
      </c>
      <c r="E145" s="35" t="s">
        <v>39</v>
      </c>
      <c r="F145" s="33" t="s">
        <v>44</v>
      </c>
      <c r="G145" s="36">
        <v>5</v>
      </c>
      <c r="H145" s="36">
        <v>6</v>
      </c>
      <c r="I145" s="37">
        <v>5252</v>
      </c>
      <c r="J145" s="37">
        <v>4468.5</v>
      </c>
      <c r="K145" s="37">
        <v>3749</v>
      </c>
      <c r="L145" s="38">
        <v>180</v>
      </c>
      <c r="M145" s="39">
        <f t="shared" si="4"/>
        <v>11312793.350000001</v>
      </c>
      <c r="N145" s="37">
        <v>0</v>
      </c>
      <c r="O145" s="37">
        <v>0</v>
      </c>
      <c r="P145" s="37">
        <v>0</v>
      </c>
      <c r="Q145" s="40">
        <f>'Таблица 3 '!C135</f>
        <v>11312793.350000001</v>
      </c>
      <c r="R145" s="37">
        <f t="shared" si="5"/>
        <v>11312793.350000001</v>
      </c>
      <c r="S145" s="37">
        <v>0</v>
      </c>
      <c r="T145" s="37">
        <f t="shared" si="6"/>
        <v>2531.6758084368362</v>
      </c>
      <c r="U145" s="37">
        <f t="shared" si="7"/>
        <v>2531.6758084368362</v>
      </c>
      <c r="V145" s="41" t="s">
        <v>45</v>
      </c>
      <c r="W145" s="31"/>
    </row>
    <row r="146" s="31" customFormat="1" ht="44.25" customHeight="1">
      <c r="A146" s="33">
        <v>125</v>
      </c>
      <c r="B146" s="34" t="s">
        <v>214</v>
      </c>
      <c r="C146" s="33" t="s">
        <v>43</v>
      </c>
      <c r="D146" s="35" t="s">
        <v>215</v>
      </c>
      <c r="E146" s="35" t="s">
        <v>50</v>
      </c>
      <c r="F146" s="33" t="s">
        <v>44</v>
      </c>
      <c r="G146" s="36">
        <v>4</v>
      </c>
      <c r="H146" s="36">
        <v>9</v>
      </c>
      <c r="I146" s="37">
        <v>7379.8000000000002</v>
      </c>
      <c r="J146" s="37">
        <v>7379.3000000000002</v>
      </c>
      <c r="K146" s="37">
        <v>4342.3999999999996</v>
      </c>
      <c r="L146" s="38">
        <v>124</v>
      </c>
      <c r="M146" s="39">
        <f t="shared" ref="M146:M147" si="20">SUM(N146:Q146)</f>
        <v>514458</v>
      </c>
      <c r="N146" s="37">
        <v>0</v>
      </c>
      <c r="O146" s="37">
        <v>0</v>
      </c>
      <c r="P146" s="37">
        <v>0</v>
      </c>
      <c r="Q146" s="40">
        <f>'Таблица 3 '!C136</f>
        <v>514458</v>
      </c>
      <c r="R146" s="37">
        <f t="shared" ref="R146:R147" si="21">Q146</f>
        <v>514458</v>
      </c>
      <c r="S146" s="37">
        <v>0</v>
      </c>
      <c r="T146" s="37">
        <f t="shared" ref="T146:T147" si="22">M146/J146</f>
        <v>69.716368761264619</v>
      </c>
      <c r="U146" s="37">
        <f t="shared" ref="U146:U147" si="23">T146</f>
        <v>69.716368761264619</v>
      </c>
      <c r="V146" s="41" t="s">
        <v>45</v>
      </c>
      <c r="W146" s="31"/>
    </row>
    <row r="147" s="31" customFormat="1" ht="44.25" customHeight="1">
      <c r="A147" s="33">
        <v>126</v>
      </c>
      <c r="B147" s="34" t="s">
        <v>216</v>
      </c>
      <c r="C147" s="33" t="s">
        <v>43</v>
      </c>
      <c r="D147" s="35" t="s">
        <v>217</v>
      </c>
      <c r="E147" s="35" t="s">
        <v>39</v>
      </c>
      <c r="F147" s="33" t="s">
        <v>44</v>
      </c>
      <c r="G147" s="36">
        <v>4</v>
      </c>
      <c r="H147" s="36">
        <v>6</v>
      </c>
      <c r="I147" s="37">
        <v>5498.8000000000002</v>
      </c>
      <c r="J147" s="37">
        <v>5350.5</v>
      </c>
      <c r="K147" s="37">
        <v>3369.8000000000002</v>
      </c>
      <c r="L147" s="38">
        <v>79</v>
      </c>
      <c r="M147" s="39">
        <f t="shared" si="20"/>
        <v>1028916</v>
      </c>
      <c r="N147" s="37">
        <v>0</v>
      </c>
      <c r="O147" s="37">
        <v>0</v>
      </c>
      <c r="P147" s="37">
        <v>0</v>
      </c>
      <c r="Q147" s="40">
        <f>'Таблица 3 '!C137</f>
        <v>1028916</v>
      </c>
      <c r="R147" s="37">
        <f t="shared" si="21"/>
        <v>1028916</v>
      </c>
      <c r="S147" s="37">
        <v>0</v>
      </c>
      <c r="T147" s="37">
        <f t="shared" si="22"/>
        <v>192.30277544154751</v>
      </c>
      <c r="U147" s="37">
        <f t="shared" si="23"/>
        <v>192.30277544154751</v>
      </c>
      <c r="V147" s="41" t="s">
        <v>45</v>
      </c>
      <c r="W147" s="31"/>
    </row>
    <row r="148" s="31" customFormat="1" ht="44.25" customHeight="1">
      <c r="A148" s="33">
        <v>127</v>
      </c>
      <c r="B148" s="34" t="s">
        <v>218</v>
      </c>
      <c r="C148" s="33" t="s">
        <v>43</v>
      </c>
      <c r="D148" s="35" t="s">
        <v>219</v>
      </c>
      <c r="E148" s="35" t="s">
        <v>39</v>
      </c>
      <c r="F148" s="33" t="s">
        <v>44</v>
      </c>
      <c r="G148" s="36">
        <v>4</v>
      </c>
      <c r="H148" s="36">
        <v>5</v>
      </c>
      <c r="I148" s="37">
        <v>5160.3000000000002</v>
      </c>
      <c r="J148" s="37">
        <v>4617</v>
      </c>
      <c r="K148" s="37">
        <v>3542.5999999999999</v>
      </c>
      <c r="L148" s="38">
        <v>98</v>
      </c>
      <c r="M148" s="39">
        <f t="shared" si="4"/>
        <v>1008050.04</v>
      </c>
      <c r="N148" s="37">
        <v>0</v>
      </c>
      <c r="O148" s="37">
        <v>0</v>
      </c>
      <c r="P148" s="37">
        <v>0</v>
      </c>
      <c r="Q148" s="40">
        <f>'Таблица 3 '!C138</f>
        <v>1008050.04</v>
      </c>
      <c r="R148" s="37">
        <f t="shared" si="5"/>
        <v>1008050.04</v>
      </c>
      <c r="S148" s="37">
        <v>0</v>
      </c>
      <c r="T148" s="37">
        <f t="shared" si="6"/>
        <v>218.33442495126707</v>
      </c>
      <c r="U148" s="37">
        <f t="shared" si="7"/>
        <v>218.33442495126707</v>
      </c>
      <c r="V148" s="41" t="s">
        <v>45</v>
      </c>
      <c r="W148" s="31"/>
    </row>
    <row r="149" s="31" customFormat="1" ht="44.25" customHeight="1">
      <c r="A149" s="33">
        <v>128</v>
      </c>
      <c r="B149" s="34" t="s">
        <v>220</v>
      </c>
      <c r="C149" s="33" t="s">
        <v>43</v>
      </c>
      <c r="D149" s="35" t="s">
        <v>221</v>
      </c>
      <c r="E149" s="35" t="s">
        <v>39</v>
      </c>
      <c r="F149" s="33" t="s">
        <v>44</v>
      </c>
      <c r="G149" s="36">
        <v>4</v>
      </c>
      <c r="H149" s="36">
        <v>5</v>
      </c>
      <c r="I149" s="37">
        <v>5039.1000000000004</v>
      </c>
      <c r="J149" s="37">
        <v>3603.4000000000001</v>
      </c>
      <c r="K149" s="37">
        <v>2886.4000000000001</v>
      </c>
      <c r="L149" s="38">
        <v>47</v>
      </c>
      <c r="M149" s="39">
        <f t="shared" ref="M149:M212" si="24">SUM(N149:Q149)</f>
        <v>1018685.6899999999</v>
      </c>
      <c r="N149" s="37">
        <v>0</v>
      </c>
      <c r="O149" s="37">
        <v>0</v>
      </c>
      <c r="P149" s="37">
        <v>0</v>
      </c>
      <c r="Q149" s="40">
        <f>'Таблица 3 '!C139</f>
        <v>1018685.6899999999</v>
      </c>
      <c r="R149" s="37">
        <f t="shared" ref="R149:R212" si="25">Q149</f>
        <v>1018685.6899999999</v>
      </c>
      <c r="S149" s="37">
        <v>0</v>
      </c>
      <c r="T149" s="37">
        <f t="shared" ref="T149:T212" si="26">M149/J149</f>
        <v>282.70125159571512</v>
      </c>
      <c r="U149" s="37">
        <f t="shared" ref="U149:U212" si="27">T149</f>
        <v>282.70125159571512</v>
      </c>
      <c r="V149" s="41" t="s">
        <v>45</v>
      </c>
      <c r="W149" s="31"/>
    </row>
    <row r="150" s="31" customFormat="1" ht="44.25" customHeight="1">
      <c r="A150" s="33">
        <v>129</v>
      </c>
      <c r="B150" s="34" t="s">
        <v>222</v>
      </c>
      <c r="C150" s="33" t="s">
        <v>43</v>
      </c>
      <c r="D150" s="33">
        <v>1968</v>
      </c>
      <c r="E150" s="35" t="s">
        <v>50</v>
      </c>
      <c r="F150" s="33" t="s">
        <v>77</v>
      </c>
      <c r="G150" s="36">
        <v>5</v>
      </c>
      <c r="H150" s="36">
        <v>2</v>
      </c>
      <c r="I150" s="40">
        <v>2370.8000000000002</v>
      </c>
      <c r="J150" s="40">
        <v>1959.7</v>
      </c>
      <c r="K150" s="40">
        <v>1482.3</v>
      </c>
      <c r="L150" s="48">
        <v>67</v>
      </c>
      <c r="M150" s="40">
        <f t="shared" si="24"/>
        <v>1310089.47</v>
      </c>
      <c r="N150" s="40">
        <v>0</v>
      </c>
      <c r="O150" s="40">
        <v>0</v>
      </c>
      <c r="P150" s="40">
        <v>0</v>
      </c>
      <c r="Q150" s="40">
        <f>'Таблица 3 '!C140</f>
        <v>1310089.47</v>
      </c>
      <c r="R150" s="40">
        <f t="shared" si="25"/>
        <v>1310089.47</v>
      </c>
      <c r="S150" s="40">
        <v>0</v>
      </c>
      <c r="T150" s="37">
        <f t="shared" si="26"/>
        <v>668.51531867122515</v>
      </c>
      <c r="U150" s="37">
        <f t="shared" si="27"/>
        <v>668.51531867122515</v>
      </c>
      <c r="V150" s="41" t="s">
        <v>45</v>
      </c>
      <c r="W150" s="31"/>
    </row>
    <row r="151" s="31" customFormat="1" ht="44.25" customHeight="1">
      <c r="A151" s="33">
        <v>130</v>
      </c>
      <c r="B151" s="34" t="s">
        <v>223</v>
      </c>
      <c r="C151" s="33" t="s">
        <v>43</v>
      </c>
      <c r="D151" s="35" t="s">
        <v>126</v>
      </c>
      <c r="E151" s="35" t="s">
        <v>130</v>
      </c>
      <c r="F151" s="33" t="s">
        <v>44</v>
      </c>
      <c r="G151" s="36">
        <v>4</v>
      </c>
      <c r="H151" s="36">
        <v>3</v>
      </c>
      <c r="I151" s="37">
        <v>2912.9400000000001</v>
      </c>
      <c r="J151" s="37">
        <v>2239.0999999999999</v>
      </c>
      <c r="K151" s="37">
        <v>1546.9000000000001</v>
      </c>
      <c r="L151" s="38">
        <v>73</v>
      </c>
      <c r="M151" s="39">
        <f t="shared" si="24"/>
        <v>15549197.84</v>
      </c>
      <c r="N151" s="37">
        <v>0</v>
      </c>
      <c r="O151" s="37">
        <v>0</v>
      </c>
      <c r="P151" s="37">
        <v>0</v>
      </c>
      <c r="Q151" s="40">
        <f>'Таблица 3 '!C141</f>
        <v>15549197.84</v>
      </c>
      <c r="R151" s="37">
        <f t="shared" si="25"/>
        <v>15549197.84</v>
      </c>
      <c r="S151" s="37">
        <v>0</v>
      </c>
      <c r="T151" s="37">
        <f t="shared" si="26"/>
        <v>6944.3963378143008</v>
      </c>
      <c r="U151" s="37">
        <f t="shared" si="27"/>
        <v>6944.3963378143008</v>
      </c>
      <c r="V151" s="41" t="s">
        <v>45</v>
      </c>
      <c r="W151" s="31"/>
    </row>
    <row r="152" s="31" customFormat="1" ht="44.25" customHeight="1">
      <c r="A152" s="33">
        <v>131</v>
      </c>
      <c r="B152" s="34" t="s">
        <v>224</v>
      </c>
      <c r="C152" s="33" t="s">
        <v>43</v>
      </c>
      <c r="D152" s="35" t="s">
        <v>225</v>
      </c>
      <c r="E152" s="35" t="s">
        <v>39</v>
      </c>
      <c r="F152" s="33" t="s">
        <v>44</v>
      </c>
      <c r="G152" s="36">
        <v>2</v>
      </c>
      <c r="H152" s="36">
        <v>1</v>
      </c>
      <c r="I152" s="37">
        <v>486.74000000000001</v>
      </c>
      <c r="J152" s="37">
        <v>267</v>
      </c>
      <c r="K152" s="37">
        <v>264.80000000000001</v>
      </c>
      <c r="L152" s="38">
        <v>10</v>
      </c>
      <c r="M152" s="39">
        <f t="shared" si="24"/>
        <v>140930.76999999999</v>
      </c>
      <c r="N152" s="37">
        <v>0</v>
      </c>
      <c r="O152" s="37">
        <v>0</v>
      </c>
      <c r="P152" s="37">
        <v>0</v>
      </c>
      <c r="Q152" s="40">
        <f>'Таблица 3 '!C142</f>
        <v>140930.76999999999</v>
      </c>
      <c r="R152" s="37">
        <f t="shared" si="25"/>
        <v>140930.76999999999</v>
      </c>
      <c r="S152" s="37">
        <v>0</v>
      </c>
      <c r="T152" s="37">
        <f t="shared" si="26"/>
        <v>527.8305992509363</v>
      </c>
      <c r="U152" s="37">
        <f t="shared" si="27"/>
        <v>527.8305992509363</v>
      </c>
      <c r="V152" s="41" t="s">
        <v>45</v>
      </c>
      <c r="W152" s="31"/>
    </row>
    <row r="153" s="31" customFormat="1" ht="44.25" customHeight="1">
      <c r="A153" s="33">
        <v>132</v>
      </c>
      <c r="B153" s="34" t="s">
        <v>226</v>
      </c>
      <c r="C153" s="33" t="s">
        <v>43</v>
      </c>
      <c r="D153" s="35" t="s">
        <v>227</v>
      </c>
      <c r="E153" s="35" t="s">
        <v>228</v>
      </c>
      <c r="F153" s="33" t="s">
        <v>44</v>
      </c>
      <c r="G153" s="36">
        <v>4</v>
      </c>
      <c r="H153" s="36">
        <v>3</v>
      </c>
      <c r="I153" s="37">
        <v>2525.5999999999999</v>
      </c>
      <c r="J153" s="37">
        <v>2375.0999999999999</v>
      </c>
      <c r="K153" s="37">
        <v>1863.0999999999999</v>
      </c>
      <c r="L153" s="38">
        <v>66</v>
      </c>
      <c r="M153" s="39">
        <f t="shared" si="24"/>
        <v>8178061.9699999997</v>
      </c>
      <c r="N153" s="37">
        <v>0</v>
      </c>
      <c r="O153" s="37">
        <v>0</v>
      </c>
      <c r="P153" s="37">
        <v>0</v>
      </c>
      <c r="Q153" s="40">
        <f>'Таблица 3 '!C143</f>
        <v>8178061.9699999997</v>
      </c>
      <c r="R153" s="37">
        <f t="shared" si="25"/>
        <v>8178061.9699999997</v>
      </c>
      <c r="S153" s="37">
        <v>0</v>
      </c>
      <c r="T153" s="37">
        <f t="shared" si="26"/>
        <v>3443.2495347564313</v>
      </c>
      <c r="U153" s="37">
        <f t="shared" si="27"/>
        <v>3443.2495347564313</v>
      </c>
      <c r="V153" s="41" t="s">
        <v>45</v>
      </c>
      <c r="W153" s="31"/>
    </row>
    <row r="154" s="31" customFormat="1" ht="44.25" customHeight="1">
      <c r="A154" s="33">
        <v>133</v>
      </c>
      <c r="B154" s="34" t="s">
        <v>229</v>
      </c>
      <c r="C154" s="33" t="s">
        <v>43</v>
      </c>
      <c r="D154" s="35" t="s">
        <v>230</v>
      </c>
      <c r="E154" s="35" t="s">
        <v>39</v>
      </c>
      <c r="F154" s="33" t="s">
        <v>44</v>
      </c>
      <c r="G154" s="36">
        <v>3</v>
      </c>
      <c r="H154" s="36">
        <v>2</v>
      </c>
      <c r="I154" s="37">
        <v>2481.8400000000001</v>
      </c>
      <c r="J154" s="37">
        <v>1356.4000000000001</v>
      </c>
      <c r="K154" s="37">
        <v>1737.72</v>
      </c>
      <c r="L154" s="38">
        <v>37</v>
      </c>
      <c r="M154" s="39">
        <f t="shared" si="24"/>
        <v>5887256.4100000001</v>
      </c>
      <c r="N154" s="37">
        <v>0</v>
      </c>
      <c r="O154" s="37">
        <v>0</v>
      </c>
      <c r="P154" s="37">
        <v>0</v>
      </c>
      <c r="Q154" s="40">
        <f>'Таблица 3 '!C144</f>
        <v>5887256.4100000001</v>
      </c>
      <c r="R154" s="37">
        <f t="shared" si="25"/>
        <v>5887256.4100000001</v>
      </c>
      <c r="S154" s="37">
        <v>0</v>
      </c>
      <c r="T154" s="37">
        <f t="shared" si="26"/>
        <v>4340.3541801828369</v>
      </c>
      <c r="U154" s="37">
        <f t="shared" si="27"/>
        <v>4340.3541801828369</v>
      </c>
      <c r="V154" s="41" t="s">
        <v>45</v>
      </c>
      <c r="W154" s="31"/>
    </row>
    <row r="155" s="31" customFormat="1" ht="44.25" customHeight="1">
      <c r="A155" s="33">
        <v>134</v>
      </c>
      <c r="B155" s="55" t="s">
        <v>231</v>
      </c>
      <c r="C155" s="33" t="s">
        <v>43</v>
      </c>
      <c r="D155" s="33">
        <v>1958</v>
      </c>
      <c r="E155" s="35">
        <v>2021</v>
      </c>
      <c r="F155" s="33" t="s">
        <v>44</v>
      </c>
      <c r="G155" s="36">
        <v>4</v>
      </c>
      <c r="H155" s="36">
        <v>1</v>
      </c>
      <c r="I155" s="56">
        <v>2195.9000000000001</v>
      </c>
      <c r="J155" s="56">
        <v>1555.5</v>
      </c>
      <c r="K155" s="56">
        <v>652.60000000000002</v>
      </c>
      <c r="L155" s="57">
        <v>24</v>
      </c>
      <c r="M155" s="39">
        <f t="shared" si="24"/>
        <v>969284.57000000007</v>
      </c>
      <c r="N155" s="37">
        <v>0</v>
      </c>
      <c r="O155" s="37">
        <v>0</v>
      </c>
      <c r="P155" s="37">
        <v>0</v>
      </c>
      <c r="Q155" s="40">
        <f>'Таблица 3 '!C145</f>
        <v>969284.57000000007</v>
      </c>
      <c r="R155" s="37">
        <f t="shared" si="25"/>
        <v>969284.57000000007</v>
      </c>
      <c r="S155" s="37">
        <v>0</v>
      </c>
      <c r="T155" s="37">
        <f t="shared" si="26"/>
        <v>623.13376406300233</v>
      </c>
      <c r="U155" s="37">
        <f t="shared" si="27"/>
        <v>623.13376406300233</v>
      </c>
      <c r="V155" s="41" t="s">
        <v>45</v>
      </c>
      <c r="W155" s="31"/>
    </row>
    <row r="156" s="47" customFormat="1" ht="44.25" customHeight="1">
      <c r="A156" s="33">
        <v>135</v>
      </c>
      <c r="B156" s="55" t="s">
        <v>232</v>
      </c>
      <c r="C156" s="43" t="s">
        <v>90</v>
      </c>
      <c r="D156" s="33">
        <v>2001</v>
      </c>
      <c r="E156" s="44" t="s">
        <v>39</v>
      </c>
      <c r="F156" s="33" t="s">
        <v>44</v>
      </c>
      <c r="G156" s="45">
        <v>10</v>
      </c>
      <c r="H156" s="36">
        <v>1</v>
      </c>
      <c r="I156" s="58">
        <v>6234.1000000000004</v>
      </c>
      <c r="J156" s="56">
        <v>5047</v>
      </c>
      <c r="K156" s="58">
        <v>5047</v>
      </c>
      <c r="L156" s="57">
        <v>157</v>
      </c>
      <c r="M156" s="39">
        <f t="shared" si="24"/>
        <v>3325198.6499999999</v>
      </c>
      <c r="N156" s="46">
        <v>0</v>
      </c>
      <c r="O156" s="37">
        <v>0</v>
      </c>
      <c r="P156" s="46">
        <v>0</v>
      </c>
      <c r="Q156" s="40">
        <f>'Таблица 3 '!C146</f>
        <v>3325198.6499999999</v>
      </c>
      <c r="R156" s="46">
        <f t="shared" si="25"/>
        <v>3325198.6499999999</v>
      </c>
      <c r="S156" s="37">
        <v>0</v>
      </c>
      <c r="T156" s="46">
        <f t="shared" si="26"/>
        <v>658.84657222112139</v>
      </c>
      <c r="U156" s="37">
        <f t="shared" si="27"/>
        <v>658.84657222112139</v>
      </c>
      <c r="V156" s="41" t="s">
        <v>45</v>
      </c>
      <c r="W156" s="47"/>
    </row>
    <row r="157" s="31" customFormat="1" ht="44.25" customHeight="1">
      <c r="A157" s="33">
        <v>136</v>
      </c>
      <c r="B157" s="34" t="s">
        <v>233</v>
      </c>
      <c r="C157" s="33" t="s">
        <v>43</v>
      </c>
      <c r="D157" s="33">
        <v>1954</v>
      </c>
      <c r="E157" s="35" t="s">
        <v>39</v>
      </c>
      <c r="F157" s="33" t="s">
        <v>44</v>
      </c>
      <c r="G157" s="36">
        <v>4</v>
      </c>
      <c r="H157" s="36">
        <v>5</v>
      </c>
      <c r="I157" s="56">
        <v>5190.6999999999998</v>
      </c>
      <c r="J157" s="56">
        <v>4164.3999999999996</v>
      </c>
      <c r="K157" s="56">
        <v>3706.4000000000001</v>
      </c>
      <c r="L157" s="57">
        <v>93</v>
      </c>
      <c r="M157" s="39">
        <f t="shared" si="24"/>
        <v>261674.29999999999</v>
      </c>
      <c r="N157" s="37">
        <v>0</v>
      </c>
      <c r="O157" s="37">
        <v>0</v>
      </c>
      <c r="P157" s="37">
        <v>0</v>
      </c>
      <c r="Q157" s="40">
        <f>'Таблица 3 '!C147</f>
        <v>261674.29999999999</v>
      </c>
      <c r="R157" s="37">
        <f t="shared" si="25"/>
        <v>261674.29999999999</v>
      </c>
      <c r="S157" s="37">
        <v>0</v>
      </c>
      <c r="T157" s="37">
        <f t="shared" si="26"/>
        <v>62.836014792046875</v>
      </c>
      <c r="U157" s="37">
        <f t="shared" si="27"/>
        <v>62.836014792046875</v>
      </c>
      <c r="V157" s="41" t="s">
        <v>45</v>
      </c>
      <c r="W157" s="31"/>
    </row>
    <row r="158" s="31" customFormat="1" ht="44.25" customHeight="1">
      <c r="A158" s="33">
        <v>137</v>
      </c>
      <c r="B158" s="34" t="s">
        <v>234</v>
      </c>
      <c r="C158" s="33" t="s">
        <v>43</v>
      </c>
      <c r="D158" s="35" t="s">
        <v>109</v>
      </c>
      <c r="E158" s="35" t="s">
        <v>39</v>
      </c>
      <c r="F158" s="33" t="s">
        <v>48</v>
      </c>
      <c r="G158" s="36">
        <v>5</v>
      </c>
      <c r="H158" s="36">
        <v>14</v>
      </c>
      <c r="I158" s="37">
        <v>11214.799999999999</v>
      </c>
      <c r="J158" s="37">
        <v>10007.200000000001</v>
      </c>
      <c r="K158" s="37">
        <v>9359</v>
      </c>
      <c r="L158" s="38">
        <v>410</v>
      </c>
      <c r="M158" s="39">
        <f t="shared" si="24"/>
        <v>30017079.82</v>
      </c>
      <c r="N158" s="37">
        <v>0</v>
      </c>
      <c r="O158" s="37">
        <v>0</v>
      </c>
      <c r="P158" s="37">
        <v>0</v>
      </c>
      <c r="Q158" s="40">
        <f>'Таблица 3 '!C148</f>
        <v>30017079.82</v>
      </c>
      <c r="R158" s="37">
        <f t="shared" si="25"/>
        <v>30017079.82</v>
      </c>
      <c r="S158" s="37">
        <v>0</v>
      </c>
      <c r="T158" s="37">
        <f t="shared" si="26"/>
        <v>2999.5483072188022</v>
      </c>
      <c r="U158" s="37">
        <f t="shared" si="27"/>
        <v>2999.5483072188022</v>
      </c>
      <c r="V158" s="41" t="s">
        <v>45</v>
      </c>
      <c r="W158" s="31"/>
    </row>
    <row r="159" s="31" customFormat="1" ht="44.25" customHeight="1">
      <c r="A159" s="33">
        <v>138</v>
      </c>
      <c r="B159" s="34" t="s">
        <v>235</v>
      </c>
      <c r="C159" s="33" t="s">
        <v>43</v>
      </c>
      <c r="D159" s="35" t="s">
        <v>145</v>
      </c>
      <c r="E159" s="35" t="s">
        <v>39</v>
      </c>
      <c r="F159" s="33" t="s">
        <v>44</v>
      </c>
      <c r="G159" s="36">
        <v>5</v>
      </c>
      <c r="H159" s="36">
        <v>8</v>
      </c>
      <c r="I159" s="37">
        <v>9456.3999999999996</v>
      </c>
      <c r="J159" s="37">
        <v>5716.3000000000002</v>
      </c>
      <c r="K159" s="37">
        <v>5239.5</v>
      </c>
      <c r="L159" s="38">
        <v>167</v>
      </c>
      <c r="M159" s="39">
        <f t="shared" si="24"/>
        <v>350610.91999999998</v>
      </c>
      <c r="N159" s="37">
        <v>0</v>
      </c>
      <c r="O159" s="37">
        <v>0</v>
      </c>
      <c r="P159" s="37">
        <v>0</v>
      </c>
      <c r="Q159" s="40">
        <f>'Таблица 3 '!C149</f>
        <v>350610.91999999998</v>
      </c>
      <c r="R159" s="37">
        <f t="shared" si="25"/>
        <v>350610.91999999998</v>
      </c>
      <c r="S159" s="37">
        <v>0</v>
      </c>
      <c r="T159" s="37">
        <f t="shared" si="26"/>
        <v>61.335290310165661</v>
      </c>
      <c r="U159" s="37">
        <f t="shared" si="27"/>
        <v>61.335290310165661</v>
      </c>
      <c r="V159" s="41" t="s">
        <v>45</v>
      </c>
      <c r="W159" s="31"/>
    </row>
    <row r="160" s="31" customFormat="1" ht="44.25" customHeight="1">
      <c r="A160" s="33">
        <v>139</v>
      </c>
      <c r="B160" s="34" t="s">
        <v>236</v>
      </c>
      <c r="C160" s="33" t="s">
        <v>43</v>
      </c>
      <c r="D160" s="33">
        <v>1959</v>
      </c>
      <c r="E160" s="35" t="s">
        <v>39</v>
      </c>
      <c r="F160" s="33" t="s">
        <v>44</v>
      </c>
      <c r="G160" s="36">
        <v>2</v>
      </c>
      <c r="H160" s="36">
        <v>2</v>
      </c>
      <c r="I160" s="37">
        <v>428.5</v>
      </c>
      <c r="J160" s="37">
        <v>386.10000000000002</v>
      </c>
      <c r="K160" s="37">
        <v>318.69999999999999</v>
      </c>
      <c r="L160" s="38">
        <v>23</v>
      </c>
      <c r="M160" s="39">
        <f t="shared" si="24"/>
        <v>421821.95999999996</v>
      </c>
      <c r="N160" s="37">
        <v>0</v>
      </c>
      <c r="O160" s="37">
        <v>0</v>
      </c>
      <c r="P160" s="37">
        <v>0</v>
      </c>
      <c r="Q160" s="40">
        <f>'Таблица 3 '!C150</f>
        <v>421821.95999999996</v>
      </c>
      <c r="R160" s="37">
        <f t="shared" si="25"/>
        <v>421821.95999999996</v>
      </c>
      <c r="S160" s="37">
        <v>0</v>
      </c>
      <c r="T160" s="37">
        <f t="shared" si="26"/>
        <v>1092.5199689199687</v>
      </c>
      <c r="U160" s="37">
        <f t="shared" si="27"/>
        <v>1092.5199689199687</v>
      </c>
      <c r="V160" s="41" t="s">
        <v>45</v>
      </c>
      <c r="W160" s="31"/>
    </row>
    <row r="161" s="31" customFormat="1" ht="44.25" customHeight="1">
      <c r="A161" s="33">
        <v>140</v>
      </c>
      <c r="B161" s="34" t="s">
        <v>237</v>
      </c>
      <c r="C161" s="33" t="s">
        <v>43</v>
      </c>
      <c r="D161" s="35" t="s">
        <v>86</v>
      </c>
      <c r="E161" s="35" t="s">
        <v>39</v>
      </c>
      <c r="F161" s="33" t="s">
        <v>48</v>
      </c>
      <c r="G161" s="36">
        <v>5</v>
      </c>
      <c r="H161" s="36">
        <v>2</v>
      </c>
      <c r="I161" s="37">
        <v>4073.1999999999998</v>
      </c>
      <c r="J161" s="37">
        <v>3074.1999999999998</v>
      </c>
      <c r="K161" s="37">
        <v>3219.5999999999999</v>
      </c>
      <c r="L161" s="38">
        <v>163</v>
      </c>
      <c r="M161" s="39">
        <f t="shared" si="24"/>
        <v>1177186.9200000002</v>
      </c>
      <c r="N161" s="37">
        <v>0</v>
      </c>
      <c r="O161" s="37">
        <v>0</v>
      </c>
      <c r="P161" s="37">
        <v>0</v>
      </c>
      <c r="Q161" s="40">
        <f>'Таблица 3 '!C151</f>
        <v>1177186.9200000002</v>
      </c>
      <c r="R161" s="37">
        <f t="shared" si="25"/>
        <v>1177186.9200000002</v>
      </c>
      <c r="S161" s="37">
        <v>0</v>
      </c>
      <c r="T161" s="37">
        <f t="shared" si="26"/>
        <v>382.92463730401414</v>
      </c>
      <c r="U161" s="37">
        <f t="shared" si="27"/>
        <v>382.92463730401414</v>
      </c>
      <c r="V161" s="41" t="s">
        <v>45</v>
      </c>
      <c r="W161" s="31"/>
    </row>
    <row r="162" s="31" customFormat="1" ht="44.25" customHeight="1">
      <c r="A162" s="33">
        <v>141</v>
      </c>
      <c r="B162" s="34" t="s">
        <v>238</v>
      </c>
      <c r="C162" s="33" t="s">
        <v>43</v>
      </c>
      <c r="D162" s="35" t="s">
        <v>126</v>
      </c>
      <c r="E162" s="35" t="s">
        <v>140</v>
      </c>
      <c r="F162" s="33" t="s">
        <v>44</v>
      </c>
      <c r="G162" s="36">
        <v>2</v>
      </c>
      <c r="H162" s="36">
        <v>2</v>
      </c>
      <c r="I162" s="37">
        <v>605.79999999999995</v>
      </c>
      <c r="J162" s="37">
        <v>575.20000000000005</v>
      </c>
      <c r="K162" s="37">
        <v>374.30000000000001</v>
      </c>
      <c r="L162" s="38">
        <v>35</v>
      </c>
      <c r="M162" s="39">
        <f t="shared" si="24"/>
        <v>137006.10999999999</v>
      </c>
      <c r="N162" s="37">
        <v>0</v>
      </c>
      <c r="O162" s="37">
        <v>0</v>
      </c>
      <c r="P162" s="37">
        <v>0</v>
      </c>
      <c r="Q162" s="40">
        <f>'Таблица 3 '!C152</f>
        <v>137006.10999999999</v>
      </c>
      <c r="R162" s="37">
        <f t="shared" si="25"/>
        <v>137006.10999999999</v>
      </c>
      <c r="S162" s="37">
        <v>0</v>
      </c>
      <c r="T162" s="37">
        <f t="shared" si="26"/>
        <v>238.18864742698187</v>
      </c>
      <c r="U162" s="37">
        <f t="shared" si="27"/>
        <v>238.18864742698187</v>
      </c>
      <c r="V162" s="41" t="s">
        <v>45</v>
      </c>
      <c r="W162" s="31"/>
    </row>
    <row r="163" s="31" customFormat="1" ht="44.25" customHeight="1">
      <c r="A163" s="33">
        <v>142</v>
      </c>
      <c r="B163" s="34" t="s">
        <v>239</v>
      </c>
      <c r="C163" s="33" t="s">
        <v>43</v>
      </c>
      <c r="D163" s="33">
        <v>1958</v>
      </c>
      <c r="E163" s="35" t="s">
        <v>228</v>
      </c>
      <c r="F163" s="33" t="s">
        <v>44</v>
      </c>
      <c r="G163" s="36">
        <v>2</v>
      </c>
      <c r="H163" s="36">
        <v>2</v>
      </c>
      <c r="I163" s="37">
        <v>877.39999999999998</v>
      </c>
      <c r="J163" s="37">
        <v>811.29999999999995</v>
      </c>
      <c r="K163" s="37">
        <v>816.70000000000005</v>
      </c>
      <c r="L163" s="38">
        <v>32</v>
      </c>
      <c r="M163" s="39">
        <f t="shared" si="24"/>
        <v>2428516.8599999999</v>
      </c>
      <c r="N163" s="37">
        <v>0</v>
      </c>
      <c r="O163" s="37">
        <v>0</v>
      </c>
      <c r="P163" s="37">
        <v>0</v>
      </c>
      <c r="Q163" s="40">
        <f>'Таблица 3 '!C153</f>
        <v>2428516.8599999999</v>
      </c>
      <c r="R163" s="37">
        <f t="shared" si="25"/>
        <v>2428516.8599999999</v>
      </c>
      <c r="S163" s="37">
        <v>0</v>
      </c>
      <c r="T163" s="37">
        <f t="shared" si="26"/>
        <v>2993.364797238999</v>
      </c>
      <c r="U163" s="37">
        <f t="shared" si="27"/>
        <v>2993.364797238999</v>
      </c>
      <c r="V163" s="41" t="s">
        <v>45</v>
      </c>
      <c r="W163" s="31"/>
    </row>
    <row r="164" s="31" customFormat="1" ht="44.25" customHeight="1">
      <c r="A164" s="33">
        <v>143</v>
      </c>
      <c r="B164" s="34" t="s">
        <v>240</v>
      </c>
      <c r="C164" s="33" t="s">
        <v>43</v>
      </c>
      <c r="D164" s="35" t="s">
        <v>230</v>
      </c>
      <c r="E164" s="35" t="s">
        <v>63</v>
      </c>
      <c r="F164" s="33" t="s">
        <v>44</v>
      </c>
      <c r="G164" s="36">
        <v>2</v>
      </c>
      <c r="H164" s="36">
        <v>2</v>
      </c>
      <c r="I164" s="37">
        <v>922.89999999999998</v>
      </c>
      <c r="J164" s="37">
        <v>836.39999999999998</v>
      </c>
      <c r="K164" s="37">
        <v>630.70000000000005</v>
      </c>
      <c r="L164" s="38">
        <v>27</v>
      </c>
      <c r="M164" s="39">
        <f t="shared" si="24"/>
        <v>128679.39</v>
      </c>
      <c r="N164" s="37">
        <v>0</v>
      </c>
      <c r="O164" s="37">
        <v>0</v>
      </c>
      <c r="P164" s="37">
        <v>0</v>
      </c>
      <c r="Q164" s="40">
        <f>'Таблица 3 '!C154</f>
        <v>128679.39</v>
      </c>
      <c r="R164" s="37">
        <f t="shared" si="25"/>
        <v>128679.39</v>
      </c>
      <c r="S164" s="37">
        <v>0</v>
      </c>
      <c r="T164" s="37">
        <f t="shared" si="26"/>
        <v>153.84910329985652</v>
      </c>
      <c r="U164" s="37">
        <f t="shared" si="27"/>
        <v>153.84910329985652</v>
      </c>
      <c r="V164" s="41" t="s">
        <v>45</v>
      </c>
      <c r="W164" s="31"/>
    </row>
    <row r="165" s="31" customFormat="1" ht="44.25" customHeight="1">
      <c r="A165" s="33">
        <v>144</v>
      </c>
      <c r="B165" s="34" t="s">
        <v>241</v>
      </c>
      <c r="C165" s="33" t="s">
        <v>43</v>
      </c>
      <c r="D165" s="33">
        <v>1935</v>
      </c>
      <c r="E165" s="35" t="s">
        <v>39</v>
      </c>
      <c r="F165" s="33" t="s">
        <v>242</v>
      </c>
      <c r="G165" s="36">
        <v>2</v>
      </c>
      <c r="H165" s="36">
        <v>2</v>
      </c>
      <c r="I165" s="40">
        <v>555</v>
      </c>
      <c r="J165" s="40">
        <v>499.5</v>
      </c>
      <c r="K165" s="40">
        <v>499.5</v>
      </c>
      <c r="L165" s="48">
        <v>20</v>
      </c>
      <c r="M165" s="39">
        <f t="shared" si="24"/>
        <v>2060329.8300000001</v>
      </c>
      <c r="N165" s="37">
        <v>0</v>
      </c>
      <c r="O165" s="37">
        <v>0</v>
      </c>
      <c r="P165" s="37">
        <v>0</v>
      </c>
      <c r="Q165" s="40">
        <f>'Таблица 3 '!C155</f>
        <v>2060329.8300000001</v>
      </c>
      <c r="R165" s="37">
        <f t="shared" si="25"/>
        <v>2060329.8300000001</v>
      </c>
      <c r="S165" s="37">
        <v>0</v>
      </c>
      <c r="T165" s="37">
        <f t="shared" si="26"/>
        <v>4124.7844444444445</v>
      </c>
      <c r="U165" s="37">
        <f t="shared" si="27"/>
        <v>4124.7844444444445</v>
      </c>
      <c r="V165" s="41" t="s">
        <v>45</v>
      </c>
      <c r="W165" s="31"/>
    </row>
    <row r="166" s="31" customFormat="1" ht="44.25" customHeight="1">
      <c r="A166" s="33">
        <v>145</v>
      </c>
      <c r="B166" s="34" t="s">
        <v>243</v>
      </c>
      <c r="C166" s="43" t="s">
        <v>43</v>
      </c>
      <c r="D166" s="35" t="s">
        <v>244</v>
      </c>
      <c r="E166" s="44" t="s">
        <v>39</v>
      </c>
      <c r="F166" s="33" t="s">
        <v>44</v>
      </c>
      <c r="G166" s="45">
        <v>9</v>
      </c>
      <c r="H166" s="36">
        <v>4</v>
      </c>
      <c r="I166" s="46">
        <v>11117.299999999999</v>
      </c>
      <c r="J166" s="37">
        <v>9860.7999999999993</v>
      </c>
      <c r="K166" s="46">
        <v>9860.7999999999993</v>
      </c>
      <c r="L166" s="38">
        <v>217</v>
      </c>
      <c r="M166" s="39">
        <f t="shared" si="24"/>
        <v>207514.73000000001</v>
      </c>
      <c r="N166" s="46">
        <v>0</v>
      </c>
      <c r="O166" s="37">
        <v>0</v>
      </c>
      <c r="P166" s="46">
        <v>0</v>
      </c>
      <c r="Q166" s="40">
        <f>'Таблица 3 '!C156</f>
        <v>207514.73000000001</v>
      </c>
      <c r="R166" s="46">
        <f t="shared" si="25"/>
        <v>207514.73000000001</v>
      </c>
      <c r="S166" s="37">
        <v>0</v>
      </c>
      <c r="T166" s="46">
        <f t="shared" si="26"/>
        <v>21.044411203959115</v>
      </c>
      <c r="U166" s="37">
        <f t="shared" si="27"/>
        <v>21.044411203959115</v>
      </c>
      <c r="V166" s="41" t="s">
        <v>45</v>
      </c>
      <c r="W166" s="47"/>
    </row>
    <row r="167" s="31" customFormat="1" ht="44.25" customHeight="1">
      <c r="A167" s="33">
        <v>146</v>
      </c>
      <c r="B167" s="34" t="s">
        <v>245</v>
      </c>
      <c r="C167" s="33" t="s">
        <v>43</v>
      </c>
      <c r="D167" s="33">
        <v>1960</v>
      </c>
      <c r="E167" s="35" t="s">
        <v>140</v>
      </c>
      <c r="F167" s="33" t="s">
        <v>44</v>
      </c>
      <c r="G167" s="36">
        <v>2</v>
      </c>
      <c r="H167" s="36">
        <v>1</v>
      </c>
      <c r="I167" s="37">
        <v>430.39999999999998</v>
      </c>
      <c r="J167" s="37">
        <v>381</v>
      </c>
      <c r="K167" s="37">
        <v>379.19999999999999</v>
      </c>
      <c r="L167" s="38">
        <v>17</v>
      </c>
      <c r="M167" s="39">
        <f t="shared" si="24"/>
        <v>156972</v>
      </c>
      <c r="N167" s="37">
        <v>0</v>
      </c>
      <c r="O167" s="37">
        <v>0</v>
      </c>
      <c r="P167" s="37">
        <v>0</v>
      </c>
      <c r="Q167" s="40">
        <f>'Таблица 3 '!C157</f>
        <v>156972</v>
      </c>
      <c r="R167" s="37">
        <f t="shared" si="25"/>
        <v>156972</v>
      </c>
      <c r="S167" s="37">
        <v>0</v>
      </c>
      <c r="T167" s="37">
        <f t="shared" si="26"/>
        <v>412</v>
      </c>
      <c r="U167" s="37">
        <f t="shared" si="27"/>
        <v>412</v>
      </c>
      <c r="V167" s="41" t="s">
        <v>45</v>
      </c>
      <c r="W167" s="31"/>
    </row>
    <row r="168" s="31" customFormat="1" ht="44.25" customHeight="1">
      <c r="A168" s="33">
        <v>147</v>
      </c>
      <c r="B168" s="34" t="s">
        <v>246</v>
      </c>
      <c r="C168" s="33" t="s">
        <v>43</v>
      </c>
      <c r="D168" s="33">
        <v>1978</v>
      </c>
      <c r="E168" s="35" t="s">
        <v>63</v>
      </c>
      <c r="F168" s="33" t="s">
        <v>44</v>
      </c>
      <c r="G168" s="36">
        <v>5</v>
      </c>
      <c r="H168" s="36">
        <v>4</v>
      </c>
      <c r="I168" s="37">
        <v>3838</v>
      </c>
      <c r="J168" s="37">
        <v>3393.5999999999999</v>
      </c>
      <c r="K168" s="37">
        <v>3012.3000000000002</v>
      </c>
      <c r="L168" s="38">
        <v>121</v>
      </c>
      <c r="M168" s="39">
        <f t="shared" si="24"/>
        <v>326452.75</v>
      </c>
      <c r="N168" s="37">
        <v>0</v>
      </c>
      <c r="O168" s="37">
        <v>0</v>
      </c>
      <c r="P168" s="37">
        <v>0</v>
      </c>
      <c r="Q168" s="40">
        <f>'Таблица 3 '!C158</f>
        <v>326452.75</v>
      </c>
      <c r="R168" s="37">
        <f t="shared" si="25"/>
        <v>326452.75</v>
      </c>
      <c r="S168" s="37">
        <v>0</v>
      </c>
      <c r="T168" s="37">
        <f t="shared" si="26"/>
        <v>96.196590641206981</v>
      </c>
      <c r="U168" s="37">
        <f t="shared" si="27"/>
        <v>96.196590641206981</v>
      </c>
      <c r="V168" s="41" t="s">
        <v>45</v>
      </c>
      <c r="W168" s="31"/>
    </row>
    <row r="169" s="31" customFormat="1" ht="44.25" customHeight="1">
      <c r="A169" s="33">
        <v>148</v>
      </c>
      <c r="B169" s="50" t="s">
        <v>247</v>
      </c>
      <c r="C169" s="33" t="s">
        <v>43</v>
      </c>
      <c r="D169" s="33">
        <v>1994</v>
      </c>
      <c r="E169" s="35" t="s">
        <v>228</v>
      </c>
      <c r="F169" s="33" t="s">
        <v>44</v>
      </c>
      <c r="G169" s="36">
        <v>5</v>
      </c>
      <c r="H169" s="36">
        <v>5</v>
      </c>
      <c r="I169" s="37">
        <v>4752.3000000000002</v>
      </c>
      <c r="J169" s="37">
        <v>3410.9000000000001</v>
      </c>
      <c r="K169" s="37">
        <v>3339.5999999999999</v>
      </c>
      <c r="L169" s="38">
        <v>168</v>
      </c>
      <c r="M169" s="39">
        <f t="shared" si="24"/>
        <v>427178.23999999999</v>
      </c>
      <c r="N169" s="37">
        <v>0</v>
      </c>
      <c r="O169" s="37">
        <v>0</v>
      </c>
      <c r="P169" s="37">
        <v>0</v>
      </c>
      <c r="Q169" s="40">
        <f>'Таблица 3 '!C159</f>
        <v>427178.23999999999</v>
      </c>
      <c r="R169" s="37">
        <f t="shared" si="25"/>
        <v>427178.23999999999</v>
      </c>
      <c r="S169" s="37">
        <v>0</v>
      </c>
      <c r="T169" s="37">
        <f t="shared" si="26"/>
        <v>125.23915682078044</v>
      </c>
      <c r="U169" s="37">
        <f t="shared" si="27"/>
        <v>125.23915682078044</v>
      </c>
      <c r="V169" s="41" t="s">
        <v>45</v>
      </c>
      <c r="W169" s="31"/>
    </row>
    <row r="170" s="31" customFormat="1" ht="44.25" customHeight="1">
      <c r="A170" s="33">
        <v>149</v>
      </c>
      <c r="B170" s="34" t="s">
        <v>248</v>
      </c>
      <c r="C170" s="33" t="s">
        <v>43</v>
      </c>
      <c r="D170" s="33">
        <v>1962</v>
      </c>
      <c r="E170" s="35" t="s">
        <v>140</v>
      </c>
      <c r="F170" s="33" t="s">
        <v>77</v>
      </c>
      <c r="G170" s="36">
        <v>3</v>
      </c>
      <c r="H170" s="36">
        <v>4</v>
      </c>
      <c r="I170" s="40">
        <v>2536</v>
      </c>
      <c r="J170" s="40">
        <v>2372.1999999999998</v>
      </c>
      <c r="K170" s="40">
        <v>1808.0999999999999</v>
      </c>
      <c r="L170" s="48">
        <v>79</v>
      </c>
      <c r="M170" s="39">
        <f t="shared" si="24"/>
        <v>275116.64000000001</v>
      </c>
      <c r="N170" s="37">
        <v>0</v>
      </c>
      <c r="O170" s="37">
        <v>0</v>
      </c>
      <c r="P170" s="37">
        <v>0</v>
      </c>
      <c r="Q170" s="40">
        <f>'Таблица 3 '!C160</f>
        <v>275116.64000000001</v>
      </c>
      <c r="R170" s="37">
        <f t="shared" si="25"/>
        <v>275116.64000000001</v>
      </c>
      <c r="S170" s="40">
        <v>0</v>
      </c>
      <c r="T170" s="37">
        <f t="shared" si="26"/>
        <v>115.97531405446422</v>
      </c>
      <c r="U170" s="37">
        <f t="shared" si="27"/>
        <v>115.97531405446422</v>
      </c>
      <c r="V170" s="41" t="s">
        <v>45</v>
      </c>
      <c r="W170" s="31"/>
    </row>
    <row r="171" s="31" customFormat="1" ht="44.25" customHeight="1">
      <c r="A171" s="33">
        <v>150</v>
      </c>
      <c r="B171" s="34" t="s">
        <v>249</v>
      </c>
      <c r="C171" s="43" t="s">
        <v>43</v>
      </c>
      <c r="D171" s="33">
        <v>1961</v>
      </c>
      <c r="E171" s="44" t="s">
        <v>228</v>
      </c>
      <c r="F171" s="33" t="s">
        <v>44</v>
      </c>
      <c r="G171" s="45">
        <v>4</v>
      </c>
      <c r="H171" s="36">
        <v>3</v>
      </c>
      <c r="I171" s="46">
        <v>2605.8000000000002</v>
      </c>
      <c r="J171" s="37">
        <v>1807.5999999999999</v>
      </c>
      <c r="K171" s="46">
        <v>1697.0999999999999</v>
      </c>
      <c r="L171" s="38">
        <v>69</v>
      </c>
      <c r="M171" s="39">
        <f t="shared" si="24"/>
        <v>289965.01000000001</v>
      </c>
      <c r="N171" s="46">
        <v>0</v>
      </c>
      <c r="O171" s="37">
        <v>0</v>
      </c>
      <c r="P171" s="46">
        <v>0</v>
      </c>
      <c r="Q171" s="40">
        <f>'Таблица 3 '!C161</f>
        <v>289965.01000000001</v>
      </c>
      <c r="R171" s="46">
        <f t="shared" si="25"/>
        <v>289965.01000000001</v>
      </c>
      <c r="S171" s="37">
        <v>0</v>
      </c>
      <c r="T171" s="46">
        <f t="shared" si="26"/>
        <v>160.41436711661873</v>
      </c>
      <c r="U171" s="37">
        <f t="shared" si="27"/>
        <v>160.41436711661873</v>
      </c>
      <c r="V171" s="41" t="s">
        <v>45</v>
      </c>
      <c r="W171" s="47"/>
    </row>
    <row r="172" s="31" customFormat="1" ht="44.25" customHeight="1">
      <c r="A172" s="33">
        <v>151</v>
      </c>
      <c r="B172" s="34" t="s">
        <v>250</v>
      </c>
      <c r="C172" s="33" t="s">
        <v>43</v>
      </c>
      <c r="D172" s="35">
        <v>1958</v>
      </c>
      <c r="E172" s="35" t="s">
        <v>39</v>
      </c>
      <c r="F172" s="33" t="s">
        <v>44</v>
      </c>
      <c r="G172" s="36">
        <v>2</v>
      </c>
      <c r="H172" s="36">
        <v>1</v>
      </c>
      <c r="I172" s="37">
        <v>378.39999999999998</v>
      </c>
      <c r="J172" s="37">
        <v>294.30000000000001</v>
      </c>
      <c r="K172" s="37">
        <v>294.30000000000001</v>
      </c>
      <c r="L172" s="38">
        <v>26</v>
      </c>
      <c r="M172" s="39">
        <f t="shared" si="24"/>
        <v>3058413.2799999998</v>
      </c>
      <c r="N172" s="37">
        <v>0</v>
      </c>
      <c r="O172" s="37">
        <v>0</v>
      </c>
      <c r="P172" s="37">
        <v>0</v>
      </c>
      <c r="Q172" s="40">
        <f>'Таблица 3 '!C162</f>
        <v>3058413.2799999998</v>
      </c>
      <c r="R172" s="37">
        <f t="shared" si="25"/>
        <v>3058413.2799999998</v>
      </c>
      <c r="S172" s="37">
        <v>0</v>
      </c>
      <c r="T172" s="37">
        <f t="shared" si="26"/>
        <v>10392.162011552837</v>
      </c>
      <c r="U172" s="37">
        <f t="shared" si="27"/>
        <v>10392.162011552837</v>
      </c>
      <c r="V172" s="41" t="s">
        <v>45</v>
      </c>
      <c r="W172" s="31"/>
    </row>
    <row r="173" s="31" customFormat="1" ht="44.25" customHeight="1">
      <c r="A173" s="33">
        <v>152</v>
      </c>
      <c r="B173" s="34" t="s">
        <v>251</v>
      </c>
      <c r="C173" s="33" t="s">
        <v>43</v>
      </c>
      <c r="D173" s="35" t="s">
        <v>225</v>
      </c>
      <c r="E173" s="35" t="s">
        <v>228</v>
      </c>
      <c r="F173" s="33" t="s">
        <v>44</v>
      </c>
      <c r="G173" s="36">
        <v>3</v>
      </c>
      <c r="H173" s="36">
        <v>2</v>
      </c>
      <c r="I173" s="37">
        <v>1133.4000000000001</v>
      </c>
      <c r="J173" s="37">
        <v>1121.8</v>
      </c>
      <c r="K173" s="37">
        <v>858.10000000000002</v>
      </c>
      <c r="L173" s="38">
        <v>59</v>
      </c>
      <c r="M173" s="39">
        <f t="shared" si="24"/>
        <v>4386728.75</v>
      </c>
      <c r="N173" s="37">
        <v>0</v>
      </c>
      <c r="O173" s="37">
        <v>0</v>
      </c>
      <c r="P173" s="37">
        <v>0</v>
      </c>
      <c r="Q173" s="40">
        <f>'Таблица 3 '!C163</f>
        <v>4386728.75</v>
      </c>
      <c r="R173" s="37">
        <f t="shared" si="25"/>
        <v>4386728.75</v>
      </c>
      <c r="S173" s="37">
        <v>0</v>
      </c>
      <c r="T173" s="37">
        <f t="shared" si="26"/>
        <v>3910.4374665715814</v>
      </c>
      <c r="U173" s="37">
        <f t="shared" si="27"/>
        <v>3910.4374665715814</v>
      </c>
      <c r="V173" s="41" t="s">
        <v>45</v>
      </c>
      <c r="W173" s="31"/>
    </row>
    <row r="174" s="31" customFormat="1" ht="44.25" customHeight="1">
      <c r="A174" s="33">
        <v>153</v>
      </c>
      <c r="B174" s="34" t="s">
        <v>252</v>
      </c>
      <c r="C174" s="33" t="s">
        <v>43</v>
      </c>
      <c r="D174" s="35">
        <v>1958</v>
      </c>
      <c r="E174" s="35" t="s">
        <v>39</v>
      </c>
      <c r="F174" s="33" t="s">
        <v>44</v>
      </c>
      <c r="G174" s="36">
        <v>3</v>
      </c>
      <c r="H174" s="36">
        <v>3</v>
      </c>
      <c r="I174" s="37">
        <v>4717.1000000000004</v>
      </c>
      <c r="J174" s="37">
        <v>2313.0999999999999</v>
      </c>
      <c r="K174" s="37">
        <v>2313.0999999999999</v>
      </c>
      <c r="L174" s="38">
        <v>219</v>
      </c>
      <c r="M174" s="39">
        <f t="shared" si="24"/>
        <v>9531206.9800000004</v>
      </c>
      <c r="N174" s="37">
        <v>0</v>
      </c>
      <c r="O174" s="37">
        <v>0</v>
      </c>
      <c r="P174" s="37">
        <v>0</v>
      </c>
      <c r="Q174" s="40">
        <f>'Таблица 3 '!C164</f>
        <v>9531206.9800000004</v>
      </c>
      <c r="R174" s="37">
        <f t="shared" si="25"/>
        <v>9531206.9800000004</v>
      </c>
      <c r="S174" s="37">
        <v>0</v>
      </c>
      <c r="T174" s="37">
        <f t="shared" si="26"/>
        <v>4120.5339068782159</v>
      </c>
      <c r="U174" s="37">
        <f t="shared" si="27"/>
        <v>4120.5339068782159</v>
      </c>
      <c r="V174" s="41" t="s">
        <v>45</v>
      </c>
      <c r="W174" s="31"/>
    </row>
    <row r="175" s="31" customFormat="1" ht="44.25" customHeight="1">
      <c r="A175" s="33">
        <v>154</v>
      </c>
      <c r="B175" s="34" t="s">
        <v>253</v>
      </c>
      <c r="C175" s="33" t="s">
        <v>43</v>
      </c>
      <c r="D175" s="35" t="s">
        <v>126</v>
      </c>
      <c r="E175" s="35" t="s">
        <v>39</v>
      </c>
      <c r="F175" s="33" t="s">
        <v>44</v>
      </c>
      <c r="G175" s="36">
        <v>4</v>
      </c>
      <c r="H175" s="36">
        <v>3</v>
      </c>
      <c r="I175" s="37">
        <v>1915.0999999999999</v>
      </c>
      <c r="J175" s="37">
        <v>1915.0999999999999</v>
      </c>
      <c r="K175" s="37">
        <v>1618.8</v>
      </c>
      <c r="L175" s="38">
        <v>29</v>
      </c>
      <c r="M175" s="39">
        <f t="shared" si="24"/>
        <v>8320024.5300000003</v>
      </c>
      <c r="N175" s="37">
        <v>0</v>
      </c>
      <c r="O175" s="37">
        <v>0</v>
      </c>
      <c r="P175" s="37">
        <v>0</v>
      </c>
      <c r="Q175" s="40">
        <f>'Таблица 3 '!C165</f>
        <v>8320024.5300000003</v>
      </c>
      <c r="R175" s="37">
        <f t="shared" si="25"/>
        <v>8320024.5300000003</v>
      </c>
      <c r="S175" s="37">
        <v>0</v>
      </c>
      <c r="T175" s="37">
        <f t="shared" si="26"/>
        <v>4344.4334656153733</v>
      </c>
      <c r="U175" s="37">
        <f t="shared" si="27"/>
        <v>4344.4334656153733</v>
      </c>
      <c r="V175" s="41" t="s">
        <v>45</v>
      </c>
      <c r="W175" s="31"/>
    </row>
    <row r="176" s="31" customFormat="1" ht="44.25" customHeight="1">
      <c r="A176" s="33">
        <v>155</v>
      </c>
      <c r="B176" s="34" t="s">
        <v>254</v>
      </c>
      <c r="C176" s="33" t="s">
        <v>43</v>
      </c>
      <c r="D176" s="33">
        <v>1991</v>
      </c>
      <c r="E176" s="35" t="s">
        <v>57</v>
      </c>
      <c r="F176" s="33" t="s">
        <v>48</v>
      </c>
      <c r="G176" s="36">
        <v>10</v>
      </c>
      <c r="H176" s="36">
        <v>3</v>
      </c>
      <c r="I176" s="37">
        <v>7546.5</v>
      </c>
      <c r="J176" s="37">
        <v>7262.6999999999998</v>
      </c>
      <c r="K176" s="37">
        <v>7094.8000000000002</v>
      </c>
      <c r="L176" s="38">
        <v>283</v>
      </c>
      <c r="M176" s="39">
        <f t="shared" si="24"/>
        <v>508697.59000000003</v>
      </c>
      <c r="N176" s="37">
        <v>0</v>
      </c>
      <c r="O176" s="37">
        <v>0</v>
      </c>
      <c r="P176" s="37">
        <v>0</v>
      </c>
      <c r="Q176" s="40">
        <f>'Таблица 3 '!C166</f>
        <v>508697.59000000003</v>
      </c>
      <c r="R176" s="37">
        <f t="shared" si="25"/>
        <v>508697.59000000003</v>
      </c>
      <c r="S176" s="37">
        <v>0</v>
      </c>
      <c r="T176" s="37">
        <f t="shared" si="26"/>
        <v>70.042489707684481</v>
      </c>
      <c r="U176" s="37">
        <f t="shared" si="27"/>
        <v>70.042489707684481</v>
      </c>
      <c r="V176" s="41" t="s">
        <v>45</v>
      </c>
      <c r="W176" s="31"/>
    </row>
    <row r="177" s="31" customFormat="1" ht="44.25" customHeight="1">
      <c r="A177" s="33">
        <v>156</v>
      </c>
      <c r="B177" s="34" t="s">
        <v>255</v>
      </c>
      <c r="C177" s="33" t="s">
        <v>43</v>
      </c>
      <c r="D177" s="33">
        <v>1983</v>
      </c>
      <c r="E177" s="35" t="s">
        <v>39</v>
      </c>
      <c r="F177" s="33" t="s">
        <v>44</v>
      </c>
      <c r="G177" s="36">
        <v>5</v>
      </c>
      <c r="H177" s="36">
        <v>4</v>
      </c>
      <c r="I177" s="37">
        <v>3007.9000000000001</v>
      </c>
      <c r="J177" s="37">
        <v>2755.5</v>
      </c>
      <c r="K177" s="37">
        <v>2598.5999999999999</v>
      </c>
      <c r="L177" s="38">
        <v>115</v>
      </c>
      <c r="M177" s="39">
        <f t="shared" si="24"/>
        <v>341152.75</v>
      </c>
      <c r="N177" s="37">
        <v>0</v>
      </c>
      <c r="O177" s="37">
        <v>0</v>
      </c>
      <c r="P177" s="37">
        <v>0</v>
      </c>
      <c r="Q177" s="40">
        <f>'Таблица 3 '!C167</f>
        <v>341152.75</v>
      </c>
      <c r="R177" s="37">
        <f t="shared" si="25"/>
        <v>341152.75</v>
      </c>
      <c r="S177" s="37">
        <v>0</v>
      </c>
      <c r="T177" s="37">
        <f t="shared" si="26"/>
        <v>123.80792959535475</v>
      </c>
      <c r="U177" s="37">
        <f t="shared" si="27"/>
        <v>123.80792959535475</v>
      </c>
      <c r="V177" s="41" t="s">
        <v>45</v>
      </c>
      <c r="W177" s="31"/>
    </row>
    <row r="178" s="31" customFormat="1" ht="44.25" customHeight="1">
      <c r="A178" s="33">
        <v>157</v>
      </c>
      <c r="B178" s="34" t="s">
        <v>256</v>
      </c>
      <c r="C178" s="33" t="s">
        <v>43</v>
      </c>
      <c r="D178" s="35" t="s">
        <v>132</v>
      </c>
      <c r="E178" s="35" t="s">
        <v>50</v>
      </c>
      <c r="F178" s="33" t="s">
        <v>48</v>
      </c>
      <c r="G178" s="36">
        <v>5</v>
      </c>
      <c r="H178" s="36">
        <v>4</v>
      </c>
      <c r="I178" s="37">
        <v>3947.1999999999998</v>
      </c>
      <c r="J178" s="37">
        <v>2349.4000000000001</v>
      </c>
      <c r="K178" s="37">
        <v>1939</v>
      </c>
      <c r="L178" s="38">
        <v>80</v>
      </c>
      <c r="M178" s="39">
        <f t="shared" si="24"/>
        <v>275867.20000000001</v>
      </c>
      <c r="N178" s="37">
        <v>0</v>
      </c>
      <c r="O178" s="37">
        <v>0</v>
      </c>
      <c r="P178" s="37">
        <v>0</v>
      </c>
      <c r="Q178" s="40">
        <f>'Таблица 3 '!C168</f>
        <v>275867.20000000001</v>
      </c>
      <c r="R178" s="37">
        <f t="shared" si="25"/>
        <v>275867.20000000001</v>
      </c>
      <c r="S178" s="37">
        <v>0</v>
      </c>
      <c r="T178" s="37">
        <f t="shared" si="26"/>
        <v>117.42027751766409</v>
      </c>
      <c r="U178" s="37">
        <f t="shared" si="27"/>
        <v>117.42027751766409</v>
      </c>
      <c r="V178" s="41" t="s">
        <v>45</v>
      </c>
      <c r="W178" s="31"/>
    </row>
    <row r="179" s="31" customFormat="1" ht="44.25" customHeight="1">
      <c r="A179" s="33">
        <v>158</v>
      </c>
      <c r="B179" s="34" t="s">
        <v>257</v>
      </c>
      <c r="C179" s="33" t="s">
        <v>43</v>
      </c>
      <c r="D179" s="33">
        <v>1975</v>
      </c>
      <c r="E179" s="35" t="s">
        <v>39</v>
      </c>
      <c r="F179" s="33" t="s">
        <v>44</v>
      </c>
      <c r="G179" s="36">
        <v>5</v>
      </c>
      <c r="H179" s="36">
        <v>6</v>
      </c>
      <c r="I179" s="37">
        <v>5986.6000000000004</v>
      </c>
      <c r="J179" s="37">
        <v>4511</v>
      </c>
      <c r="K179" s="37">
        <v>4428.6999999999998</v>
      </c>
      <c r="L179" s="38">
        <v>150</v>
      </c>
      <c r="M179" s="39">
        <f t="shared" si="24"/>
        <v>16067994.93</v>
      </c>
      <c r="N179" s="37">
        <v>0</v>
      </c>
      <c r="O179" s="37">
        <v>0</v>
      </c>
      <c r="P179" s="37">
        <v>0</v>
      </c>
      <c r="Q179" s="40">
        <f>'Таблица 3 '!C169</f>
        <v>16067994.93</v>
      </c>
      <c r="R179" s="37">
        <f t="shared" si="25"/>
        <v>16067994.93</v>
      </c>
      <c r="S179" s="37">
        <v>0</v>
      </c>
      <c r="T179" s="37">
        <f t="shared" si="26"/>
        <v>3561.9585302593659</v>
      </c>
      <c r="U179" s="37">
        <f t="shared" si="27"/>
        <v>3561.9585302593659</v>
      </c>
      <c r="V179" s="41" t="s">
        <v>45</v>
      </c>
      <c r="W179" s="31"/>
    </row>
    <row r="180" s="31" customFormat="1" ht="44.25" customHeight="1">
      <c r="A180" s="33">
        <v>159</v>
      </c>
      <c r="B180" s="34" t="s">
        <v>258</v>
      </c>
      <c r="C180" s="33" t="s">
        <v>43</v>
      </c>
      <c r="D180" s="33">
        <v>1987</v>
      </c>
      <c r="E180" s="35" t="s">
        <v>50</v>
      </c>
      <c r="F180" s="33" t="s">
        <v>48</v>
      </c>
      <c r="G180" s="36">
        <v>9</v>
      </c>
      <c r="H180" s="36">
        <v>3</v>
      </c>
      <c r="I180" s="40">
        <v>7868</v>
      </c>
      <c r="J180" s="40">
        <v>7783.3999999999996</v>
      </c>
      <c r="K180" s="40">
        <v>7401.8000000000002</v>
      </c>
      <c r="L180" s="48">
        <v>362</v>
      </c>
      <c r="M180" s="40">
        <f t="shared" si="24"/>
        <v>417499.58000000002</v>
      </c>
      <c r="N180" s="40">
        <v>0</v>
      </c>
      <c r="O180" s="40">
        <v>0</v>
      </c>
      <c r="P180" s="40">
        <v>0</v>
      </c>
      <c r="Q180" s="40">
        <f>'Таблица 3 '!C170</f>
        <v>417499.58000000002</v>
      </c>
      <c r="R180" s="40">
        <f t="shared" si="25"/>
        <v>417499.58000000002</v>
      </c>
      <c r="S180" s="40">
        <v>0</v>
      </c>
      <c r="T180" s="37">
        <f t="shared" si="26"/>
        <v>53.639743556800376</v>
      </c>
      <c r="U180" s="37">
        <f t="shared" si="27"/>
        <v>53.639743556800376</v>
      </c>
      <c r="V180" s="41" t="s">
        <v>45</v>
      </c>
      <c r="W180" s="31"/>
    </row>
    <row r="181" s="31" customFormat="1" ht="44.25" customHeight="1">
      <c r="A181" s="33">
        <v>160</v>
      </c>
      <c r="B181" s="34" t="s">
        <v>259</v>
      </c>
      <c r="C181" s="33" t="s">
        <v>43</v>
      </c>
      <c r="D181" s="33">
        <v>1988</v>
      </c>
      <c r="E181" s="35" t="s">
        <v>39</v>
      </c>
      <c r="F181" s="33" t="s">
        <v>44</v>
      </c>
      <c r="G181" s="36">
        <v>3</v>
      </c>
      <c r="H181" s="36">
        <v>1</v>
      </c>
      <c r="I181" s="37">
        <v>1747.3</v>
      </c>
      <c r="J181" s="37">
        <v>561.60000000000002</v>
      </c>
      <c r="K181" s="37">
        <v>482.80000000000001</v>
      </c>
      <c r="L181" s="38">
        <v>79</v>
      </c>
      <c r="M181" s="39">
        <f t="shared" si="24"/>
        <v>878766.18999999994</v>
      </c>
      <c r="N181" s="37">
        <v>0</v>
      </c>
      <c r="O181" s="37">
        <v>0</v>
      </c>
      <c r="P181" s="37">
        <v>0</v>
      </c>
      <c r="Q181" s="40">
        <f>'Таблица 3 '!C171</f>
        <v>878766.18999999994</v>
      </c>
      <c r="R181" s="37">
        <f t="shared" si="25"/>
        <v>878766.18999999994</v>
      </c>
      <c r="S181" s="37">
        <v>0</v>
      </c>
      <c r="T181" s="37">
        <f t="shared" si="26"/>
        <v>1564.7546118233618</v>
      </c>
      <c r="U181" s="37">
        <f t="shared" si="27"/>
        <v>1564.7546118233618</v>
      </c>
      <c r="V181" s="41" t="s">
        <v>45</v>
      </c>
      <c r="W181" s="31"/>
    </row>
    <row r="182" s="31" customFormat="1" ht="44.25" customHeight="1">
      <c r="A182" s="33">
        <v>161</v>
      </c>
      <c r="B182" s="49" t="s">
        <v>260</v>
      </c>
      <c r="C182" s="33" t="s">
        <v>43</v>
      </c>
      <c r="D182" s="33">
        <v>1984</v>
      </c>
      <c r="E182" s="35" t="s">
        <v>39</v>
      </c>
      <c r="F182" s="33" t="s">
        <v>48</v>
      </c>
      <c r="G182" s="36">
        <v>5</v>
      </c>
      <c r="H182" s="36">
        <v>4</v>
      </c>
      <c r="I182" s="40">
        <v>4013.1199999999999</v>
      </c>
      <c r="J182" s="40">
        <v>2895.0999999999999</v>
      </c>
      <c r="K182" s="40">
        <v>2850.6999999999998</v>
      </c>
      <c r="L182" s="48">
        <v>111</v>
      </c>
      <c r="M182" s="40">
        <f t="shared" si="24"/>
        <v>3321610.6300000004</v>
      </c>
      <c r="N182" s="40">
        <v>0</v>
      </c>
      <c r="O182" s="40">
        <v>0</v>
      </c>
      <c r="P182" s="40">
        <v>0</v>
      </c>
      <c r="Q182" s="40">
        <f>'Таблица 3 '!C172</f>
        <v>3321610.6300000004</v>
      </c>
      <c r="R182" s="40">
        <f t="shared" si="25"/>
        <v>3321610.6300000004</v>
      </c>
      <c r="S182" s="40">
        <v>0</v>
      </c>
      <c r="T182" s="37">
        <f t="shared" si="26"/>
        <v>1147.3215536596319</v>
      </c>
      <c r="U182" s="37">
        <f t="shared" si="27"/>
        <v>1147.3215536596319</v>
      </c>
      <c r="V182" s="41" t="s">
        <v>45</v>
      </c>
      <c r="W182" s="31"/>
    </row>
    <row r="183" s="31" customFormat="1" ht="44.25" customHeight="1">
      <c r="A183" s="33">
        <v>162</v>
      </c>
      <c r="B183" s="49" t="s">
        <v>261</v>
      </c>
      <c r="C183" s="33" t="s">
        <v>43</v>
      </c>
      <c r="D183" s="33">
        <v>1950</v>
      </c>
      <c r="E183" s="35" t="s">
        <v>140</v>
      </c>
      <c r="F183" s="33" t="s">
        <v>44</v>
      </c>
      <c r="G183" s="36">
        <v>3</v>
      </c>
      <c r="H183" s="36">
        <v>2</v>
      </c>
      <c r="I183" s="37">
        <v>1350.5</v>
      </c>
      <c r="J183" s="37">
        <v>1018.3</v>
      </c>
      <c r="K183" s="37">
        <v>1018.3</v>
      </c>
      <c r="L183" s="38">
        <v>18</v>
      </c>
      <c r="M183" s="39">
        <f t="shared" si="24"/>
        <v>552648.25</v>
      </c>
      <c r="N183" s="37">
        <v>0</v>
      </c>
      <c r="O183" s="37">
        <v>0</v>
      </c>
      <c r="P183" s="37">
        <v>0</v>
      </c>
      <c r="Q183" s="40">
        <f>'Таблица 3 '!C173</f>
        <v>552648.25</v>
      </c>
      <c r="R183" s="37">
        <f t="shared" si="25"/>
        <v>552648.25</v>
      </c>
      <c r="S183" s="37">
        <v>0</v>
      </c>
      <c r="T183" s="37">
        <f t="shared" si="26"/>
        <v>542.71653736619862</v>
      </c>
      <c r="U183" s="37">
        <f t="shared" si="27"/>
        <v>542.71653736619862</v>
      </c>
      <c r="V183" s="41" t="s">
        <v>45</v>
      </c>
      <c r="W183" s="31"/>
    </row>
    <row r="184" s="31" customFormat="1" ht="44.25" customHeight="1">
      <c r="A184" s="33">
        <v>163</v>
      </c>
      <c r="B184" s="49" t="s">
        <v>260</v>
      </c>
      <c r="C184" s="33" t="s">
        <v>43</v>
      </c>
      <c r="D184" s="33">
        <v>1984</v>
      </c>
      <c r="E184" s="35" t="s">
        <v>39</v>
      </c>
      <c r="F184" s="33" t="s">
        <v>48</v>
      </c>
      <c r="G184" s="36">
        <v>5</v>
      </c>
      <c r="H184" s="36">
        <v>4</v>
      </c>
      <c r="I184" s="40">
        <v>4013.1199999999999</v>
      </c>
      <c r="J184" s="40">
        <v>2895.0999999999999</v>
      </c>
      <c r="K184" s="40">
        <v>2850.6999999999998</v>
      </c>
      <c r="L184" s="48">
        <v>111</v>
      </c>
      <c r="M184" s="39">
        <f t="shared" si="24"/>
        <v>265265.28999999998</v>
      </c>
      <c r="N184" s="37">
        <v>0</v>
      </c>
      <c r="O184" s="37">
        <v>0</v>
      </c>
      <c r="P184" s="37">
        <v>0</v>
      </c>
      <c r="Q184" s="40">
        <f>'Таблица 3 '!C174</f>
        <v>265265.28999999998</v>
      </c>
      <c r="R184" s="37">
        <f t="shared" si="25"/>
        <v>265265.28999999998</v>
      </c>
      <c r="S184" s="40">
        <v>0</v>
      </c>
      <c r="T184" s="37">
        <f t="shared" si="26"/>
        <v>91.62560533314911</v>
      </c>
      <c r="U184" s="37">
        <f t="shared" si="27"/>
        <v>91.62560533314911</v>
      </c>
      <c r="V184" s="41" t="s">
        <v>45</v>
      </c>
      <c r="W184" s="31"/>
    </row>
    <row r="185" s="31" customFormat="1" ht="44.25" customHeight="1">
      <c r="A185" s="33">
        <v>164</v>
      </c>
      <c r="B185" s="49" t="s">
        <v>262</v>
      </c>
      <c r="C185" s="43" t="s">
        <v>43</v>
      </c>
      <c r="D185" s="33">
        <v>1990</v>
      </c>
      <c r="E185" s="44" t="s">
        <v>39</v>
      </c>
      <c r="F185" s="33" t="s">
        <v>77</v>
      </c>
      <c r="G185" s="45">
        <v>5</v>
      </c>
      <c r="H185" s="36">
        <v>4</v>
      </c>
      <c r="I185" s="51">
        <v>3052.25</v>
      </c>
      <c r="J185" s="40">
        <v>2945.5</v>
      </c>
      <c r="K185" s="51">
        <v>2945.4499999999998</v>
      </c>
      <c r="L185" s="48">
        <v>89</v>
      </c>
      <c r="M185" s="39">
        <f t="shared" si="24"/>
        <v>198337.28</v>
      </c>
      <c r="N185" s="51">
        <v>0</v>
      </c>
      <c r="O185" s="40">
        <v>0</v>
      </c>
      <c r="P185" s="51">
        <v>0</v>
      </c>
      <c r="Q185" s="40">
        <f>'Таблица 3 '!C175</f>
        <v>198337.28</v>
      </c>
      <c r="R185" s="46">
        <f t="shared" si="25"/>
        <v>198337.28</v>
      </c>
      <c r="S185" s="37">
        <v>0</v>
      </c>
      <c r="T185" s="46">
        <f t="shared" si="26"/>
        <v>67.33569173315226</v>
      </c>
      <c r="U185" s="37">
        <f t="shared" si="27"/>
        <v>67.33569173315226</v>
      </c>
      <c r="V185" s="41" t="s">
        <v>45</v>
      </c>
      <c r="W185" s="47"/>
    </row>
    <row r="186" s="31" customFormat="1" ht="44.25" customHeight="1">
      <c r="A186" s="33">
        <v>165</v>
      </c>
      <c r="B186" s="34" t="s">
        <v>263</v>
      </c>
      <c r="C186" s="33" t="s">
        <v>43</v>
      </c>
      <c r="D186" s="35" t="s">
        <v>264</v>
      </c>
      <c r="E186" s="35" t="s">
        <v>57</v>
      </c>
      <c r="F186" s="33" t="s">
        <v>44</v>
      </c>
      <c r="G186" s="36">
        <v>12</v>
      </c>
      <c r="H186" s="36">
        <v>1</v>
      </c>
      <c r="I186" s="37">
        <v>8382.8999999999996</v>
      </c>
      <c r="J186" s="37">
        <v>6068</v>
      </c>
      <c r="K186" s="37">
        <v>5217</v>
      </c>
      <c r="L186" s="38">
        <v>132</v>
      </c>
      <c r="M186" s="39">
        <f t="shared" si="24"/>
        <v>7217703.7599999998</v>
      </c>
      <c r="N186" s="37">
        <v>0</v>
      </c>
      <c r="O186" s="37">
        <v>0</v>
      </c>
      <c r="P186" s="37">
        <v>0</v>
      </c>
      <c r="Q186" s="40">
        <f>'Таблица 3 '!C176</f>
        <v>7217703.7599999998</v>
      </c>
      <c r="R186" s="37">
        <f t="shared" si="25"/>
        <v>7217703.7599999998</v>
      </c>
      <c r="S186" s="37">
        <v>0</v>
      </c>
      <c r="T186" s="37">
        <f t="shared" si="26"/>
        <v>1189.4699670402108</v>
      </c>
      <c r="U186" s="37">
        <f t="shared" si="27"/>
        <v>1189.4699670402108</v>
      </c>
      <c r="V186" s="41" t="s">
        <v>45</v>
      </c>
      <c r="W186" s="31"/>
    </row>
    <row r="187" s="31" customFormat="1" ht="44.25" customHeight="1">
      <c r="A187" s="33">
        <v>166</v>
      </c>
      <c r="B187" s="42" t="s">
        <v>265</v>
      </c>
      <c r="C187" s="33" t="s">
        <v>90</v>
      </c>
      <c r="D187" s="35" t="s">
        <v>266</v>
      </c>
      <c r="E187" s="35" t="s">
        <v>39</v>
      </c>
      <c r="F187" s="33" t="s">
        <v>44</v>
      </c>
      <c r="G187" s="36">
        <v>5</v>
      </c>
      <c r="H187" s="36">
        <v>8</v>
      </c>
      <c r="I187" s="37">
        <v>6045.5</v>
      </c>
      <c r="J187" s="37">
        <v>6120.8999999999996</v>
      </c>
      <c r="K187" s="37">
        <v>6120.8999999999996</v>
      </c>
      <c r="L187" s="38">
        <v>248</v>
      </c>
      <c r="M187" s="39">
        <f t="shared" si="24"/>
        <v>6686341.6799999997</v>
      </c>
      <c r="N187" s="37">
        <v>0</v>
      </c>
      <c r="O187" s="37">
        <v>0</v>
      </c>
      <c r="P187" s="37">
        <v>0</v>
      </c>
      <c r="Q187" s="40">
        <f>'Таблица 3 '!C177</f>
        <v>6686341.6799999997</v>
      </c>
      <c r="R187" s="37">
        <f t="shared" si="25"/>
        <v>6686341.6799999997</v>
      </c>
      <c r="S187" s="37">
        <v>0</v>
      </c>
      <c r="T187" s="37">
        <f t="shared" si="26"/>
        <v>1092.3788462481009</v>
      </c>
      <c r="U187" s="37">
        <f t="shared" si="27"/>
        <v>1092.3788462481009</v>
      </c>
      <c r="V187" s="41" t="s">
        <v>45</v>
      </c>
      <c r="W187" s="31"/>
    </row>
    <row r="188" s="31" customFormat="1" ht="44.25" customHeight="1">
      <c r="A188" s="33">
        <v>167</v>
      </c>
      <c r="B188" s="34" t="s">
        <v>267</v>
      </c>
      <c r="C188" s="43" t="s">
        <v>43</v>
      </c>
      <c r="D188" s="33">
        <v>1945</v>
      </c>
      <c r="E188" s="44" t="s">
        <v>50</v>
      </c>
      <c r="F188" s="33" t="s">
        <v>44</v>
      </c>
      <c r="G188" s="45">
        <v>4</v>
      </c>
      <c r="H188" s="36">
        <v>3</v>
      </c>
      <c r="I188" s="46">
        <v>3103.0999999999999</v>
      </c>
      <c r="J188" s="37">
        <v>2707.9000000000001</v>
      </c>
      <c r="K188" s="46">
        <v>2075.5</v>
      </c>
      <c r="L188" s="38">
        <v>62</v>
      </c>
      <c r="M188" s="39">
        <f t="shared" si="24"/>
        <v>200414.45999999999</v>
      </c>
      <c r="N188" s="46">
        <v>0</v>
      </c>
      <c r="O188" s="37">
        <v>0</v>
      </c>
      <c r="P188" s="46">
        <v>0</v>
      </c>
      <c r="Q188" s="40">
        <f>'Таблица 3 '!C178</f>
        <v>200414.45999999999</v>
      </c>
      <c r="R188" s="46">
        <f t="shared" si="25"/>
        <v>200414.45999999999</v>
      </c>
      <c r="S188" s="37">
        <v>0</v>
      </c>
      <c r="T188" s="46">
        <f t="shared" si="26"/>
        <v>74.011026995088443</v>
      </c>
      <c r="U188" s="37">
        <f t="shared" si="27"/>
        <v>74.011026995088443</v>
      </c>
      <c r="V188" s="41" t="s">
        <v>45</v>
      </c>
      <c r="W188" s="59"/>
    </row>
    <row r="189" s="31" customFormat="1" ht="44.25" customHeight="1">
      <c r="A189" s="33">
        <v>168</v>
      </c>
      <c r="B189" s="34" t="s">
        <v>268</v>
      </c>
      <c r="C189" s="33" t="s">
        <v>43</v>
      </c>
      <c r="D189" s="35" t="s">
        <v>269</v>
      </c>
      <c r="E189" s="35" t="s">
        <v>39</v>
      </c>
      <c r="F189" s="33" t="s">
        <v>48</v>
      </c>
      <c r="G189" s="36">
        <v>9</v>
      </c>
      <c r="H189" s="36">
        <v>2</v>
      </c>
      <c r="I189" s="37">
        <v>4428.5</v>
      </c>
      <c r="J189" s="37">
        <v>4318.1000000000004</v>
      </c>
      <c r="K189" s="37">
        <v>4029.4000000000001</v>
      </c>
      <c r="L189" s="38">
        <v>154</v>
      </c>
      <c r="M189" s="39">
        <f t="shared" si="24"/>
        <v>6231042.2599999998</v>
      </c>
      <c r="N189" s="37">
        <v>0</v>
      </c>
      <c r="O189" s="37">
        <v>0</v>
      </c>
      <c r="P189" s="37">
        <v>0</v>
      </c>
      <c r="Q189" s="40">
        <f>'Таблица 3 '!C179</f>
        <v>6231042.2599999998</v>
      </c>
      <c r="R189" s="37">
        <f t="shared" si="25"/>
        <v>6231042.2599999998</v>
      </c>
      <c r="S189" s="37">
        <v>0</v>
      </c>
      <c r="T189" s="37">
        <f t="shared" si="26"/>
        <v>1443.0055487367126</v>
      </c>
      <c r="U189" s="37">
        <f t="shared" si="27"/>
        <v>1443.0055487367126</v>
      </c>
      <c r="V189" s="41" t="s">
        <v>45</v>
      </c>
      <c r="W189" s="31"/>
    </row>
    <row r="190" s="31" customFormat="1" ht="44.25" customHeight="1">
      <c r="A190" s="33">
        <v>169</v>
      </c>
      <c r="B190" s="34" t="s">
        <v>270</v>
      </c>
      <c r="C190" s="33" t="s">
        <v>90</v>
      </c>
      <c r="D190" s="33">
        <v>1978</v>
      </c>
      <c r="E190" s="35" t="s">
        <v>39</v>
      </c>
      <c r="F190" s="33" t="s">
        <v>48</v>
      </c>
      <c r="G190" s="36">
        <v>5</v>
      </c>
      <c r="H190" s="36">
        <v>4</v>
      </c>
      <c r="I190" s="37">
        <v>4063.0999999999999</v>
      </c>
      <c r="J190" s="37">
        <v>3909</v>
      </c>
      <c r="K190" s="37">
        <v>3504.5</v>
      </c>
      <c r="L190" s="38">
        <v>181</v>
      </c>
      <c r="M190" s="39">
        <f t="shared" si="24"/>
        <v>4281748.3700000001</v>
      </c>
      <c r="N190" s="37">
        <v>0</v>
      </c>
      <c r="O190" s="37">
        <v>0</v>
      </c>
      <c r="P190" s="37">
        <v>0</v>
      </c>
      <c r="Q190" s="40">
        <f>'Таблица 3 '!C180</f>
        <v>4281748.3700000001</v>
      </c>
      <c r="R190" s="37">
        <f t="shared" si="25"/>
        <v>4281748.3700000001</v>
      </c>
      <c r="S190" s="37">
        <v>0</v>
      </c>
      <c r="T190" s="37">
        <f t="shared" si="26"/>
        <v>1095.3564517779485</v>
      </c>
      <c r="U190" s="37">
        <f t="shared" si="27"/>
        <v>1095.3564517779485</v>
      </c>
      <c r="V190" s="41" t="s">
        <v>45</v>
      </c>
      <c r="W190" s="31"/>
    </row>
    <row r="191" s="31" customFormat="1" ht="44.25" customHeight="1">
      <c r="A191" s="33">
        <v>170</v>
      </c>
      <c r="B191" s="34" t="s">
        <v>271</v>
      </c>
      <c r="C191" s="43" t="s">
        <v>85</v>
      </c>
      <c r="D191" s="33">
        <v>1992</v>
      </c>
      <c r="E191" s="44" t="s">
        <v>39</v>
      </c>
      <c r="F191" s="33" t="s">
        <v>48</v>
      </c>
      <c r="G191" s="45">
        <v>10</v>
      </c>
      <c r="H191" s="36">
        <v>6</v>
      </c>
      <c r="I191" s="46">
        <v>13083</v>
      </c>
      <c r="J191" s="37">
        <v>12944.700000000001</v>
      </c>
      <c r="K191" s="46">
        <v>12300.9</v>
      </c>
      <c r="L191" s="38">
        <v>427</v>
      </c>
      <c r="M191" s="39">
        <f t="shared" si="24"/>
        <v>7099353.2000000002</v>
      </c>
      <c r="N191" s="46">
        <v>0</v>
      </c>
      <c r="O191" s="37">
        <v>0</v>
      </c>
      <c r="P191" s="46">
        <v>0</v>
      </c>
      <c r="Q191" s="40">
        <f>'Таблица 3 '!C181</f>
        <v>7099353.2000000002</v>
      </c>
      <c r="R191" s="46">
        <f t="shared" si="25"/>
        <v>7099353.2000000002</v>
      </c>
      <c r="S191" s="37">
        <v>0</v>
      </c>
      <c r="T191" s="46">
        <f t="shared" si="26"/>
        <v>548.4370591825226</v>
      </c>
      <c r="U191" s="37">
        <f t="shared" si="27"/>
        <v>548.4370591825226</v>
      </c>
      <c r="V191" s="41" t="s">
        <v>45</v>
      </c>
      <c r="W191" s="47"/>
    </row>
    <row r="192" s="31" customFormat="1" ht="44.25" customHeight="1">
      <c r="A192" s="33">
        <v>171</v>
      </c>
      <c r="B192" s="34" t="s">
        <v>272</v>
      </c>
      <c r="C192" s="33" t="s">
        <v>43</v>
      </c>
      <c r="D192" s="33">
        <v>1976</v>
      </c>
      <c r="E192" s="35" t="s">
        <v>60</v>
      </c>
      <c r="F192" s="33" t="s">
        <v>44</v>
      </c>
      <c r="G192" s="36">
        <v>9</v>
      </c>
      <c r="H192" s="36">
        <v>2</v>
      </c>
      <c r="I192" s="37">
        <v>4332.1000000000004</v>
      </c>
      <c r="J192" s="37">
        <v>3442.0100000000002</v>
      </c>
      <c r="K192" s="37">
        <v>3332.71</v>
      </c>
      <c r="L192" s="38">
        <v>92</v>
      </c>
      <c r="M192" s="39">
        <f t="shared" si="24"/>
        <v>305150.22999999998</v>
      </c>
      <c r="N192" s="37">
        <v>0</v>
      </c>
      <c r="O192" s="37">
        <v>0</v>
      </c>
      <c r="P192" s="37">
        <v>0</v>
      </c>
      <c r="Q192" s="40">
        <f>'Таблица 3 '!C182</f>
        <v>305150.22999999998</v>
      </c>
      <c r="R192" s="37">
        <f t="shared" si="25"/>
        <v>305150.22999999998</v>
      </c>
      <c r="S192" s="37">
        <v>0</v>
      </c>
      <c r="T192" s="37">
        <f t="shared" si="26"/>
        <v>88.654661084656922</v>
      </c>
      <c r="U192" s="37">
        <f t="shared" si="27"/>
        <v>88.654661084656922</v>
      </c>
      <c r="V192" s="41" t="s">
        <v>45</v>
      </c>
      <c r="W192" s="31"/>
    </row>
    <row r="193" s="31" customFormat="1" ht="44.25" customHeight="1">
      <c r="A193" s="33">
        <v>172</v>
      </c>
      <c r="B193" s="34" t="s">
        <v>273</v>
      </c>
      <c r="C193" s="33" t="s">
        <v>43</v>
      </c>
      <c r="D193" s="33">
        <v>1963</v>
      </c>
      <c r="E193" s="35" t="s">
        <v>39</v>
      </c>
      <c r="F193" s="33" t="s">
        <v>44</v>
      </c>
      <c r="G193" s="36">
        <v>4</v>
      </c>
      <c r="H193" s="36">
        <v>4</v>
      </c>
      <c r="I193" s="37">
        <v>1796</v>
      </c>
      <c r="J193" s="37">
        <v>1759.5999999999999</v>
      </c>
      <c r="K193" s="37">
        <v>1729.8</v>
      </c>
      <c r="L193" s="38">
        <v>60</v>
      </c>
      <c r="M193" s="39">
        <f t="shared" si="24"/>
        <v>369205.76000000001</v>
      </c>
      <c r="N193" s="37">
        <v>0</v>
      </c>
      <c r="O193" s="37">
        <v>0</v>
      </c>
      <c r="P193" s="37">
        <v>0</v>
      </c>
      <c r="Q193" s="40">
        <f>'Таблица 3 '!C183</f>
        <v>369205.76000000001</v>
      </c>
      <c r="R193" s="37">
        <f t="shared" si="25"/>
        <v>369205.76000000001</v>
      </c>
      <c r="S193" s="37">
        <v>0</v>
      </c>
      <c r="T193" s="37">
        <f t="shared" si="26"/>
        <v>209.82368720163674</v>
      </c>
      <c r="U193" s="37">
        <f t="shared" si="27"/>
        <v>209.82368720163674</v>
      </c>
      <c r="V193" s="41" t="s">
        <v>45</v>
      </c>
      <c r="W193" s="31"/>
    </row>
    <row r="194" s="31" customFormat="1" ht="44.25" customHeight="1">
      <c r="A194" s="33">
        <v>173</v>
      </c>
      <c r="B194" s="34" t="s">
        <v>274</v>
      </c>
      <c r="C194" s="33" t="s">
        <v>43</v>
      </c>
      <c r="D194" s="33">
        <v>1957</v>
      </c>
      <c r="E194" s="35" t="s">
        <v>39</v>
      </c>
      <c r="F194" s="33" t="s">
        <v>44</v>
      </c>
      <c r="G194" s="36">
        <v>2</v>
      </c>
      <c r="H194" s="36">
        <v>2</v>
      </c>
      <c r="I194" s="37">
        <v>625.20000000000005</v>
      </c>
      <c r="J194" s="37">
        <v>581.5</v>
      </c>
      <c r="K194" s="37">
        <v>391.19999999999999</v>
      </c>
      <c r="L194" s="38">
        <v>31</v>
      </c>
      <c r="M194" s="39">
        <f t="shared" si="24"/>
        <v>197832.14000000001</v>
      </c>
      <c r="N194" s="37">
        <v>0</v>
      </c>
      <c r="O194" s="37">
        <v>0</v>
      </c>
      <c r="P194" s="37">
        <v>0</v>
      </c>
      <c r="Q194" s="40">
        <f>'Таблица 3 '!C184</f>
        <v>197832.14000000001</v>
      </c>
      <c r="R194" s="37">
        <f t="shared" si="25"/>
        <v>197832.14000000001</v>
      </c>
      <c r="S194" s="37">
        <v>0</v>
      </c>
      <c r="T194" s="37">
        <f t="shared" si="26"/>
        <v>340.21004299226144</v>
      </c>
      <c r="U194" s="37">
        <f t="shared" si="27"/>
        <v>340.21004299226144</v>
      </c>
      <c r="V194" s="41" t="s">
        <v>45</v>
      </c>
      <c r="W194" s="31"/>
    </row>
    <row r="195" s="31" customFormat="1" ht="44.25" customHeight="1">
      <c r="A195" s="33">
        <v>174</v>
      </c>
      <c r="B195" s="34" t="s">
        <v>275</v>
      </c>
      <c r="C195" s="33" t="s">
        <v>43</v>
      </c>
      <c r="D195" s="33">
        <v>1960</v>
      </c>
      <c r="E195" s="35" t="s">
        <v>39</v>
      </c>
      <c r="F195" s="33" t="s">
        <v>44</v>
      </c>
      <c r="G195" s="36">
        <v>2</v>
      </c>
      <c r="H195" s="36">
        <v>1</v>
      </c>
      <c r="I195" s="37">
        <v>291.83999999999997</v>
      </c>
      <c r="J195" s="37">
        <v>268.60000000000002</v>
      </c>
      <c r="K195" s="37">
        <v>268.80000000000001</v>
      </c>
      <c r="L195" s="38">
        <v>13</v>
      </c>
      <c r="M195" s="39">
        <f t="shared" si="24"/>
        <v>899393.77999999991</v>
      </c>
      <c r="N195" s="37">
        <v>0</v>
      </c>
      <c r="O195" s="37">
        <v>0</v>
      </c>
      <c r="P195" s="37">
        <v>0</v>
      </c>
      <c r="Q195" s="40">
        <f>'Таблица 3 '!C185</f>
        <v>899393.77999999991</v>
      </c>
      <c r="R195" s="37">
        <f t="shared" si="25"/>
        <v>899393.77999999991</v>
      </c>
      <c r="S195" s="37">
        <v>0</v>
      </c>
      <c r="T195" s="37">
        <f t="shared" si="26"/>
        <v>3348.4504095309003</v>
      </c>
      <c r="U195" s="37">
        <f t="shared" si="27"/>
        <v>3348.4504095309003</v>
      </c>
      <c r="V195" s="41" t="s">
        <v>45</v>
      </c>
      <c r="W195" s="31"/>
    </row>
    <row r="196" s="31" customFormat="1" ht="44.25" customHeight="1">
      <c r="A196" s="33">
        <v>175</v>
      </c>
      <c r="B196" s="34" t="s">
        <v>276</v>
      </c>
      <c r="C196" s="33" t="s">
        <v>43</v>
      </c>
      <c r="D196" s="33">
        <v>1973</v>
      </c>
      <c r="E196" s="35" t="s">
        <v>57</v>
      </c>
      <c r="F196" s="33" t="s">
        <v>48</v>
      </c>
      <c r="G196" s="36">
        <v>5</v>
      </c>
      <c r="H196" s="36">
        <v>5</v>
      </c>
      <c r="I196" s="37">
        <v>4485.3999999999996</v>
      </c>
      <c r="J196" s="37">
        <v>4448.6999999999998</v>
      </c>
      <c r="K196" s="37">
        <v>4253.6000000000004</v>
      </c>
      <c r="L196" s="38">
        <v>199</v>
      </c>
      <c r="M196" s="39">
        <f t="shared" si="24"/>
        <v>2920463.1300000004</v>
      </c>
      <c r="N196" s="37">
        <v>0</v>
      </c>
      <c r="O196" s="37">
        <v>0</v>
      </c>
      <c r="P196" s="37">
        <v>0</v>
      </c>
      <c r="Q196" s="40">
        <f>'Таблица 3 '!C186</f>
        <v>2920463.1300000004</v>
      </c>
      <c r="R196" s="37">
        <f t="shared" si="25"/>
        <v>2920463.1300000004</v>
      </c>
      <c r="S196" s="37">
        <v>0</v>
      </c>
      <c r="T196" s="37">
        <f t="shared" si="26"/>
        <v>656.47562883539024</v>
      </c>
      <c r="U196" s="37">
        <f t="shared" si="27"/>
        <v>656.47562883539024</v>
      </c>
      <c r="V196" s="41" t="s">
        <v>45</v>
      </c>
      <c r="W196" s="31"/>
    </row>
    <row r="197" s="31" customFormat="1" ht="44.25" customHeight="1">
      <c r="A197" s="33">
        <v>176</v>
      </c>
      <c r="B197" s="34" t="s">
        <v>277</v>
      </c>
      <c r="C197" s="33" t="s">
        <v>90</v>
      </c>
      <c r="D197" s="35" t="s">
        <v>63</v>
      </c>
      <c r="E197" s="35" t="s">
        <v>39</v>
      </c>
      <c r="F197" s="33" t="s">
        <v>44</v>
      </c>
      <c r="G197" s="36">
        <v>10</v>
      </c>
      <c r="H197" s="36">
        <v>6</v>
      </c>
      <c r="I197" s="37">
        <v>14491.5</v>
      </c>
      <c r="J197" s="37">
        <v>11593.200000000001</v>
      </c>
      <c r="K197" s="37">
        <v>11593.200000000001</v>
      </c>
      <c r="L197" s="38">
        <v>245</v>
      </c>
      <c r="M197" s="39">
        <f t="shared" si="24"/>
        <v>2970493.5</v>
      </c>
      <c r="N197" s="37">
        <v>0</v>
      </c>
      <c r="O197" s="37">
        <v>0</v>
      </c>
      <c r="P197" s="37">
        <v>0</v>
      </c>
      <c r="Q197" s="40">
        <f>'Таблица 3 '!C187</f>
        <v>2970493.5</v>
      </c>
      <c r="R197" s="37">
        <f t="shared" si="25"/>
        <v>2970493.5</v>
      </c>
      <c r="S197" s="37">
        <v>0</v>
      </c>
      <c r="T197" s="37">
        <f t="shared" si="26"/>
        <v>256.22722803022458</v>
      </c>
      <c r="U197" s="37">
        <f t="shared" si="27"/>
        <v>256.22722803022458</v>
      </c>
      <c r="V197" s="41" t="s">
        <v>45</v>
      </c>
      <c r="W197" s="31"/>
    </row>
    <row r="198" s="31" customFormat="1" ht="44.25" customHeight="1">
      <c r="A198" s="33">
        <v>177</v>
      </c>
      <c r="B198" s="34" t="s">
        <v>278</v>
      </c>
      <c r="C198" s="33" t="s">
        <v>43</v>
      </c>
      <c r="D198" s="35">
        <v>1999</v>
      </c>
      <c r="E198" s="35" t="s">
        <v>39</v>
      </c>
      <c r="F198" s="33" t="s">
        <v>44</v>
      </c>
      <c r="G198" s="36">
        <v>10</v>
      </c>
      <c r="H198" s="36">
        <v>10</v>
      </c>
      <c r="I198" s="37">
        <v>24768.5</v>
      </c>
      <c r="J198" s="37">
        <v>24763.099999999999</v>
      </c>
      <c r="K198" s="37">
        <v>23772.200000000001</v>
      </c>
      <c r="L198" s="38">
        <v>199</v>
      </c>
      <c r="M198" s="39">
        <f t="shared" si="24"/>
        <v>19837780.93</v>
      </c>
      <c r="N198" s="37">
        <v>0</v>
      </c>
      <c r="O198" s="37">
        <v>0</v>
      </c>
      <c r="P198" s="37">
        <v>0</v>
      </c>
      <c r="Q198" s="40">
        <f>'Таблица 3 '!C188</f>
        <v>19837780.93</v>
      </c>
      <c r="R198" s="37">
        <f t="shared" si="25"/>
        <v>19837780.93</v>
      </c>
      <c r="S198" s="37">
        <v>0</v>
      </c>
      <c r="T198" s="37">
        <f t="shared" si="26"/>
        <v>801.10248434162122</v>
      </c>
      <c r="U198" s="37">
        <f t="shared" si="27"/>
        <v>801.10248434162122</v>
      </c>
      <c r="V198" s="41" t="s">
        <v>45</v>
      </c>
      <c r="W198" s="31"/>
    </row>
    <row r="199" s="31" customFormat="1" ht="44.25" customHeight="1">
      <c r="A199" s="33">
        <v>178</v>
      </c>
      <c r="B199" s="34" t="s">
        <v>279</v>
      </c>
      <c r="C199" s="33" t="s">
        <v>43</v>
      </c>
      <c r="D199" s="33">
        <v>1988</v>
      </c>
      <c r="E199" s="35" t="s">
        <v>60</v>
      </c>
      <c r="F199" s="33" t="s">
        <v>44</v>
      </c>
      <c r="G199" s="36">
        <v>5</v>
      </c>
      <c r="H199" s="36">
        <v>1</v>
      </c>
      <c r="I199" s="37">
        <v>3584.8000000000002</v>
      </c>
      <c r="J199" s="37">
        <v>2034.8</v>
      </c>
      <c r="K199" s="37">
        <v>2065.0999999999999</v>
      </c>
      <c r="L199" s="38">
        <v>72</v>
      </c>
      <c r="M199" s="39">
        <f t="shared" si="24"/>
        <v>278214.34999999998</v>
      </c>
      <c r="N199" s="37">
        <v>0</v>
      </c>
      <c r="O199" s="37">
        <v>0</v>
      </c>
      <c r="P199" s="37">
        <v>0</v>
      </c>
      <c r="Q199" s="40">
        <f>'Таблица 3 '!C189</f>
        <v>278214.34999999998</v>
      </c>
      <c r="R199" s="37">
        <f t="shared" si="25"/>
        <v>278214.34999999998</v>
      </c>
      <c r="S199" s="37">
        <v>0</v>
      </c>
      <c r="T199" s="37">
        <f t="shared" si="26"/>
        <v>136.72810595635934</v>
      </c>
      <c r="U199" s="37">
        <f t="shared" si="27"/>
        <v>136.72810595635934</v>
      </c>
      <c r="V199" s="41" t="s">
        <v>45</v>
      </c>
      <c r="W199" s="31"/>
    </row>
    <row r="200" s="31" customFormat="1" ht="44.25" customHeight="1">
      <c r="A200" s="33">
        <v>179</v>
      </c>
      <c r="B200" s="34" t="s">
        <v>280</v>
      </c>
      <c r="C200" s="33" t="s">
        <v>43</v>
      </c>
      <c r="D200" s="33">
        <v>1973</v>
      </c>
      <c r="E200" s="35" t="s">
        <v>39</v>
      </c>
      <c r="F200" s="33" t="s">
        <v>48</v>
      </c>
      <c r="G200" s="36">
        <v>5</v>
      </c>
      <c r="H200" s="36">
        <v>5</v>
      </c>
      <c r="I200" s="37">
        <v>6004.6999999999998</v>
      </c>
      <c r="J200" s="37">
        <v>5100.7600000000002</v>
      </c>
      <c r="K200" s="37">
        <v>4498</v>
      </c>
      <c r="L200" s="38">
        <v>181</v>
      </c>
      <c r="M200" s="39">
        <f t="shared" si="24"/>
        <v>543742.03000000003</v>
      </c>
      <c r="N200" s="37">
        <v>0</v>
      </c>
      <c r="O200" s="37">
        <v>0</v>
      </c>
      <c r="P200" s="37">
        <v>0</v>
      </c>
      <c r="Q200" s="40">
        <f>'Таблица 3 '!C190</f>
        <v>543742.03000000003</v>
      </c>
      <c r="R200" s="37">
        <f t="shared" si="25"/>
        <v>543742.03000000003</v>
      </c>
      <c r="S200" s="37">
        <v>0</v>
      </c>
      <c r="T200" s="37">
        <f t="shared" si="26"/>
        <v>106.60019879390522</v>
      </c>
      <c r="U200" s="37">
        <f t="shared" si="27"/>
        <v>106.60019879390522</v>
      </c>
      <c r="V200" s="41" t="s">
        <v>45</v>
      </c>
      <c r="W200" s="31"/>
    </row>
    <row r="201" s="31" customFormat="1" ht="44.25" customHeight="1">
      <c r="A201" s="33">
        <v>180</v>
      </c>
      <c r="B201" s="34" t="s">
        <v>281</v>
      </c>
      <c r="C201" s="33" t="s">
        <v>43</v>
      </c>
      <c r="D201" s="33">
        <v>1965</v>
      </c>
      <c r="E201" s="35" t="s">
        <v>50</v>
      </c>
      <c r="F201" s="33" t="s">
        <v>77</v>
      </c>
      <c r="G201" s="36">
        <v>5</v>
      </c>
      <c r="H201" s="36">
        <v>3</v>
      </c>
      <c r="I201" s="40">
        <v>2515.1999999999998</v>
      </c>
      <c r="J201" s="40">
        <v>2498.0999999999999</v>
      </c>
      <c r="K201" s="40">
        <v>2236.9000000000001</v>
      </c>
      <c r="L201" s="48">
        <v>95</v>
      </c>
      <c r="M201" s="40">
        <f t="shared" si="24"/>
        <v>1588373.5600000001</v>
      </c>
      <c r="N201" s="40">
        <v>0</v>
      </c>
      <c r="O201" s="40">
        <v>0</v>
      </c>
      <c r="P201" s="40">
        <v>0</v>
      </c>
      <c r="Q201" s="40">
        <f>'Таблица 3 '!C191</f>
        <v>1588373.5600000001</v>
      </c>
      <c r="R201" s="40">
        <f t="shared" si="25"/>
        <v>1588373.5600000001</v>
      </c>
      <c r="S201" s="40">
        <v>0</v>
      </c>
      <c r="T201" s="37">
        <f t="shared" si="26"/>
        <v>635.8326568191826</v>
      </c>
      <c r="U201" s="37">
        <f t="shared" si="27"/>
        <v>635.8326568191826</v>
      </c>
      <c r="V201" s="41" t="s">
        <v>45</v>
      </c>
      <c r="W201" s="31"/>
    </row>
    <row r="202" s="31" customFormat="1" ht="44.25" customHeight="1">
      <c r="A202" s="33">
        <v>181</v>
      </c>
      <c r="B202" s="34" t="s">
        <v>282</v>
      </c>
      <c r="C202" s="43" t="s">
        <v>90</v>
      </c>
      <c r="D202" s="33">
        <v>1985</v>
      </c>
      <c r="E202" s="44" t="s">
        <v>39</v>
      </c>
      <c r="F202" s="33" t="s">
        <v>77</v>
      </c>
      <c r="G202" s="45">
        <v>5</v>
      </c>
      <c r="H202" s="36">
        <v>4</v>
      </c>
      <c r="I202" s="51">
        <v>3943.3000000000002</v>
      </c>
      <c r="J202" s="40">
        <v>2813.1999999999998</v>
      </c>
      <c r="K202" s="51">
        <v>2555.8000000000002</v>
      </c>
      <c r="L202" s="48">
        <v>140</v>
      </c>
      <c r="M202" s="51">
        <f t="shared" si="24"/>
        <v>2915106.04</v>
      </c>
      <c r="N202" s="40">
        <v>0</v>
      </c>
      <c r="O202" s="51">
        <v>0</v>
      </c>
      <c r="P202" s="40">
        <v>0</v>
      </c>
      <c r="Q202" s="40">
        <f>'Таблица 3 '!C192</f>
        <v>2915106.04</v>
      </c>
      <c r="R202" s="40">
        <f t="shared" si="25"/>
        <v>2915106.04</v>
      </c>
      <c r="S202" s="51">
        <v>0</v>
      </c>
      <c r="T202" s="37">
        <f t="shared" si="26"/>
        <v>1036.2242428551117</v>
      </c>
      <c r="U202" s="46">
        <f t="shared" si="27"/>
        <v>1036.2242428551117</v>
      </c>
      <c r="V202" s="41" t="s">
        <v>45</v>
      </c>
      <c r="W202" s="47"/>
    </row>
    <row r="203" s="47" customFormat="1" ht="44.25" customHeight="1">
      <c r="A203" s="33">
        <v>182</v>
      </c>
      <c r="B203" s="34" t="s">
        <v>283</v>
      </c>
      <c r="C203" s="33" t="s">
        <v>43</v>
      </c>
      <c r="D203" s="33">
        <v>1990</v>
      </c>
      <c r="E203" s="35" t="s">
        <v>39</v>
      </c>
      <c r="F203" s="33" t="s">
        <v>44</v>
      </c>
      <c r="G203" s="36">
        <v>5</v>
      </c>
      <c r="H203" s="36">
        <v>1</v>
      </c>
      <c r="I203" s="37">
        <v>5603.3999999999996</v>
      </c>
      <c r="J203" s="37">
        <v>3662.6999999999998</v>
      </c>
      <c r="K203" s="37">
        <v>2385.6999999999998</v>
      </c>
      <c r="L203" s="38">
        <v>240</v>
      </c>
      <c r="M203" s="39">
        <f t="shared" si="24"/>
        <v>273196.97999999998</v>
      </c>
      <c r="N203" s="37">
        <v>0</v>
      </c>
      <c r="O203" s="37">
        <v>0</v>
      </c>
      <c r="P203" s="37">
        <v>0</v>
      </c>
      <c r="Q203" s="40">
        <f>'Таблица 3 '!C193</f>
        <v>273196.97999999998</v>
      </c>
      <c r="R203" s="37">
        <f t="shared" si="25"/>
        <v>273196.97999999998</v>
      </c>
      <c r="S203" s="37">
        <v>0</v>
      </c>
      <c r="T203" s="37">
        <f t="shared" si="26"/>
        <v>74.588958964698179</v>
      </c>
      <c r="U203" s="37">
        <f t="shared" si="27"/>
        <v>74.588958964698179</v>
      </c>
      <c r="V203" s="41" t="s">
        <v>45</v>
      </c>
      <c r="W203" s="59"/>
    </row>
    <row r="204" s="31" customFormat="1" ht="44.25" customHeight="1">
      <c r="A204" s="33">
        <v>183</v>
      </c>
      <c r="B204" s="34" t="s">
        <v>284</v>
      </c>
      <c r="C204" s="33" t="s">
        <v>43</v>
      </c>
      <c r="D204" s="33">
        <v>1993</v>
      </c>
      <c r="E204" s="35" t="s">
        <v>50</v>
      </c>
      <c r="F204" s="33" t="s">
        <v>48</v>
      </c>
      <c r="G204" s="36">
        <v>9</v>
      </c>
      <c r="H204" s="36">
        <v>1</v>
      </c>
      <c r="I204" s="37">
        <v>3810.71</v>
      </c>
      <c r="J204" s="37">
        <v>3608.9000000000001</v>
      </c>
      <c r="K204" s="37">
        <v>3441.5999999999999</v>
      </c>
      <c r="L204" s="38">
        <v>165</v>
      </c>
      <c r="M204" s="39">
        <f t="shared" si="24"/>
        <v>216160.23999999999</v>
      </c>
      <c r="N204" s="37">
        <v>0</v>
      </c>
      <c r="O204" s="37">
        <v>0</v>
      </c>
      <c r="P204" s="37">
        <v>0</v>
      </c>
      <c r="Q204" s="40">
        <f>'Таблица 3 '!C194</f>
        <v>216160.23999999999</v>
      </c>
      <c r="R204" s="37">
        <f t="shared" si="25"/>
        <v>216160.23999999999</v>
      </c>
      <c r="S204" s="37">
        <v>0</v>
      </c>
      <c r="T204" s="37">
        <f t="shared" si="26"/>
        <v>59.896433816398343</v>
      </c>
      <c r="U204" s="37">
        <f t="shared" si="27"/>
        <v>59.896433816398343</v>
      </c>
      <c r="V204" s="41" t="s">
        <v>45</v>
      </c>
      <c r="W204" s="31"/>
    </row>
    <row r="205" s="31" customFormat="1" ht="44.25" customHeight="1">
      <c r="A205" s="33">
        <v>184</v>
      </c>
      <c r="B205" s="50" t="s">
        <v>285</v>
      </c>
      <c r="C205" s="33" t="s">
        <v>43</v>
      </c>
      <c r="D205" s="35" t="s">
        <v>286</v>
      </c>
      <c r="E205" s="35">
        <v>2024</v>
      </c>
      <c r="F205" s="33" t="s">
        <v>48</v>
      </c>
      <c r="G205" s="36">
        <v>9</v>
      </c>
      <c r="H205" s="36">
        <v>1</v>
      </c>
      <c r="I205" s="37">
        <v>2556.9000000000001</v>
      </c>
      <c r="J205" s="37">
        <v>2555.0999999999999</v>
      </c>
      <c r="K205" s="37">
        <v>2381.5</v>
      </c>
      <c r="L205" s="38">
        <v>152</v>
      </c>
      <c r="M205" s="39">
        <f t="shared" si="24"/>
        <v>3163919.3600000003</v>
      </c>
      <c r="N205" s="37">
        <v>0</v>
      </c>
      <c r="O205" s="37">
        <v>0</v>
      </c>
      <c r="P205" s="37">
        <v>0</v>
      </c>
      <c r="Q205" s="40">
        <f>'Таблица 3 '!C195</f>
        <v>3163919.3600000003</v>
      </c>
      <c r="R205" s="37">
        <f t="shared" si="25"/>
        <v>3163919.3600000003</v>
      </c>
      <c r="S205" s="37">
        <v>0</v>
      </c>
      <c r="T205" s="37">
        <f t="shared" si="26"/>
        <v>1238.2761379202382</v>
      </c>
      <c r="U205" s="37">
        <f t="shared" si="27"/>
        <v>1238.2761379202382</v>
      </c>
      <c r="V205" s="41" t="s">
        <v>45</v>
      </c>
      <c r="W205" s="31"/>
    </row>
    <row r="206" s="31" customFormat="1" ht="44.25" customHeight="1">
      <c r="A206" s="33">
        <v>185</v>
      </c>
      <c r="B206" s="34" t="s">
        <v>287</v>
      </c>
      <c r="C206" s="33" t="s">
        <v>43</v>
      </c>
      <c r="D206" s="33">
        <v>1976</v>
      </c>
      <c r="E206" s="35" t="s">
        <v>39</v>
      </c>
      <c r="F206" s="33" t="s">
        <v>44</v>
      </c>
      <c r="G206" s="36">
        <v>5</v>
      </c>
      <c r="H206" s="36">
        <v>4</v>
      </c>
      <c r="I206" s="37">
        <v>4484</v>
      </c>
      <c r="J206" s="37">
        <v>4401.8999999999996</v>
      </c>
      <c r="K206" s="37">
        <v>3843.8000000000002</v>
      </c>
      <c r="L206" s="38">
        <v>166</v>
      </c>
      <c r="M206" s="39">
        <f t="shared" si="24"/>
        <v>15394957.140000001</v>
      </c>
      <c r="N206" s="37">
        <v>0</v>
      </c>
      <c r="O206" s="37">
        <v>0</v>
      </c>
      <c r="P206" s="37">
        <v>0</v>
      </c>
      <c r="Q206" s="40">
        <f>'Таблица 3 '!C196</f>
        <v>15394957.140000001</v>
      </c>
      <c r="R206" s="37">
        <f t="shared" si="25"/>
        <v>15394957.140000001</v>
      </c>
      <c r="S206" s="37">
        <v>0</v>
      </c>
      <c r="T206" s="37">
        <f t="shared" si="26"/>
        <v>3497.3436788659446</v>
      </c>
      <c r="U206" s="37">
        <f t="shared" si="27"/>
        <v>3497.3436788659446</v>
      </c>
      <c r="V206" s="41" t="s">
        <v>45</v>
      </c>
      <c r="W206" s="31"/>
    </row>
    <row r="207" s="31" customFormat="1" ht="44.25" customHeight="1">
      <c r="A207" s="33">
        <v>186</v>
      </c>
      <c r="B207" s="34" t="s">
        <v>288</v>
      </c>
      <c r="C207" s="33" t="s">
        <v>43</v>
      </c>
      <c r="D207" s="33">
        <v>1959</v>
      </c>
      <c r="E207" s="35" t="s">
        <v>39</v>
      </c>
      <c r="F207" s="33" t="s">
        <v>44</v>
      </c>
      <c r="G207" s="36">
        <v>4</v>
      </c>
      <c r="H207" s="36">
        <v>2</v>
      </c>
      <c r="I207" s="37">
        <v>2594.8000000000002</v>
      </c>
      <c r="J207" s="37">
        <v>1275.0999999999999</v>
      </c>
      <c r="K207" s="37">
        <v>1243.2</v>
      </c>
      <c r="L207" s="38">
        <v>43</v>
      </c>
      <c r="M207" s="39">
        <f t="shared" si="24"/>
        <v>5519507.4900000002</v>
      </c>
      <c r="N207" s="37">
        <v>0</v>
      </c>
      <c r="O207" s="37">
        <v>0</v>
      </c>
      <c r="P207" s="37">
        <v>0</v>
      </c>
      <c r="Q207" s="40">
        <f>'Таблица 3 '!C197</f>
        <v>5519507.4900000002</v>
      </c>
      <c r="R207" s="37">
        <f t="shared" si="25"/>
        <v>5519507.4900000002</v>
      </c>
      <c r="S207" s="37">
        <v>0</v>
      </c>
      <c r="T207" s="37">
        <f t="shared" si="26"/>
        <v>4328.685977570387</v>
      </c>
      <c r="U207" s="37">
        <f t="shared" si="27"/>
        <v>4328.685977570387</v>
      </c>
      <c r="V207" s="41" t="s">
        <v>45</v>
      </c>
      <c r="W207" s="31"/>
    </row>
    <row r="208" s="31" customFormat="1" ht="44.25" customHeight="1">
      <c r="A208" s="33">
        <v>187</v>
      </c>
      <c r="B208" s="49" t="s">
        <v>289</v>
      </c>
      <c r="C208" s="33" t="s">
        <v>43</v>
      </c>
      <c r="D208" s="35" t="s">
        <v>195</v>
      </c>
      <c r="E208" s="35" t="s">
        <v>39</v>
      </c>
      <c r="F208" s="33" t="s">
        <v>44</v>
      </c>
      <c r="G208" s="36">
        <v>2</v>
      </c>
      <c r="H208" s="36">
        <v>2</v>
      </c>
      <c r="I208" s="37">
        <v>511</v>
      </c>
      <c r="J208" s="37">
        <v>264.64999999999998</v>
      </c>
      <c r="K208" s="37">
        <v>281.69999999999999</v>
      </c>
      <c r="L208" s="38">
        <v>12</v>
      </c>
      <c r="M208" s="39">
        <f t="shared" si="24"/>
        <v>146034.67999999999</v>
      </c>
      <c r="N208" s="37">
        <v>0</v>
      </c>
      <c r="O208" s="37">
        <v>0</v>
      </c>
      <c r="P208" s="37">
        <v>0</v>
      </c>
      <c r="Q208" s="40">
        <f>'Таблица 3 '!C198</f>
        <v>146034.67999999999</v>
      </c>
      <c r="R208" s="37">
        <f t="shared" si="25"/>
        <v>146034.67999999999</v>
      </c>
      <c r="S208" s="37">
        <v>0</v>
      </c>
      <c r="T208" s="37">
        <f t="shared" si="26"/>
        <v>551.80306064613637</v>
      </c>
      <c r="U208" s="37">
        <f t="shared" si="27"/>
        <v>551.80306064613637</v>
      </c>
      <c r="V208" s="41" t="s">
        <v>45</v>
      </c>
      <c r="W208" s="31"/>
    </row>
    <row r="209" s="31" customFormat="1" ht="44.25" customHeight="1">
      <c r="A209" s="33">
        <v>188</v>
      </c>
      <c r="B209" s="34" t="s">
        <v>290</v>
      </c>
      <c r="C209" s="33" t="s">
        <v>43</v>
      </c>
      <c r="D209" s="33">
        <v>1958</v>
      </c>
      <c r="E209" s="35" t="s">
        <v>39</v>
      </c>
      <c r="F209" s="33" t="s">
        <v>77</v>
      </c>
      <c r="G209" s="36">
        <v>2</v>
      </c>
      <c r="H209" s="36">
        <v>1</v>
      </c>
      <c r="I209" s="40">
        <v>508</v>
      </c>
      <c r="J209" s="40">
        <v>283.69999999999999</v>
      </c>
      <c r="K209" s="40">
        <v>283.69999999999999</v>
      </c>
      <c r="L209" s="48">
        <v>8</v>
      </c>
      <c r="M209" s="40">
        <f t="shared" si="24"/>
        <v>207377.07999999999</v>
      </c>
      <c r="N209" s="40">
        <v>0</v>
      </c>
      <c r="O209" s="40">
        <v>0</v>
      </c>
      <c r="P209" s="40">
        <v>0</v>
      </c>
      <c r="Q209" s="40">
        <f>'Таблица 3 '!C199</f>
        <v>207377.07999999999</v>
      </c>
      <c r="R209" s="40">
        <f t="shared" si="25"/>
        <v>207377.07999999999</v>
      </c>
      <c r="S209" s="40">
        <v>0</v>
      </c>
      <c r="T209" s="37">
        <f t="shared" si="26"/>
        <v>730.97314064152272</v>
      </c>
      <c r="U209" s="37">
        <f t="shared" si="27"/>
        <v>730.97314064152272</v>
      </c>
      <c r="V209" s="41" t="s">
        <v>45</v>
      </c>
      <c r="W209" s="31"/>
    </row>
    <row r="210" s="31" customFormat="1" ht="44.25" customHeight="1">
      <c r="A210" s="33">
        <v>189</v>
      </c>
      <c r="B210" s="34" t="s">
        <v>291</v>
      </c>
      <c r="C210" s="33" t="s">
        <v>43</v>
      </c>
      <c r="D210" s="33">
        <v>1959</v>
      </c>
      <c r="E210" s="35" t="s">
        <v>39</v>
      </c>
      <c r="F210" s="33" t="s">
        <v>44</v>
      </c>
      <c r="G210" s="36">
        <v>3</v>
      </c>
      <c r="H210" s="36">
        <v>2</v>
      </c>
      <c r="I210" s="37">
        <v>1419.2</v>
      </c>
      <c r="J210" s="37">
        <v>849</v>
      </c>
      <c r="K210" s="37">
        <v>848.10000000000002</v>
      </c>
      <c r="L210" s="38">
        <v>24</v>
      </c>
      <c r="M210" s="39">
        <f t="shared" si="24"/>
        <v>226352.79999999999</v>
      </c>
      <c r="N210" s="37">
        <v>0</v>
      </c>
      <c r="O210" s="37">
        <v>0</v>
      </c>
      <c r="P210" s="37">
        <v>0</v>
      </c>
      <c r="Q210" s="40">
        <f>'Таблица 3 '!C200</f>
        <v>226352.79999999999</v>
      </c>
      <c r="R210" s="37">
        <f t="shared" si="25"/>
        <v>226352.79999999999</v>
      </c>
      <c r="S210" s="37">
        <v>0</v>
      </c>
      <c r="T210" s="37">
        <f t="shared" si="26"/>
        <v>266.61107184923441</v>
      </c>
      <c r="U210" s="37">
        <f t="shared" si="27"/>
        <v>266.61107184923441</v>
      </c>
      <c r="V210" s="41" t="s">
        <v>45</v>
      </c>
      <c r="W210" s="31"/>
    </row>
    <row r="211" s="31" customFormat="1" ht="44.25" customHeight="1">
      <c r="A211" s="33">
        <v>190</v>
      </c>
      <c r="B211" s="34" t="s">
        <v>292</v>
      </c>
      <c r="C211" s="43" t="s">
        <v>43</v>
      </c>
      <c r="D211" s="33">
        <v>1988</v>
      </c>
      <c r="E211" s="44" t="s">
        <v>57</v>
      </c>
      <c r="F211" s="33" t="s">
        <v>48</v>
      </c>
      <c r="G211" s="45">
        <v>9</v>
      </c>
      <c r="H211" s="36">
        <v>3</v>
      </c>
      <c r="I211" s="51">
        <v>6599.1400000000003</v>
      </c>
      <c r="J211" s="40">
        <v>5102.3000000000002</v>
      </c>
      <c r="K211" s="51">
        <v>4835</v>
      </c>
      <c r="L211" s="48">
        <v>174</v>
      </c>
      <c r="M211" s="51">
        <f t="shared" si="24"/>
        <v>235869.34</v>
      </c>
      <c r="N211" s="40">
        <v>0</v>
      </c>
      <c r="O211" s="51">
        <v>0</v>
      </c>
      <c r="P211" s="40">
        <v>0</v>
      </c>
      <c r="Q211" s="40">
        <f>'Таблица 3 '!C201</f>
        <v>235869.34</v>
      </c>
      <c r="R211" s="40">
        <f t="shared" si="25"/>
        <v>235869.34</v>
      </c>
      <c r="S211" s="51">
        <v>0</v>
      </c>
      <c r="T211" s="37">
        <f t="shared" si="26"/>
        <v>46.228042255453424</v>
      </c>
      <c r="U211" s="46">
        <f t="shared" si="27"/>
        <v>46.228042255453424</v>
      </c>
      <c r="V211" s="41" t="s">
        <v>45</v>
      </c>
      <c r="W211" s="47"/>
    </row>
    <row r="212" s="31" customFormat="1" ht="44.25" customHeight="1">
      <c r="A212" s="33">
        <v>191</v>
      </c>
      <c r="B212" s="34" t="s">
        <v>293</v>
      </c>
      <c r="C212" s="33" t="s">
        <v>43</v>
      </c>
      <c r="D212" s="33">
        <v>1991</v>
      </c>
      <c r="E212" s="35" t="s">
        <v>50</v>
      </c>
      <c r="F212" s="33" t="s">
        <v>77</v>
      </c>
      <c r="G212" s="36">
        <v>5</v>
      </c>
      <c r="H212" s="36">
        <v>6</v>
      </c>
      <c r="I212" s="40">
        <v>5345.8999999999996</v>
      </c>
      <c r="J212" s="40">
        <v>4296.8999999999996</v>
      </c>
      <c r="K212" s="40">
        <v>3405</v>
      </c>
      <c r="L212" s="48">
        <v>124</v>
      </c>
      <c r="M212" s="40">
        <f t="shared" si="24"/>
        <v>3392991.1400000001</v>
      </c>
      <c r="N212" s="40">
        <v>0</v>
      </c>
      <c r="O212" s="40">
        <v>0</v>
      </c>
      <c r="P212" s="40">
        <v>0</v>
      </c>
      <c r="Q212" s="40">
        <f>'Таблица 3 '!C202</f>
        <v>3392991.1400000001</v>
      </c>
      <c r="R212" s="40">
        <f t="shared" si="25"/>
        <v>3392991.1400000001</v>
      </c>
      <c r="S212" s="40">
        <v>0</v>
      </c>
      <c r="T212" s="37">
        <f t="shared" si="26"/>
        <v>789.63698014847921</v>
      </c>
      <c r="U212" s="37">
        <f t="shared" si="27"/>
        <v>789.63698014847921</v>
      </c>
      <c r="V212" s="41" t="s">
        <v>45</v>
      </c>
      <c r="W212" s="31"/>
    </row>
    <row r="213" s="31" customFormat="1" ht="44.25" customHeight="1">
      <c r="A213" s="33">
        <v>192</v>
      </c>
      <c r="B213" s="34" t="s">
        <v>294</v>
      </c>
      <c r="C213" s="33" t="s">
        <v>43</v>
      </c>
      <c r="D213" s="35" t="s">
        <v>176</v>
      </c>
      <c r="E213" s="35" t="s">
        <v>47</v>
      </c>
      <c r="F213" s="33" t="s">
        <v>48</v>
      </c>
      <c r="G213" s="36">
        <v>9</v>
      </c>
      <c r="H213" s="36">
        <v>3</v>
      </c>
      <c r="I213" s="37">
        <v>8660.3400000000001</v>
      </c>
      <c r="J213" s="37">
        <v>7372.3999999999996</v>
      </c>
      <c r="K213" s="37">
        <v>7234.1000000000004</v>
      </c>
      <c r="L213" s="38">
        <v>145</v>
      </c>
      <c r="M213" s="39">
        <f t="shared" ref="M213:M221" si="28">SUM(N213:Q213)</f>
        <v>9251607.1999999993</v>
      </c>
      <c r="N213" s="37">
        <v>0</v>
      </c>
      <c r="O213" s="37">
        <v>0</v>
      </c>
      <c r="P213" s="37">
        <v>0</v>
      </c>
      <c r="Q213" s="40">
        <f>'Таблица 3 '!C203</f>
        <v>9251607.1999999993</v>
      </c>
      <c r="R213" s="37">
        <f t="shared" ref="R213:R221" si="29">Q213</f>
        <v>9251607.1999999993</v>
      </c>
      <c r="S213" s="37">
        <v>0</v>
      </c>
      <c r="T213" s="37">
        <f t="shared" ref="T213:T276" si="30">M213/J213</f>
        <v>1254.8976181433454</v>
      </c>
      <c r="U213" s="37">
        <f t="shared" ref="U213:U276" si="31">T213</f>
        <v>1254.8976181433454</v>
      </c>
      <c r="V213" s="41" t="s">
        <v>45</v>
      </c>
      <c r="W213" s="31"/>
    </row>
    <row r="214" s="31" customFormat="1" ht="44.25" customHeight="1">
      <c r="A214" s="33">
        <v>193</v>
      </c>
      <c r="B214" s="49" t="s">
        <v>295</v>
      </c>
      <c r="C214" s="33" t="s">
        <v>43</v>
      </c>
      <c r="D214" s="35" t="s">
        <v>170</v>
      </c>
      <c r="E214" s="35" t="s">
        <v>39</v>
      </c>
      <c r="F214" s="33" t="s">
        <v>44</v>
      </c>
      <c r="G214" s="36">
        <v>2</v>
      </c>
      <c r="H214" s="36">
        <v>2</v>
      </c>
      <c r="I214" s="37">
        <v>424.39999999999998</v>
      </c>
      <c r="J214" s="37">
        <v>376.5</v>
      </c>
      <c r="K214" s="37">
        <v>323.69999999999999</v>
      </c>
      <c r="L214" s="38">
        <v>23</v>
      </c>
      <c r="M214" s="39">
        <f t="shared" si="28"/>
        <v>741885.46999999997</v>
      </c>
      <c r="N214" s="37">
        <v>0</v>
      </c>
      <c r="O214" s="37">
        <v>0</v>
      </c>
      <c r="P214" s="37">
        <v>0</v>
      </c>
      <c r="Q214" s="40">
        <f>'Таблица 3 '!C204</f>
        <v>741885.46999999997</v>
      </c>
      <c r="R214" s="37">
        <f t="shared" si="29"/>
        <v>741885.46999999997</v>
      </c>
      <c r="S214" s="37">
        <v>0</v>
      </c>
      <c r="T214" s="37">
        <f t="shared" si="30"/>
        <v>1970.4793359893758</v>
      </c>
      <c r="U214" s="37">
        <f t="shared" si="31"/>
        <v>1970.4793359893758</v>
      </c>
      <c r="V214" s="41" t="s">
        <v>45</v>
      </c>
      <c r="W214" s="31"/>
    </row>
    <row r="215" s="31" customFormat="1" ht="44.25" customHeight="1">
      <c r="A215" s="33">
        <v>194</v>
      </c>
      <c r="B215" s="34" t="s">
        <v>296</v>
      </c>
      <c r="C215" s="33" t="s">
        <v>43</v>
      </c>
      <c r="D215" s="33">
        <v>1973</v>
      </c>
      <c r="E215" s="35" t="s">
        <v>39</v>
      </c>
      <c r="F215" s="33" t="s">
        <v>48</v>
      </c>
      <c r="G215" s="36">
        <v>5</v>
      </c>
      <c r="H215" s="36">
        <v>4</v>
      </c>
      <c r="I215" s="40">
        <v>4583</v>
      </c>
      <c r="J215" s="40">
        <v>3295.8000000000002</v>
      </c>
      <c r="K215" s="40">
        <v>3137.6999999999998</v>
      </c>
      <c r="L215" s="48">
        <v>120</v>
      </c>
      <c r="M215" s="39">
        <f t="shared" si="28"/>
        <v>567598.57000000007</v>
      </c>
      <c r="N215" s="37">
        <v>0</v>
      </c>
      <c r="O215" s="37">
        <v>0</v>
      </c>
      <c r="P215" s="37">
        <v>0</v>
      </c>
      <c r="Q215" s="40">
        <f>'Таблица 3 '!C205</f>
        <v>567598.57000000007</v>
      </c>
      <c r="R215" s="37">
        <f t="shared" si="29"/>
        <v>567598.57000000007</v>
      </c>
      <c r="S215" s="40">
        <v>0</v>
      </c>
      <c r="T215" s="37">
        <f t="shared" si="30"/>
        <v>172.21875417197646</v>
      </c>
      <c r="U215" s="37">
        <f t="shared" si="31"/>
        <v>172.21875417197646</v>
      </c>
      <c r="V215" s="41" t="s">
        <v>45</v>
      </c>
      <c r="W215" s="60"/>
    </row>
    <row r="216" s="31" customFormat="1" ht="44.25" customHeight="1">
      <c r="A216" s="33">
        <v>195</v>
      </c>
      <c r="B216" s="34" t="s">
        <v>297</v>
      </c>
      <c r="C216" s="43" t="s">
        <v>90</v>
      </c>
      <c r="D216" s="33">
        <v>2010</v>
      </c>
      <c r="E216" s="44" t="s">
        <v>39</v>
      </c>
      <c r="F216" s="33" t="s">
        <v>44</v>
      </c>
      <c r="G216" s="45">
        <v>16</v>
      </c>
      <c r="H216" s="36">
        <v>5</v>
      </c>
      <c r="I216" s="51">
        <v>32374.330000000002</v>
      </c>
      <c r="J216" s="40">
        <v>32374.330000000002</v>
      </c>
      <c r="K216" s="51">
        <v>21280.43</v>
      </c>
      <c r="L216" s="48">
        <v>556</v>
      </c>
      <c r="M216" s="39">
        <f t="shared" si="28"/>
        <v>24062298</v>
      </c>
      <c r="N216" s="46">
        <v>0</v>
      </c>
      <c r="O216" s="37">
        <v>0</v>
      </c>
      <c r="P216" s="46">
        <v>0</v>
      </c>
      <c r="Q216" s="40">
        <f>'Таблица 3 '!C206</f>
        <v>24062298</v>
      </c>
      <c r="R216" s="46">
        <f t="shared" si="29"/>
        <v>24062298</v>
      </c>
      <c r="S216" s="40">
        <v>0</v>
      </c>
      <c r="T216" s="46">
        <f t="shared" si="30"/>
        <v>743.25238545477225</v>
      </c>
      <c r="U216" s="37">
        <f t="shared" si="31"/>
        <v>743.25238545477225</v>
      </c>
      <c r="V216" s="41" t="s">
        <v>45</v>
      </c>
      <c r="W216" s="47"/>
    </row>
    <row r="217" s="31" customFormat="1" ht="44.25" customHeight="1">
      <c r="A217" s="33">
        <v>196</v>
      </c>
      <c r="B217" s="34" t="s">
        <v>298</v>
      </c>
      <c r="C217" s="33" t="s">
        <v>43</v>
      </c>
      <c r="D217" s="33">
        <v>1992</v>
      </c>
      <c r="E217" s="35" t="s">
        <v>60</v>
      </c>
      <c r="F217" s="33" t="s">
        <v>48</v>
      </c>
      <c r="G217" s="36">
        <v>10</v>
      </c>
      <c r="H217" s="36">
        <v>3</v>
      </c>
      <c r="I217" s="40">
        <v>7301.3999999999996</v>
      </c>
      <c r="J217" s="40">
        <v>7242.6000000000004</v>
      </c>
      <c r="K217" s="40">
        <v>7095.1000000000004</v>
      </c>
      <c r="L217" s="48">
        <v>239</v>
      </c>
      <c r="M217" s="39">
        <f t="shared" si="28"/>
        <v>354289.51000000001</v>
      </c>
      <c r="N217" s="37">
        <v>0</v>
      </c>
      <c r="O217" s="37">
        <v>0</v>
      </c>
      <c r="P217" s="37">
        <v>0</v>
      </c>
      <c r="Q217" s="40">
        <f>'Таблица 3 '!C207</f>
        <v>354289.51000000001</v>
      </c>
      <c r="R217" s="37">
        <f t="shared" si="29"/>
        <v>354289.51000000001</v>
      </c>
      <c r="S217" s="40">
        <v>0</v>
      </c>
      <c r="T217" s="37">
        <f t="shared" si="30"/>
        <v>48.917448153977851</v>
      </c>
      <c r="U217" s="37">
        <f t="shared" si="31"/>
        <v>48.917448153977851</v>
      </c>
      <c r="V217" s="41" t="s">
        <v>45</v>
      </c>
      <c r="W217" s="31"/>
    </row>
    <row r="218" s="31" customFormat="1" ht="44.25" customHeight="1">
      <c r="A218" s="33">
        <v>197</v>
      </c>
      <c r="B218" s="42" t="s">
        <v>299</v>
      </c>
      <c r="C218" s="33" t="s">
        <v>43</v>
      </c>
      <c r="D218" s="33">
        <v>1979</v>
      </c>
      <c r="E218" s="35" t="s">
        <v>60</v>
      </c>
      <c r="F218" s="33" t="s">
        <v>48</v>
      </c>
      <c r="G218" s="36">
        <v>5</v>
      </c>
      <c r="H218" s="36">
        <v>4</v>
      </c>
      <c r="I218" s="37">
        <v>3731.8000000000002</v>
      </c>
      <c r="J218" s="37">
        <v>3743.3000000000002</v>
      </c>
      <c r="K218" s="37">
        <v>2759.6999999999998</v>
      </c>
      <c r="L218" s="38">
        <v>177</v>
      </c>
      <c r="M218" s="39">
        <f t="shared" si="28"/>
        <v>2005555.6799999999</v>
      </c>
      <c r="N218" s="37">
        <v>0</v>
      </c>
      <c r="O218" s="37">
        <v>0</v>
      </c>
      <c r="P218" s="37">
        <v>0</v>
      </c>
      <c r="Q218" s="40">
        <f>'Таблица 3 '!C208</f>
        <v>2005555.6799999999</v>
      </c>
      <c r="R218" s="37">
        <f t="shared" si="29"/>
        <v>2005555.6799999999</v>
      </c>
      <c r="S218" s="37">
        <v>0</v>
      </c>
      <c r="T218" s="37">
        <f t="shared" si="30"/>
        <v>535.77209414153288</v>
      </c>
      <c r="U218" s="37">
        <f t="shared" si="31"/>
        <v>535.77209414153288</v>
      </c>
      <c r="V218" s="41" t="s">
        <v>45</v>
      </c>
      <c r="W218" s="31"/>
    </row>
    <row r="219" s="31" customFormat="1" ht="44.25" customHeight="1">
      <c r="A219" s="33">
        <v>198</v>
      </c>
      <c r="B219" s="42" t="s">
        <v>300</v>
      </c>
      <c r="C219" s="33" t="s">
        <v>43</v>
      </c>
      <c r="D219" s="33">
        <v>1979</v>
      </c>
      <c r="E219" s="35" t="s">
        <v>60</v>
      </c>
      <c r="F219" s="33" t="s">
        <v>48</v>
      </c>
      <c r="G219" s="36">
        <v>5</v>
      </c>
      <c r="H219" s="36">
        <v>4</v>
      </c>
      <c r="I219" s="37">
        <v>3731.8000000000002</v>
      </c>
      <c r="J219" s="37">
        <v>3743.3000000000002</v>
      </c>
      <c r="K219" s="37">
        <v>2759.6999999999998</v>
      </c>
      <c r="L219" s="38">
        <v>177</v>
      </c>
      <c r="M219" s="39">
        <f t="shared" si="28"/>
        <v>12311275.300000001</v>
      </c>
      <c r="N219" s="37">
        <v>0</v>
      </c>
      <c r="O219" s="37">
        <v>0</v>
      </c>
      <c r="P219" s="37">
        <v>0</v>
      </c>
      <c r="Q219" s="40">
        <f>'Таблица 3 '!C209</f>
        <v>12311275.300000001</v>
      </c>
      <c r="R219" s="37">
        <f t="shared" si="29"/>
        <v>12311275.300000001</v>
      </c>
      <c r="S219" s="37">
        <v>0</v>
      </c>
      <c r="T219" s="37">
        <f t="shared" si="30"/>
        <v>3288.8828840862343</v>
      </c>
      <c r="U219" s="37">
        <f t="shared" si="31"/>
        <v>3288.8828840862343</v>
      </c>
      <c r="V219" s="41" t="s">
        <v>45</v>
      </c>
      <c r="W219" s="31"/>
    </row>
    <row r="220" s="31" customFormat="1" ht="44.25" customHeight="1">
      <c r="A220" s="33">
        <v>199</v>
      </c>
      <c r="B220" s="34" t="s">
        <v>301</v>
      </c>
      <c r="C220" s="33" t="s">
        <v>43</v>
      </c>
      <c r="D220" s="35" t="s">
        <v>137</v>
      </c>
      <c r="E220" s="35" t="s">
        <v>39</v>
      </c>
      <c r="F220" s="33" t="s">
        <v>48</v>
      </c>
      <c r="G220" s="36">
        <v>5</v>
      </c>
      <c r="H220" s="36">
        <v>4</v>
      </c>
      <c r="I220" s="37">
        <v>4036.5999999999999</v>
      </c>
      <c r="J220" s="37">
        <v>3678.6999999999998</v>
      </c>
      <c r="K220" s="37">
        <v>0</v>
      </c>
      <c r="L220" s="38">
        <v>145</v>
      </c>
      <c r="M220" s="39">
        <f t="shared" si="28"/>
        <v>17406748.720000003</v>
      </c>
      <c r="N220" s="37">
        <v>0</v>
      </c>
      <c r="O220" s="37">
        <v>0</v>
      </c>
      <c r="P220" s="37">
        <v>0</v>
      </c>
      <c r="Q220" s="40">
        <f>'Таблица 3 '!C210</f>
        <v>17406748.720000003</v>
      </c>
      <c r="R220" s="37">
        <f t="shared" si="29"/>
        <v>17406748.720000003</v>
      </c>
      <c r="S220" s="37">
        <v>0</v>
      </c>
      <c r="T220" s="37">
        <f t="shared" si="30"/>
        <v>4731.7663087503743</v>
      </c>
      <c r="U220" s="37">
        <f t="shared" si="31"/>
        <v>4731.7663087503743</v>
      </c>
      <c r="V220" s="41" t="s">
        <v>45</v>
      </c>
      <c r="W220" s="31"/>
    </row>
    <row r="221" s="31" customFormat="1" ht="44.25" customHeight="1">
      <c r="A221" s="33">
        <v>200</v>
      </c>
      <c r="B221" s="34" t="s">
        <v>302</v>
      </c>
      <c r="C221" s="33" t="s">
        <v>43</v>
      </c>
      <c r="D221" s="33">
        <v>1984</v>
      </c>
      <c r="E221" s="35" t="s">
        <v>39</v>
      </c>
      <c r="F221" s="33" t="s">
        <v>48</v>
      </c>
      <c r="G221" s="36">
        <v>5</v>
      </c>
      <c r="H221" s="36">
        <v>4</v>
      </c>
      <c r="I221" s="37">
        <v>3963.4000000000001</v>
      </c>
      <c r="J221" s="37">
        <v>2717.4000000000001</v>
      </c>
      <c r="K221" s="37">
        <v>2560.8000000000002</v>
      </c>
      <c r="L221" s="38">
        <v>138</v>
      </c>
      <c r="M221" s="39">
        <f t="shared" si="28"/>
        <v>4304281.1100000003</v>
      </c>
      <c r="N221" s="37">
        <v>0</v>
      </c>
      <c r="O221" s="37">
        <v>0</v>
      </c>
      <c r="P221" s="37">
        <v>0</v>
      </c>
      <c r="Q221" s="40">
        <f>'Таблица 3 '!C211</f>
        <v>4304281.1100000003</v>
      </c>
      <c r="R221" s="37">
        <f t="shared" si="29"/>
        <v>4304281.1100000003</v>
      </c>
      <c r="S221" s="37">
        <v>0</v>
      </c>
      <c r="T221" s="37">
        <f t="shared" si="30"/>
        <v>1583.9703797747848</v>
      </c>
      <c r="U221" s="37">
        <f t="shared" si="31"/>
        <v>1583.9703797747848</v>
      </c>
      <c r="V221" s="41" t="s">
        <v>45</v>
      </c>
      <c r="W221" s="31"/>
    </row>
    <row r="222" s="31" customFormat="1" ht="24.75" customHeight="1">
      <c r="A222" s="61" t="s">
        <v>303</v>
      </c>
      <c r="B222" s="61"/>
      <c r="C222" s="26" t="s">
        <v>40</v>
      </c>
      <c r="D222" s="26" t="s">
        <v>40</v>
      </c>
      <c r="E222" s="27" t="s">
        <v>40</v>
      </c>
      <c r="F222" s="26" t="s">
        <v>40</v>
      </c>
      <c r="G222" s="28" t="s">
        <v>40</v>
      </c>
      <c r="H222" s="28" t="s">
        <v>40</v>
      </c>
      <c r="I222" s="29">
        <f>SUM(I223:I226)</f>
        <v>4229.6700000000001</v>
      </c>
      <c r="J222" s="29">
        <f>SUM(J223:J226)</f>
        <v>3403.21</v>
      </c>
      <c r="K222" s="29">
        <f>SUM(K223:K226)</f>
        <v>2851.75</v>
      </c>
      <c r="L222" s="30">
        <f>SUM(L223:L226)</f>
        <v>129</v>
      </c>
      <c r="M222" s="29">
        <f>SUM(M223:M226)</f>
        <v>3857022.2100000004</v>
      </c>
      <c r="N222" s="29">
        <f>SUM(N223:N226)</f>
        <v>0</v>
      </c>
      <c r="O222" s="29">
        <f>SUM(O223:O226)</f>
        <v>0</v>
      </c>
      <c r="P222" s="29">
        <f>SUM(P223:P226)</f>
        <v>0</v>
      </c>
      <c r="Q222" s="29">
        <f>SUM(Q223:Q226)</f>
        <v>3857022.2100000004</v>
      </c>
      <c r="R222" s="29">
        <f>SUM(R223:R226)</f>
        <v>3857022.2100000004</v>
      </c>
      <c r="S222" s="29">
        <f>SUM(S223:S226)</f>
        <v>0</v>
      </c>
      <c r="T222" s="62" t="s">
        <v>40</v>
      </c>
      <c r="U222" s="32" t="s">
        <v>40</v>
      </c>
      <c r="V222" s="63" t="s">
        <v>40</v>
      </c>
      <c r="W222" s="31"/>
    </row>
    <row r="223" s="31" customFormat="1" ht="44.25" customHeight="1">
      <c r="A223" s="33">
        <v>1</v>
      </c>
      <c r="B223" s="50" t="s">
        <v>304</v>
      </c>
      <c r="C223" s="33" t="s">
        <v>43</v>
      </c>
      <c r="D223" s="33">
        <v>1970</v>
      </c>
      <c r="E223" s="35" t="s">
        <v>39</v>
      </c>
      <c r="F223" s="33" t="s">
        <v>77</v>
      </c>
      <c r="G223" s="36">
        <v>2</v>
      </c>
      <c r="H223" s="36">
        <v>1</v>
      </c>
      <c r="I223" s="37">
        <v>743.91999999999996</v>
      </c>
      <c r="J223" s="37">
        <v>697</v>
      </c>
      <c r="K223" s="37">
        <v>627.39999999999998</v>
      </c>
      <c r="L223" s="38">
        <v>33</v>
      </c>
      <c r="M223" s="37">
        <f t="shared" ref="M223:M226" si="32">SUM(N223:Q223)</f>
        <v>539069.31000000006</v>
      </c>
      <c r="N223" s="37">
        <v>0</v>
      </c>
      <c r="O223" s="37">
        <v>0</v>
      </c>
      <c r="P223" s="37">
        <v>0</v>
      </c>
      <c r="Q223" s="40">
        <f>'Таблица 3 '!C213</f>
        <v>539069.31000000006</v>
      </c>
      <c r="R223" s="37">
        <f t="shared" ref="R223:R226" si="33">Q223</f>
        <v>539069.31000000006</v>
      </c>
      <c r="S223" s="37">
        <v>0</v>
      </c>
      <c r="T223" s="56">
        <f t="shared" si="30"/>
        <v>773.41364418938315</v>
      </c>
      <c r="U223" s="37">
        <f t="shared" si="31"/>
        <v>773.41364418938315</v>
      </c>
      <c r="V223" s="41" t="s">
        <v>45</v>
      </c>
      <c r="W223" s="31"/>
      <c r="X223" s="31"/>
    </row>
    <row r="224" s="31" customFormat="1" ht="44.25" customHeight="1">
      <c r="A224" s="33">
        <v>2</v>
      </c>
      <c r="B224" s="50" t="s">
        <v>305</v>
      </c>
      <c r="C224" s="33" t="s">
        <v>43</v>
      </c>
      <c r="D224" s="33">
        <v>1970</v>
      </c>
      <c r="E224" s="35" t="s">
        <v>155</v>
      </c>
      <c r="F224" s="33" t="s">
        <v>44</v>
      </c>
      <c r="G224" s="36">
        <v>2</v>
      </c>
      <c r="H224" s="36">
        <v>2</v>
      </c>
      <c r="I224" s="40">
        <v>774</v>
      </c>
      <c r="J224" s="40">
        <v>730.98000000000002</v>
      </c>
      <c r="K224" s="40">
        <v>730.98000000000002</v>
      </c>
      <c r="L224" s="48">
        <v>28</v>
      </c>
      <c r="M224" s="40">
        <f t="shared" si="32"/>
        <v>631285.16000000003</v>
      </c>
      <c r="N224" s="37">
        <v>0</v>
      </c>
      <c r="O224" s="37">
        <v>0</v>
      </c>
      <c r="P224" s="37">
        <v>0</v>
      </c>
      <c r="Q224" s="40">
        <f>'Таблица 3 '!C214</f>
        <v>631285.16000000003</v>
      </c>
      <c r="R224" s="40">
        <f t="shared" si="33"/>
        <v>631285.16000000003</v>
      </c>
      <c r="S224" s="37">
        <v>0</v>
      </c>
      <c r="T224" s="56">
        <f t="shared" si="30"/>
        <v>863.61481846288541</v>
      </c>
      <c r="U224" s="40">
        <f t="shared" si="31"/>
        <v>863.61481846288541</v>
      </c>
      <c r="V224" s="41" t="s">
        <v>45</v>
      </c>
      <c r="W224" s="60"/>
      <c r="X224" s="31"/>
    </row>
    <row r="225" s="31" customFormat="1" ht="44.25" customHeight="1">
      <c r="A225" s="33">
        <v>3</v>
      </c>
      <c r="B225" s="50" t="s">
        <v>306</v>
      </c>
      <c r="C225" s="33" t="s">
        <v>43</v>
      </c>
      <c r="D225" s="33">
        <v>1994</v>
      </c>
      <c r="E225" s="35" t="s">
        <v>39</v>
      </c>
      <c r="F225" s="33" t="s">
        <v>77</v>
      </c>
      <c r="G225" s="36">
        <v>2</v>
      </c>
      <c r="H225" s="36">
        <v>2</v>
      </c>
      <c r="I225" s="37">
        <v>2180.4499999999998</v>
      </c>
      <c r="J225" s="37">
        <v>1483.1099999999999</v>
      </c>
      <c r="K225" s="37">
        <v>1001.25</v>
      </c>
      <c r="L225" s="38">
        <v>46</v>
      </c>
      <c r="M225" s="37">
        <f t="shared" si="32"/>
        <v>364300.41999999998</v>
      </c>
      <c r="N225" s="37">
        <v>0</v>
      </c>
      <c r="O225" s="37">
        <v>0</v>
      </c>
      <c r="P225" s="37">
        <v>0</v>
      </c>
      <c r="Q225" s="40">
        <f>'Таблица 3 '!C215</f>
        <v>364300.41999999998</v>
      </c>
      <c r="R225" s="37">
        <f t="shared" si="33"/>
        <v>364300.41999999998</v>
      </c>
      <c r="S225" s="37">
        <v>0</v>
      </c>
      <c r="T225" s="56">
        <f t="shared" si="30"/>
        <v>245.63277167573546</v>
      </c>
      <c r="U225" s="37">
        <f t="shared" si="31"/>
        <v>245.63277167573546</v>
      </c>
      <c r="V225" s="41" t="s">
        <v>45</v>
      </c>
      <c r="W225" s="31"/>
    </row>
    <row r="226" s="31" customFormat="1" ht="44.25" customHeight="1">
      <c r="A226" s="33">
        <v>4</v>
      </c>
      <c r="B226" s="52" t="s">
        <v>307</v>
      </c>
      <c r="C226" s="33" t="s">
        <v>43</v>
      </c>
      <c r="D226" s="33">
        <v>1967</v>
      </c>
      <c r="E226" s="35" t="s">
        <v>39</v>
      </c>
      <c r="F226" s="33" t="s">
        <v>44</v>
      </c>
      <c r="G226" s="36">
        <v>2</v>
      </c>
      <c r="H226" s="36">
        <v>3</v>
      </c>
      <c r="I226" s="40">
        <v>531.29999999999995</v>
      </c>
      <c r="J226" s="40">
        <v>492.12</v>
      </c>
      <c r="K226" s="40">
        <v>492.12</v>
      </c>
      <c r="L226" s="48">
        <v>22</v>
      </c>
      <c r="M226" s="40">
        <f t="shared" si="32"/>
        <v>2322367.3200000003</v>
      </c>
      <c r="N226" s="37">
        <v>0</v>
      </c>
      <c r="O226" s="37">
        <v>0</v>
      </c>
      <c r="P226" s="37">
        <v>0</v>
      </c>
      <c r="Q226" s="40">
        <f>'Таблица 3 '!C216</f>
        <v>2322367.3200000003</v>
      </c>
      <c r="R226" s="40">
        <f t="shared" si="33"/>
        <v>2322367.3200000003</v>
      </c>
      <c r="S226" s="37">
        <v>0</v>
      </c>
      <c r="T226" s="37">
        <f t="shared" si="30"/>
        <v>4719.1077785905882</v>
      </c>
      <c r="U226" s="40">
        <f t="shared" si="31"/>
        <v>4719.1077785905882</v>
      </c>
      <c r="V226" s="41" t="s">
        <v>45</v>
      </c>
      <c r="W226" s="60"/>
    </row>
    <row r="227" s="31" customFormat="1" ht="27" customHeight="1">
      <c r="A227" s="25" t="s">
        <v>308</v>
      </c>
      <c r="B227" s="25"/>
      <c r="C227" s="26" t="s">
        <v>39</v>
      </c>
      <c r="D227" s="26" t="s">
        <v>39</v>
      </c>
      <c r="E227" s="27" t="s">
        <v>39</v>
      </c>
      <c r="F227" s="26" t="s">
        <v>39</v>
      </c>
      <c r="G227" s="28" t="s">
        <v>39</v>
      </c>
      <c r="H227" s="28" t="s">
        <v>39</v>
      </c>
      <c r="I227" s="64">
        <f>SUM(I228:I235)</f>
        <v>42614</v>
      </c>
      <c r="J227" s="64">
        <f>SUM(J228:J235)</f>
        <v>32395.900000000001</v>
      </c>
      <c r="K227" s="64">
        <f>SUM(K228:K235)</f>
        <v>27979.750000000004</v>
      </c>
      <c r="L227" s="65">
        <f>SUM(L228:L235)</f>
        <v>1576</v>
      </c>
      <c r="M227" s="64">
        <f>SUM(M228:M235)</f>
        <v>7365317.75</v>
      </c>
      <c r="N227" s="64">
        <f>SUM(N228:N235)</f>
        <v>0</v>
      </c>
      <c r="O227" s="64">
        <f>SUM(O228:O235)</f>
        <v>0</v>
      </c>
      <c r="P227" s="64">
        <f>SUM(P228:P235)</f>
        <v>0</v>
      </c>
      <c r="Q227" s="64">
        <f>SUM(Q228:Q235)</f>
        <v>7365317.75</v>
      </c>
      <c r="R227" s="64">
        <f>SUM(R228:R235)</f>
        <v>7365317.75</v>
      </c>
      <c r="S227" s="64">
        <f>SUM(S228:S235)</f>
        <v>0</v>
      </c>
      <c r="T227" s="32" t="s">
        <v>39</v>
      </c>
      <c r="U227" s="32" t="s">
        <v>39</v>
      </c>
      <c r="V227" s="28" t="s">
        <v>39</v>
      </c>
      <c r="W227" s="31"/>
    </row>
    <row r="228" s="31" customFormat="1" ht="44.25" customHeight="1">
      <c r="A228" s="33">
        <v>1</v>
      </c>
      <c r="B228" s="50" t="s">
        <v>309</v>
      </c>
      <c r="C228" s="33" t="s">
        <v>43</v>
      </c>
      <c r="D228" s="33">
        <v>1971</v>
      </c>
      <c r="E228" s="35" t="s">
        <v>39</v>
      </c>
      <c r="F228" s="33" t="s">
        <v>44</v>
      </c>
      <c r="G228" s="36">
        <v>5</v>
      </c>
      <c r="H228" s="36">
        <v>8</v>
      </c>
      <c r="I228" s="40">
        <v>4530</v>
      </c>
      <c r="J228" s="40">
        <v>4268.6000000000004</v>
      </c>
      <c r="K228" s="40">
        <v>3524.6999999999998</v>
      </c>
      <c r="L228" s="48">
        <v>247</v>
      </c>
      <c r="M228" s="40">
        <f t="shared" ref="M228:M235" si="34">SUM(N228:Q228)</f>
        <v>1411852.8</v>
      </c>
      <c r="N228" s="37">
        <v>0</v>
      </c>
      <c r="O228" s="37">
        <v>0</v>
      </c>
      <c r="P228" s="37">
        <v>0</v>
      </c>
      <c r="Q228" s="40">
        <f>'Таблица 3 '!C218</f>
        <v>1411852.8</v>
      </c>
      <c r="R228" s="40">
        <f t="shared" ref="R228:R235" si="35">Q228</f>
        <v>1411852.8</v>
      </c>
      <c r="S228" s="37">
        <v>0</v>
      </c>
      <c r="T228" s="56">
        <f t="shared" si="30"/>
        <v>330.75312748910648</v>
      </c>
      <c r="U228" s="40">
        <f t="shared" si="31"/>
        <v>330.75312748910648</v>
      </c>
      <c r="V228" s="41" t="s">
        <v>45</v>
      </c>
      <c r="W228" s="31"/>
    </row>
    <row r="229" s="31" customFormat="1" ht="44.25" customHeight="1">
      <c r="A229" s="33">
        <v>2</v>
      </c>
      <c r="B229" s="50" t="s">
        <v>310</v>
      </c>
      <c r="C229" s="33" t="s">
        <v>43</v>
      </c>
      <c r="D229" s="33">
        <v>1982</v>
      </c>
      <c r="E229" s="35" t="s">
        <v>39</v>
      </c>
      <c r="F229" s="33" t="s">
        <v>44</v>
      </c>
      <c r="G229" s="36">
        <v>5</v>
      </c>
      <c r="H229" s="36">
        <v>8</v>
      </c>
      <c r="I229" s="40">
        <v>7729</v>
      </c>
      <c r="J229" s="40">
        <v>6061.4300000000003</v>
      </c>
      <c r="K229" s="40">
        <v>5231.4300000000003</v>
      </c>
      <c r="L229" s="48">
        <v>316</v>
      </c>
      <c r="M229" s="40">
        <f t="shared" si="34"/>
        <v>735913.19999999995</v>
      </c>
      <c r="N229" s="37">
        <v>0</v>
      </c>
      <c r="O229" s="37">
        <v>0</v>
      </c>
      <c r="P229" s="37">
        <v>0</v>
      </c>
      <c r="Q229" s="40">
        <f>'Таблица 3 '!C219</f>
        <v>735913.19999999995</v>
      </c>
      <c r="R229" s="40">
        <f t="shared" si="35"/>
        <v>735913.19999999995</v>
      </c>
      <c r="S229" s="37">
        <v>0</v>
      </c>
      <c r="T229" s="37">
        <f t="shared" si="30"/>
        <v>121.40917242300908</v>
      </c>
      <c r="U229" s="40">
        <f t="shared" si="31"/>
        <v>121.40917242300908</v>
      </c>
      <c r="V229" s="41" t="s">
        <v>45</v>
      </c>
      <c r="W229" s="31"/>
    </row>
    <row r="230" s="31" customFormat="1" ht="44.25" customHeight="1">
      <c r="A230" s="33">
        <v>3</v>
      </c>
      <c r="B230" s="50" t="s">
        <v>311</v>
      </c>
      <c r="C230" s="33" t="s">
        <v>43</v>
      </c>
      <c r="D230" s="33">
        <v>1987</v>
      </c>
      <c r="E230" s="35" t="s">
        <v>39</v>
      </c>
      <c r="F230" s="33" t="s">
        <v>44</v>
      </c>
      <c r="G230" s="36">
        <v>5</v>
      </c>
      <c r="H230" s="36">
        <v>4</v>
      </c>
      <c r="I230" s="40">
        <v>3644</v>
      </c>
      <c r="J230" s="40">
        <v>2483</v>
      </c>
      <c r="K230" s="40">
        <v>2052.5799999999999</v>
      </c>
      <c r="L230" s="48">
        <v>134</v>
      </c>
      <c r="M230" s="40">
        <f t="shared" si="34"/>
        <v>1435542.7</v>
      </c>
      <c r="N230" s="37">
        <v>0</v>
      </c>
      <c r="O230" s="37">
        <v>0</v>
      </c>
      <c r="P230" s="37">
        <v>0</v>
      </c>
      <c r="Q230" s="40">
        <f>'Таблица 3 '!C220</f>
        <v>1435542.7</v>
      </c>
      <c r="R230" s="40">
        <f t="shared" si="35"/>
        <v>1435542.7</v>
      </c>
      <c r="S230" s="37">
        <v>0</v>
      </c>
      <c r="T230" s="37">
        <f t="shared" si="30"/>
        <v>578.14848973016512</v>
      </c>
      <c r="U230" s="40">
        <f t="shared" si="31"/>
        <v>578.14848973016512</v>
      </c>
      <c r="V230" s="41" t="s">
        <v>45</v>
      </c>
      <c r="W230" s="31"/>
    </row>
    <row r="231" s="31" customFormat="1" ht="44.25" customHeight="1">
      <c r="A231" s="33">
        <v>4</v>
      </c>
      <c r="B231" s="50" t="s">
        <v>312</v>
      </c>
      <c r="C231" s="33" t="s">
        <v>43</v>
      </c>
      <c r="D231" s="33">
        <v>1987</v>
      </c>
      <c r="E231" s="35" t="s">
        <v>39</v>
      </c>
      <c r="F231" s="33" t="s">
        <v>44</v>
      </c>
      <c r="G231" s="36">
        <v>5</v>
      </c>
      <c r="H231" s="36">
        <v>4</v>
      </c>
      <c r="I231" s="40">
        <v>4083</v>
      </c>
      <c r="J231" s="40">
        <v>2582.3400000000001</v>
      </c>
      <c r="K231" s="40">
        <v>2176.5500000000002</v>
      </c>
      <c r="L231" s="48">
        <v>134</v>
      </c>
      <c r="M231" s="40">
        <f t="shared" si="34"/>
        <v>1309798.5600000001</v>
      </c>
      <c r="N231" s="37">
        <v>0</v>
      </c>
      <c r="O231" s="37">
        <v>0</v>
      </c>
      <c r="P231" s="37">
        <v>0</v>
      </c>
      <c r="Q231" s="40">
        <f>'Таблица 3 '!C221</f>
        <v>1309798.5600000001</v>
      </c>
      <c r="R231" s="40">
        <f t="shared" si="35"/>
        <v>1309798.5600000001</v>
      </c>
      <c r="S231" s="37">
        <v>0</v>
      </c>
      <c r="T231" s="37">
        <f t="shared" si="30"/>
        <v>507.21382931759564</v>
      </c>
      <c r="U231" s="40">
        <f t="shared" si="31"/>
        <v>507.21382931759564</v>
      </c>
      <c r="V231" s="41" t="s">
        <v>45</v>
      </c>
      <c r="W231" s="31"/>
    </row>
    <row r="232" s="31" customFormat="1" ht="44.25" customHeight="1">
      <c r="A232" s="33">
        <v>5</v>
      </c>
      <c r="B232" s="50" t="s">
        <v>313</v>
      </c>
      <c r="C232" s="33" t="s">
        <v>43</v>
      </c>
      <c r="D232" s="33">
        <v>1985</v>
      </c>
      <c r="E232" s="35" t="s">
        <v>39</v>
      </c>
      <c r="F232" s="33" t="s">
        <v>44</v>
      </c>
      <c r="G232" s="36">
        <v>5</v>
      </c>
      <c r="H232" s="36">
        <v>8</v>
      </c>
      <c r="I232" s="40">
        <v>6370</v>
      </c>
      <c r="J232" s="40">
        <v>4820.2399999999998</v>
      </c>
      <c r="K232" s="40">
        <v>3926.29</v>
      </c>
      <c r="L232" s="48">
        <v>269</v>
      </c>
      <c r="M232" s="40">
        <f t="shared" si="34"/>
        <v>537451.19999999995</v>
      </c>
      <c r="N232" s="37">
        <v>0</v>
      </c>
      <c r="O232" s="37">
        <v>0</v>
      </c>
      <c r="P232" s="37">
        <v>0</v>
      </c>
      <c r="Q232" s="40">
        <f>'Таблица 3 '!C222</f>
        <v>537451.19999999995</v>
      </c>
      <c r="R232" s="40">
        <f t="shared" si="35"/>
        <v>537451.19999999995</v>
      </c>
      <c r="S232" s="37">
        <v>0</v>
      </c>
      <c r="T232" s="37">
        <f t="shared" si="30"/>
        <v>111.49884653046321</v>
      </c>
      <c r="U232" s="40">
        <f t="shared" si="31"/>
        <v>111.49884653046321</v>
      </c>
      <c r="V232" s="41" t="s">
        <v>45</v>
      </c>
      <c r="W232" s="31"/>
    </row>
    <row r="233" s="31" customFormat="1" ht="44.25" customHeight="1">
      <c r="A233" s="33">
        <v>6</v>
      </c>
      <c r="B233" s="50" t="s">
        <v>314</v>
      </c>
      <c r="C233" s="33" t="s">
        <v>43</v>
      </c>
      <c r="D233" s="33">
        <v>1995</v>
      </c>
      <c r="E233" s="35" t="s">
        <v>39</v>
      </c>
      <c r="F233" s="33" t="s">
        <v>44</v>
      </c>
      <c r="G233" s="36">
        <v>5</v>
      </c>
      <c r="H233" s="36">
        <v>5</v>
      </c>
      <c r="I233" s="40">
        <v>5822</v>
      </c>
      <c r="J233" s="40">
        <v>3966.6399999999999</v>
      </c>
      <c r="K233" s="40">
        <v>3598.0799999999999</v>
      </c>
      <c r="L233" s="48">
        <v>175</v>
      </c>
      <c r="M233" s="40">
        <f t="shared" si="34"/>
        <v>534284.40000000002</v>
      </c>
      <c r="N233" s="37">
        <v>0</v>
      </c>
      <c r="O233" s="37">
        <v>0</v>
      </c>
      <c r="P233" s="37">
        <v>0</v>
      </c>
      <c r="Q233" s="40">
        <f>'Таблица 3 '!C223</f>
        <v>534284.40000000002</v>
      </c>
      <c r="R233" s="40">
        <f t="shared" si="35"/>
        <v>534284.40000000002</v>
      </c>
      <c r="S233" s="37">
        <v>0</v>
      </c>
      <c r="T233" s="37">
        <f t="shared" si="30"/>
        <v>134.69445172740657</v>
      </c>
      <c r="U233" s="40">
        <f t="shared" si="31"/>
        <v>134.69445172740657</v>
      </c>
      <c r="V233" s="41" t="s">
        <v>45</v>
      </c>
      <c r="W233" s="31"/>
    </row>
    <row r="234" s="31" customFormat="1" ht="44.25" customHeight="1">
      <c r="A234" s="33">
        <v>7</v>
      </c>
      <c r="B234" s="50" t="s">
        <v>315</v>
      </c>
      <c r="C234" s="33" t="s">
        <v>43</v>
      </c>
      <c r="D234" s="33">
        <v>1985</v>
      </c>
      <c r="E234" s="35" t="s">
        <v>39</v>
      </c>
      <c r="F234" s="33" t="s">
        <v>44</v>
      </c>
      <c r="G234" s="36">
        <v>3</v>
      </c>
      <c r="H234" s="36">
        <v>9</v>
      </c>
      <c r="I234" s="40">
        <v>6377</v>
      </c>
      <c r="J234" s="40">
        <v>4696.0699999999997</v>
      </c>
      <c r="K234" s="40">
        <v>4471.5699999999997</v>
      </c>
      <c r="L234" s="48">
        <v>152</v>
      </c>
      <c r="M234" s="40">
        <f t="shared" si="34"/>
        <v>1006030.09</v>
      </c>
      <c r="N234" s="37">
        <v>0</v>
      </c>
      <c r="O234" s="37">
        <v>0</v>
      </c>
      <c r="P234" s="37">
        <v>0</v>
      </c>
      <c r="Q234" s="40">
        <f>'Таблица 3 '!C224</f>
        <v>1006030.09</v>
      </c>
      <c r="R234" s="40">
        <f t="shared" si="35"/>
        <v>1006030.09</v>
      </c>
      <c r="S234" s="37">
        <v>0</v>
      </c>
      <c r="T234" s="56">
        <f t="shared" si="30"/>
        <v>214.2280864637878</v>
      </c>
      <c r="U234" s="40">
        <f t="shared" si="31"/>
        <v>214.2280864637878</v>
      </c>
      <c r="V234" s="41" t="s">
        <v>45</v>
      </c>
      <c r="W234" s="31"/>
    </row>
    <row r="235" s="31" customFormat="1" ht="44.25" customHeight="1">
      <c r="A235" s="33">
        <v>8</v>
      </c>
      <c r="B235" s="50" t="s">
        <v>316</v>
      </c>
      <c r="C235" s="33" t="s">
        <v>43</v>
      </c>
      <c r="D235" s="33">
        <v>1981</v>
      </c>
      <c r="E235" s="35" t="s">
        <v>39</v>
      </c>
      <c r="F235" s="33" t="s">
        <v>44</v>
      </c>
      <c r="G235" s="36">
        <v>5</v>
      </c>
      <c r="H235" s="36">
        <v>4</v>
      </c>
      <c r="I235" s="40">
        <v>4059</v>
      </c>
      <c r="J235" s="40">
        <v>3517.5799999999999</v>
      </c>
      <c r="K235" s="40">
        <v>2998.5500000000002</v>
      </c>
      <c r="L235" s="48">
        <v>149</v>
      </c>
      <c r="M235" s="40">
        <f t="shared" si="34"/>
        <v>394444.79999999999</v>
      </c>
      <c r="N235" s="37">
        <v>0</v>
      </c>
      <c r="O235" s="37">
        <v>0</v>
      </c>
      <c r="P235" s="37">
        <v>0</v>
      </c>
      <c r="Q235" s="40">
        <f>'Таблица 3 '!C225</f>
        <v>394444.79999999999</v>
      </c>
      <c r="R235" s="40">
        <f t="shared" si="35"/>
        <v>394444.79999999999</v>
      </c>
      <c r="S235" s="37">
        <v>0</v>
      </c>
      <c r="T235" s="56">
        <f t="shared" si="30"/>
        <v>112.13527481962031</v>
      </c>
      <c r="U235" s="40">
        <f t="shared" si="31"/>
        <v>112.13527481962031</v>
      </c>
      <c r="V235" s="41" t="s">
        <v>45</v>
      </c>
      <c r="W235" s="31"/>
    </row>
    <row r="236" s="31" customFormat="1" ht="25.800000000000001" customHeight="1">
      <c r="A236" s="25" t="s">
        <v>317</v>
      </c>
      <c r="B236" s="25"/>
      <c r="C236" s="28" t="s">
        <v>39</v>
      </c>
      <c r="D236" s="28" t="s">
        <v>39</v>
      </c>
      <c r="E236" s="66" t="s">
        <v>39</v>
      </c>
      <c r="F236" s="28" t="s">
        <v>39</v>
      </c>
      <c r="G236" s="28" t="s">
        <v>39</v>
      </c>
      <c r="H236" s="28" t="s">
        <v>39</v>
      </c>
      <c r="I236" s="64">
        <f>SUM(I237:I241)</f>
        <v>3296.4000000000005</v>
      </c>
      <c r="J236" s="64">
        <f>SUM(J237:J241)</f>
        <v>3021.9000000000001</v>
      </c>
      <c r="K236" s="64">
        <f>SUM(K237:K241)</f>
        <v>2661.4000000000001</v>
      </c>
      <c r="L236" s="65">
        <f>SUM(L237:L241)</f>
        <v>103</v>
      </c>
      <c r="M236" s="64">
        <f>SUM(M237:M241)</f>
        <v>9014672.9400000013</v>
      </c>
      <c r="N236" s="64">
        <f>SUM(N237:N241)</f>
        <v>0</v>
      </c>
      <c r="O236" s="64">
        <f>SUM(O237:O241)</f>
        <v>0</v>
      </c>
      <c r="P236" s="64">
        <f>SUM(P237:P241)</f>
        <v>0</v>
      </c>
      <c r="Q236" s="64">
        <f>SUM(Q237:Q241)</f>
        <v>9014672.9400000013</v>
      </c>
      <c r="R236" s="64">
        <f>SUM(R237:R241)</f>
        <v>9014672.9400000013</v>
      </c>
      <c r="S236" s="64">
        <f>SUM(S237:S241)</f>
        <v>0</v>
      </c>
      <c r="T236" s="32" t="s">
        <v>39</v>
      </c>
      <c r="U236" s="32" t="s">
        <v>39</v>
      </c>
      <c r="V236" s="28" t="s">
        <v>39</v>
      </c>
      <c r="W236" s="31"/>
    </row>
    <row r="237" s="31" customFormat="1" ht="46.5" customHeight="1">
      <c r="A237" s="33">
        <v>1</v>
      </c>
      <c r="B237" s="52" t="s">
        <v>318</v>
      </c>
      <c r="C237" s="33" t="s">
        <v>43</v>
      </c>
      <c r="D237" s="36">
        <v>1956</v>
      </c>
      <c r="E237" s="67">
        <v>2015</v>
      </c>
      <c r="F237" s="36" t="s">
        <v>319</v>
      </c>
      <c r="G237" s="36">
        <v>2</v>
      </c>
      <c r="H237" s="36">
        <v>1</v>
      </c>
      <c r="I237" s="37">
        <v>486.74000000000001</v>
      </c>
      <c r="J237" s="37">
        <v>486.74000000000001</v>
      </c>
      <c r="K237" s="37">
        <v>426.24000000000001</v>
      </c>
      <c r="L237" s="38">
        <v>12</v>
      </c>
      <c r="M237" s="37">
        <f t="shared" ref="M237:M241" si="36">SUM(N237:Q237)</f>
        <v>3306912.4500000002</v>
      </c>
      <c r="N237" s="37">
        <v>0</v>
      </c>
      <c r="O237" s="37">
        <v>0</v>
      </c>
      <c r="P237" s="37">
        <v>0</v>
      </c>
      <c r="Q237" s="37">
        <f>'Таблица 3 '!C227</f>
        <v>3306912.4500000002</v>
      </c>
      <c r="R237" s="37">
        <f t="shared" ref="R237:R241" si="37">Q237</f>
        <v>3306912.4500000002</v>
      </c>
      <c r="S237" s="37">
        <v>0</v>
      </c>
      <c r="T237" s="37">
        <f t="shared" si="30"/>
        <v>6794.0018284915977</v>
      </c>
      <c r="U237" s="37">
        <f t="shared" si="31"/>
        <v>6794.0018284915977</v>
      </c>
      <c r="V237" s="41" t="s">
        <v>45</v>
      </c>
      <c r="W237" s="31"/>
    </row>
    <row r="238" s="31" customFormat="1" ht="48.75" customHeight="1">
      <c r="A238" s="33">
        <v>2</v>
      </c>
      <c r="B238" s="52" t="s">
        <v>320</v>
      </c>
      <c r="C238" s="33" t="s">
        <v>43</v>
      </c>
      <c r="D238" s="33">
        <v>1955</v>
      </c>
      <c r="E238" s="35" t="s">
        <v>40</v>
      </c>
      <c r="F238" s="33" t="s">
        <v>319</v>
      </c>
      <c r="G238" s="36">
        <v>2</v>
      </c>
      <c r="H238" s="36">
        <v>1</v>
      </c>
      <c r="I238" s="40">
        <v>529.64999999999998</v>
      </c>
      <c r="J238" s="40">
        <v>488.24000000000001</v>
      </c>
      <c r="K238" s="40">
        <v>488.24000000000001</v>
      </c>
      <c r="L238" s="48">
        <v>21</v>
      </c>
      <c r="M238" s="37">
        <f t="shared" si="36"/>
        <v>2537814.96</v>
      </c>
      <c r="N238" s="37">
        <v>0</v>
      </c>
      <c r="O238" s="37">
        <v>0</v>
      </c>
      <c r="P238" s="37">
        <v>0</v>
      </c>
      <c r="Q238" s="37">
        <f>'Таблица 3 '!C228</f>
        <v>2537814.96</v>
      </c>
      <c r="R238" s="37">
        <f t="shared" si="37"/>
        <v>2537814.96</v>
      </c>
      <c r="S238" s="37">
        <v>0</v>
      </c>
      <c r="T238" s="37">
        <f t="shared" si="30"/>
        <v>5197.8841553334423</v>
      </c>
      <c r="U238" s="37">
        <f t="shared" si="31"/>
        <v>5197.8841553334423</v>
      </c>
      <c r="V238" s="41" t="s">
        <v>45</v>
      </c>
      <c r="W238" s="31"/>
    </row>
    <row r="239" s="31" customFormat="1" ht="45" customHeight="1">
      <c r="A239" s="33">
        <v>3</v>
      </c>
      <c r="B239" s="52" t="s">
        <v>321</v>
      </c>
      <c r="C239" s="33" t="s">
        <v>43</v>
      </c>
      <c r="D239" s="33">
        <v>1977</v>
      </c>
      <c r="E239" s="35" t="s">
        <v>40</v>
      </c>
      <c r="F239" s="33" t="s">
        <v>319</v>
      </c>
      <c r="G239" s="36">
        <v>2</v>
      </c>
      <c r="H239" s="36">
        <v>2</v>
      </c>
      <c r="I239" s="40">
        <v>828.60000000000002</v>
      </c>
      <c r="J239" s="40">
        <v>729.41999999999996</v>
      </c>
      <c r="K239" s="40">
        <v>429.42000000000002</v>
      </c>
      <c r="L239" s="48">
        <v>30</v>
      </c>
      <c r="M239" s="37">
        <f t="shared" si="36"/>
        <v>602749.23999999999</v>
      </c>
      <c r="N239" s="37">
        <v>0</v>
      </c>
      <c r="O239" s="37">
        <v>0</v>
      </c>
      <c r="P239" s="37">
        <v>0</v>
      </c>
      <c r="Q239" s="37">
        <f>'Таблица 3 '!C229</f>
        <v>602749.23999999999</v>
      </c>
      <c r="R239" s="37">
        <f t="shared" si="37"/>
        <v>602749.23999999999</v>
      </c>
      <c r="S239" s="37">
        <v>0</v>
      </c>
      <c r="T239" s="37">
        <f t="shared" si="30"/>
        <v>826.34043486605799</v>
      </c>
      <c r="U239" s="37">
        <f t="shared" si="31"/>
        <v>826.34043486605799</v>
      </c>
      <c r="V239" s="41" t="s">
        <v>45</v>
      </c>
      <c r="W239" s="31"/>
    </row>
    <row r="240" s="31" customFormat="1" ht="45" customHeight="1">
      <c r="A240" s="33">
        <v>4</v>
      </c>
      <c r="B240" s="52" t="s">
        <v>322</v>
      </c>
      <c r="C240" s="33" t="s">
        <v>43</v>
      </c>
      <c r="D240" s="33">
        <v>1958</v>
      </c>
      <c r="E240" s="35" t="s">
        <v>39</v>
      </c>
      <c r="F240" s="33" t="s">
        <v>44</v>
      </c>
      <c r="G240" s="36">
        <v>2</v>
      </c>
      <c r="H240" s="36">
        <v>1</v>
      </c>
      <c r="I240" s="37">
        <v>396.98000000000002</v>
      </c>
      <c r="J240" s="37">
        <v>356.82999999999998</v>
      </c>
      <c r="K240" s="37">
        <v>356.82999999999998</v>
      </c>
      <c r="L240" s="38">
        <v>14</v>
      </c>
      <c r="M240" s="37">
        <f t="shared" si="36"/>
        <v>2349399.0700000003</v>
      </c>
      <c r="N240" s="37">
        <v>0</v>
      </c>
      <c r="O240" s="37">
        <v>0</v>
      </c>
      <c r="P240" s="37">
        <v>0</v>
      </c>
      <c r="Q240" s="37">
        <f>'Таблица 3 '!C230</f>
        <v>2349399.0700000003</v>
      </c>
      <c r="R240" s="37">
        <f t="shared" si="37"/>
        <v>2349399.0700000003</v>
      </c>
      <c r="S240" s="37">
        <v>0</v>
      </c>
      <c r="T240" s="37">
        <f t="shared" si="30"/>
        <v>6584.0850545077501</v>
      </c>
      <c r="U240" s="37">
        <f t="shared" si="31"/>
        <v>6584.0850545077501</v>
      </c>
      <c r="V240" s="41" t="s">
        <v>45</v>
      </c>
      <c r="W240" s="31"/>
    </row>
    <row r="241" s="31" customFormat="1" ht="45" customHeight="1">
      <c r="A241" s="33">
        <v>5</v>
      </c>
      <c r="B241" s="50" t="s">
        <v>323</v>
      </c>
      <c r="C241" s="33" t="s">
        <v>43</v>
      </c>
      <c r="D241" s="33">
        <v>1991</v>
      </c>
      <c r="E241" s="35" t="s">
        <v>40</v>
      </c>
      <c r="F241" s="33" t="s">
        <v>77</v>
      </c>
      <c r="G241" s="36">
        <v>2</v>
      </c>
      <c r="H241" s="36">
        <v>3</v>
      </c>
      <c r="I241" s="37">
        <v>1054.4300000000001</v>
      </c>
      <c r="J241" s="37">
        <v>960.66999999999996</v>
      </c>
      <c r="K241" s="37">
        <v>960.66999999999996</v>
      </c>
      <c r="L241" s="38">
        <v>26</v>
      </c>
      <c r="M241" s="37">
        <f t="shared" si="36"/>
        <v>217797.22</v>
      </c>
      <c r="N241" s="37">
        <v>0</v>
      </c>
      <c r="O241" s="37">
        <v>0</v>
      </c>
      <c r="P241" s="37">
        <v>0</v>
      </c>
      <c r="Q241" s="37">
        <f>'Таблица 3 '!C231</f>
        <v>217797.22</v>
      </c>
      <c r="R241" s="37">
        <f t="shared" si="37"/>
        <v>217797.22</v>
      </c>
      <c r="S241" s="37">
        <v>0</v>
      </c>
      <c r="T241" s="37">
        <f t="shared" si="30"/>
        <v>226.71387677350185</v>
      </c>
      <c r="U241" s="37">
        <f t="shared" si="31"/>
        <v>226.71387677350185</v>
      </c>
      <c r="V241" s="41" t="s">
        <v>45</v>
      </c>
      <c r="W241" s="60"/>
    </row>
    <row r="242" s="60" customFormat="1" ht="28.800000000000001" customHeight="1">
      <c r="A242" s="25" t="s">
        <v>324</v>
      </c>
      <c r="B242" s="25"/>
      <c r="C242" s="26" t="s">
        <v>39</v>
      </c>
      <c r="D242" s="26" t="s">
        <v>39</v>
      </c>
      <c r="E242" s="27" t="s">
        <v>39</v>
      </c>
      <c r="F242" s="26" t="s">
        <v>39</v>
      </c>
      <c r="G242" s="28" t="s">
        <v>39</v>
      </c>
      <c r="H242" s="28" t="s">
        <v>39</v>
      </c>
      <c r="I242" s="64">
        <f>SUM(I243:I265)</f>
        <v>45731.290000000001</v>
      </c>
      <c r="J242" s="64">
        <f>SUM(J243:J265)</f>
        <v>37112.639999999999</v>
      </c>
      <c r="K242" s="64">
        <f>SUM(K243:K265)</f>
        <v>34145.040000000001</v>
      </c>
      <c r="L242" s="65">
        <f>SUM(L243:L265)</f>
        <v>1522</v>
      </c>
      <c r="M242" s="64">
        <f>SUM(M243:M265)</f>
        <v>64534463.560000002</v>
      </c>
      <c r="N242" s="64">
        <f>SUM(N243:N265)</f>
        <v>0</v>
      </c>
      <c r="O242" s="64">
        <f>SUM(O243:O265)</f>
        <v>0</v>
      </c>
      <c r="P242" s="64">
        <f>SUM(P243:P265)</f>
        <v>0</v>
      </c>
      <c r="Q242" s="64">
        <f>SUM(Q243:Q265)</f>
        <v>64534463.560000002</v>
      </c>
      <c r="R242" s="64">
        <f>SUM(R243:R265)</f>
        <v>64534463.560000002</v>
      </c>
      <c r="S242" s="64">
        <f>SUM(S243:S265)</f>
        <v>0</v>
      </c>
      <c r="T242" s="32" t="s">
        <v>39</v>
      </c>
      <c r="U242" s="32" t="s">
        <v>39</v>
      </c>
      <c r="V242" s="28" t="s">
        <v>39</v>
      </c>
      <c r="W242" s="60"/>
    </row>
    <row r="243" s="60" customFormat="1" ht="42.75" customHeight="1">
      <c r="A243" s="33">
        <v>1</v>
      </c>
      <c r="B243" s="50" t="s">
        <v>325</v>
      </c>
      <c r="C243" s="33" t="s">
        <v>43</v>
      </c>
      <c r="D243" s="33">
        <v>1973</v>
      </c>
      <c r="E243" s="35" t="s">
        <v>39</v>
      </c>
      <c r="F243" s="33" t="s">
        <v>77</v>
      </c>
      <c r="G243" s="36">
        <v>4</v>
      </c>
      <c r="H243" s="36">
        <v>4</v>
      </c>
      <c r="I243" s="37">
        <v>3243.4000000000001</v>
      </c>
      <c r="J243" s="37">
        <v>2747.5999999999999</v>
      </c>
      <c r="K243" s="37">
        <v>934.29999999999995</v>
      </c>
      <c r="L243" s="38">
        <v>150</v>
      </c>
      <c r="M243" s="37">
        <f t="shared" ref="M243:M265" si="38">SUM(N243:Q243)</f>
        <v>328968.78999999998</v>
      </c>
      <c r="N243" s="37">
        <v>0</v>
      </c>
      <c r="O243" s="37">
        <v>0</v>
      </c>
      <c r="P243" s="37">
        <v>0</v>
      </c>
      <c r="Q243" s="37">
        <f>'Таблица 3 '!C233</f>
        <v>328968.78999999998</v>
      </c>
      <c r="R243" s="37">
        <f t="shared" ref="R243:R265" si="39">Q243</f>
        <v>328968.78999999998</v>
      </c>
      <c r="S243" s="37">
        <v>0</v>
      </c>
      <c r="T243" s="37">
        <f t="shared" si="30"/>
        <v>119.72950575047314</v>
      </c>
      <c r="U243" s="37">
        <f t="shared" si="31"/>
        <v>119.72950575047314</v>
      </c>
      <c r="V243" s="41" t="s">
        <v>45</v>
      </c>
      <c r="W243" s="60"/>
    </row>
    <row r="244" s="60" customFormat="1" ht="42.75" customHeight="1">
      <c r="A244" s="33">
        <v>2</v>
      </c>
      <c r="B244" s="50" t="s">
        <v>326</v>
      </c>
      <c r="C244" s="33" t="s">
        <v>43</v>
      </c>
      <c r="D244" s="33">
        <v>1965</v>
      </c>
      <c r="E244" s="35" t="s">
        <v>39</v>
      </c>
      <c r="F244" s="33" t="s">
        <v>77</v>
      </c>
      <c r="G244" s="36">
        <v>2</v>
      </c>
      <c r="H244" s="36">
        <v>2</v>
      </c>
      <c r="I244" s="37">
        <v>655.60000000000002</v>
      </c>
      <c r="J244" s="37">
        <v>613.5</v>
      </c>
      <c r="K244" s="37">
        <v>613.5</v>
      </c>
      <c r="L244" s="38">
        <v>22</v>
      </c>
      <c r="M244" s="37">
        <f t="shared" si="38"/>
        <v>678812.34999999998</v>
      </c>
      <c r="N244" s="37">
        <v>0</v>
      </c>
      <c r="O244" s="37">
        <v>0</v>
      </c>
      <c r="P244" s="37">
        <v>0</v>
      </c>
      <c r="Q244" s="37">
        <f>'Таблица 3 '!C234</f>
        <v>678812.34999999998</v>
      </c>
      <c r="R244" s="37">
        <f t="shared" si="39"/>
        <v>678812.34999999998</v>
      </c>
      <c r="S244" s="37">
        <v>0</v>
      </c>
      <c r="T244" s="37">
        <f t="shared" si="30"/>
        <v>1106.4585982070089</v>
      </c>
      <c r="U244" s="37">
        <f t="shared" si="31"/>
        <v>1106.4585982070089</v>
      </c>
      <c r="V244" s="41" t="s">
        <v>45</v>
      </c>
      <c r="W244" s="60"/>
    </row>
    <row r="245" s="60" customFormat="1" ht="42.75" customHeight="1">
      <c r="A245" s="33">
        <v>3</v>
      </c>
      <c r="B245" s="50" t="s">
        <v>327</v>
      </c>
      <c r="C245" s="33" t="s">
        <v>43</v>
      </c>
      <c r="D245" s="33">
        <v>1971</v>
      </c>
      <c r="E245" s="35">
        <v>2024</v>
      </c>
      <c r="F245" s="33" t="s">
        <v>77</v>
      </c>
      <c r="G245" s="36">
        <v>5</v>
      </c>
      <c r="H245" s="36">
        <v>4</v>
      </c>
      <c r="I245" s="37">
        <v>4306.4200000000001</v>
      </c>
      <c r="J245" s="37">
        <v>3140</v>
      </c>
      <c r="K245" s="37">
        <v>3011.5999999999999</v>
      </c>
      <c r="L245" s="38">
        <v>76</v>
      </c>
      <c r="M245" s="37">
        <f t="shared" si="38"/>
        <v>294009.59999999998</v>
      </c>
      <c r="N245" s="37">
        <v>0</v>
      </c>
      <c r="O245" s="37">
        <v>0</v>
      </c>
      <c r="P245" s="37">
        <v>0</v>
      </c>
      <c r="Q245" s="37">
        <f>'Таблица 3 '!C235</f>
        <v>294009.59999999998</v>
      </c>
      <c r="R245" s="37">
        <f t="shared" si="39"/>
        <v>294009.59999999998</v>
      </c>
      <c r="S245" s="37">
        <v>0</v>
      </c>
      <c r="T245" s="37">
        <f t="shared" si="30"/>
        <v>93.633630573248396</v>
      </c>
      <c r="U245" s="37">
        <f t="shared" si="31"/>
        <v>93.633630573248396</v>
      </c>
      <c r="V245" s="41" t="s">
        <v>45</v>
      </c>
      <c r="W245" s="60"/>
    </row>
    <row r="246" s="60" customFormat="1" ht="42.75" customHeight="1">
      <c r="A246" s="33">
        <v>4</v>
      </c>
      <c r="B246" s="52" t="s">
        <v>328</v>
      </c>
      <c r="C246" s="33" t="s">
        <v>43</v>
      </c>
      <c r="D246" s="33">
        <v>1970</v>
      </c>
      <c r="E246" s="35">
        <v>2018</v>
      </c>
      <c r="F246" s="33" t="s">
        <v>77</v>
      </c>
      <c r="G246" s="36">
        <v>2</v>
      </c>
      <c r="H246" s="36">
        <v>2</v>
      </c>
      <c r="I246" s="37">
        <v>757.20000000000005</v>
      </c>
      <c r="J246" s="37">
        <v>719</v>
      </c>
      <c r="K246" s="37">
        <v>618.89999999999998</v>
      </c>
      <c r="L246" s="38">
        <v>35</v>
      </c>
      <c r="M246" s="37">
        <f t="shared" si="38"/>
        <v>489559.20000000001</v>
      </c>
      <c r="N246" s="37">
        <v>0</v>
      </c>
      <c r="O246" s="37">
        <v>0</v>
      </c>
      <c r="P246" s="37">
        <v>0</v>
      </c>
      <c r="Q246" s="37">
        <f>'Таблица 3 '!C236</f>
        <v>489559.20000000001</v>
      </c>
      <c r="R246" s="37">
        <f t="shared" si="39"/>
        <v>489559.20000000001</v>
      </c>
      <c r="S246" s="37">
        <v>0</v>
      </c>
      <c r="T246" s="37">
        <f t="shared" si="30"/>
        <v>680.88901251738525</v>
      </c>
      <c r="U246" s="37">
        <f t="shared" si="31"/>
        <v>680.88901251738525</v>
      </c>
      <c r="V246" s="41" t="s">
        <v>45</v>
      </c>
      <c r="W246" s="60"/>
    </row>
    <row r="247" s="60" customFormat="1" ht="42.75" customHeight="1">
      <c r="A247" s="33">
        <v>5</v>
      </c>
      <c r="B247" s="50" t="s">
        <v>329</v>
      </c>
      <c r="C247" s="33" t="s">
        <v>43</v>
      </c>
      <c r="D247" s="33">
        <v>1976</v>
      </c>
      <c r="E247" s="35" t="s">
        <v>39</v>
      </c>
      <c r="F247" s="33" t="s">
        <v>77</v>
      </c>
      <c r="G247" s="36">
        <v>2</v>
      </c>
      <c r="H247" s="36">
        <v>2</v>
      </c>
      <c r="I247" s="37">
        <v>1181.5999999999999</v>
      </c>
      <c r="J247" s="37">
        <v>736.70000000000005</v>
      </c>
      <c r="K247" s="37">
        <v>695.5</v>
      </c>
      <c r="L247" s="38">
        <v>26</v>
      </c>
      <c r="M247" s="37">
        <f t="shared" si="38"/>
        <v>1086514.21</v>
      </c>
      <c r="N247" s="37">
        <v>0</v>
      </c>
      <c r="O247" s="37">
        <v>0</v>
      </c>
      <c r="P247" s="37">
        <v>0</v>
      </c>
      <c r="Q247" s="37">
        <f>'Таблица 3 '!C237</f>
        <v>1086514.21</v>
      </c>
      <c r="R247" s="37">
        <f t="shared" si="39"/>
        <v>1086514.21</v>
      </c>
      <c r="S247" s="37">
        <v>0</v>
      </c>
      <c r="T247" s="37">
        <f t="shared" si="30"/>
        <v>1474.8394326048594</v>
      </c>
      <c r="U247" s="37">
        <f t="shared" si="31"/>
        <v>1474.8394326048594</v>
      </c>
      <c r="V247" s="41" t="s">
        <v>45</v>
      </c>
      <c r="W247" s="60"/>
    </row>
    <row r="248" s="60" customFormat="1" ht="42.75" customHeight="1">
      <c r="A248" s="33">
        <v>6</v>
      </c>
      <c r="B248" s="50" t="s">
        <v>330</v>
      </c>
      <c r="C248" s="33" t="s">
        <v>43</v>
      </c>
      <c r="D248" s="33">
        <v>1974</v>
      </c>
      <c r="E248" s="35" t="s">
        <v>39</v>
      </c>
      <c r="F248" s="33" t="s">
        <v>77</v>
      </c>
      <c r="G248" s="36">
        <v>2</v>
      </c>
      <c r="H248" s="36">
        <v>2</v>
      </c>
      <c r="I248" s="37">
        <v>1551</v>
      </c>
      <c r="J248" s="37">
        <v>720.20000000000005</v>
      </c>
      <c r="K248" s="37">
        <v>720.20000000000005</v>
      </c>
      <c r="L248" s="38">
        <v>33</v>
      </c>
      <c r="M248" s="37">
        <f t="shared" si="38"/>
        <v>225060</v>
      </c>
      <c r="N248" s="37">
        <v>0</v>
      </c>
      <c r="O248" s="37">
        <v>0</v>
      </c>
      <c r="P248" s="37">
        <v>0</v>
      </c>
      <c r="Q248" s="37">
        <f>'Таблица 3 '!C238</f>
        <v>225060</v>
      </c>
      <c r="R248" s="37">
        <f t="shared" si="39"/>
        <v>225060</v>
      </c>
      <c r="S248" s="37">
        <v>0</v>
      </c>
      <c r="T248" s="37">
        <f t="shared" si="30"/>
        <v>312.4965287420161</v>
      </c>
      <c r="U248" s="37">
        <f t="shared" si="31"/>
        <v>312.4965287420161</v>
      </c>
      <c r="V248" s="41" t="s">
        <v>45</v>
      </c>
      <c r="W248" s="60"/>
    </row>
    <row r="249" s="60" customFormat="1" ht="42.75" customHeight="1">
      <c r="A249" s="33">
        <v>7</v>
      </c>
      <c r="B249" s="50" t="s">
        <v>331</v>
      </c>
      <c r="C249" s="33" t="s">
        <v>43</v>
      </c>
      <c r="D249" s="33">
        <v>1988</v>
      </c>
      <c r="E249" s="35" t="s">
        <v>39</v>
      </c>
      <c r="F249" s="33" t="s">
        <v>77</v>
      </c>
      <c r="G249" s="36">
        <v>5</v>
      </c>
      <c r="H249" s="36">
        <v>6</v>
      </c>
      <c r="I249" s="37">
        <v>4806.3000000000002</v>
      </c>
      <c r="J249" s="37">
        <v>3779.5</v>
      </c>
      <c r="K249" s="37">
        <v>3779.5</v>
      </c>
      <c r="L249" s="38">
        <v>118</v>
      </c>
      <c r="M249" s="37">
        <f t="shared" si="38"/>
        <v>3067388.0899999999</v>
      </c>
      <c r="N249" s="37">
        <v>0</v>
      </c>
      <c r="O249" s="37">
        <v>0</v>
      </c>
      <c r="P249" s="37">
        <v>0</v>
      </c>
      <c r="Q249" s="37">
        <f>'Таблица 3 '!C239</f>
        <v>3067388.0899999999</v>
      </c>
      <c r="R249" s="37">
        <f t="shared" si="39"/>
        <v>3067388.0899999999</v>
      </c>
      <c r="S249" s="37">
        <v>0</v>
      </c>
      <c r="T249" s="37">
        <f t="shared" si="30"/>
        <v>811.58568329144066</v>
      </c>
      <c r="U249" s="37">
        <f t="shared" si="31"/>
        <v>811.58568329144066</v>
      </c>
      <c r="V249" s="41" t="s">
        <v>45</v>
      </c>
      <c r="W249" s="60"/>
    </row>
    <row r="250" s="60" customFormat="1" ht="42.75" customHeight="1">
      <c r="A250" s="33">
        <v>8</v>
      </c>
      <c r="B250" s="50" t="s">
        <v>332</v>
      </c>
      <c r="C250" s="33" t="s">
        <v>43</v>
      </c>
      <c r="D250" s="33">
        <v>1986</v>
      </c>
      <c r="E250" s="35">
        <v>2024</v>
      </c>
      <c r="F250" s="33" t="s">
        <v>77</v>
      </c>
      <c r="G250" s="36">
        <v>5</v>
      </c>
      <c r="H250" s="36">
        <v>10</v>
      </c>
      <c r="I250" s="37">
        <v>8544.5</v>
      </c>
      <c r="J250" s="37">
        <v>6130.6099999999997</v>
      </c>
      <c r="K250" s="37">
        <v>5964.3100000000004</v>
      </c>
      <c r="L250" s="38">
        <v>253</v>
      </c>
      <c r="M250" s="37">
        <f t="shared" si="38"/>
        <v>27240615.620000001</v>
      </c>
      <c r="N250" s="37">
        <v>0</v>
      </c>
      <c r="O250" s="37">
        <v>0</v>
      </c>
      <c r="P250" s="37">
        <v>0</v>
      </c>
      <c r="Q250" s="37">
        <f>'Таблица 3 '!C240</f>
        <v>27240615.620000001</v>
      </c>
      <c r="R250" s="37">
        <f t="shared" si="39"/>
        <v>27240615.620000001</v>
      </c>
      <c r="S250" s="37">
        <v>0</v>
      </c>
      <c r="T250" s="37">
        <f t="shared" si="30"/>
        <v>4443.377676935901</v>
      </c>
      <c r="U250" s="37">
        <f t="shared" si="31"/>
        <v>4443.377676935901</v>
      </c>
      <c r="V250" s="41" t="s">
        <v>45</v>
      </c>
      <c r="W250" s="60"/>
    </row>
    <row r="251" s="60" customFormat="1" ht="42.75" customHeight="1">
      <c r="A251" s="33">
        <v>9</v>
      </c>
      <c r="B251" s="50" t="s">
        <v>333</v>
      </c>
      <c r="C251" s="33" t="s">
        <v>43</v>
      </c>
      <c r="D251" s="33">
        <v>1955</v>
      </c>
      <c r="E251" s="35" t="s">
        <v>39</v>
      </c>
      <c r="F251" s="33" t="s">
        <v>77</v>
      </c>
      <c r="G251" s="36">
        <v>2</v>
      </c>
      <c r="H251" s="36">
        <v>2</v>
      </c>
      <c r="I251" s="37">
        <v>472.19999999999999</v>
      </c>
      <c r="J251" s="37">
        <v>391.31</v>
      </c>
      <c r="K251" s="37">
        <v>391.31</v>
      </c>
      <c r="L251" s="38">
        <v>13</v>
      </c>
      <c r="M251" s="37">
        <f t="shared" si="38"/>
        <v>1487412.5600000001</v>
      </c>
      <c r="N251" s="37">
        <v>0</v>
      </c>
      <c r="O251" s="37">
        <v>0</v>
      </c>
      <c r="P251" s="37">
        <v>0</v>
      </c>
      <c r="Q251" s="37">
        <f>'Таблица 3 '!C241</f>
        <v>1487412.5600000001</v>
      </c>
      <c r="R251" s="37">
        <f t="shared" si="39"/>
        <v>1487412.5600000001</v>
      </c>
      <c r="S251" s="37">
        <v>0</v>
      </c>
      <c r="T251" s="37">
        <f t="shared" si="30"/>
        <v>3801.1105261812886</v>
      </c>
      <c r="U251" s="37">
        <f t="shared" si="31"/>
        <v>3801.1105261812886</v>
      </c>
      <c r="V251" s="41" t="s">
        <v>45</v>
      </c>
      <c r="W251" s="60"/>
    </row>
    <row r="252" s="60" customFormat="1" ht="42.75" customHeight="1">
      <c r="A252" s="33">
        <v>10</v>
      </c>
      <c r="B252" s="50" t="s">
        <v>334</v>
      </c>
      <c r="C252" s="33" t="s">
        <v>43</v>
      </c>
      <c r="D252" s="33">
        <v>1955</v>
      </c>
      <c r="E252" s="35" t="s">
        <v>39</v>
      </c>
      <c r="F252" s="33" t="s">
        <v>77</v>
      </c>
      <c r="G252" s="36">
        <v>2</v>
      </c>
      <c r="H252" s="36">
        <v>2</v>
      </c>
      <c r="I252" s="37">
        <v>436.69999999999999</v>
      </c>
      <c r="J252" s="37">
        <v>392.60000000000002</v>
      </c>
      <c r="K252" s="37">
        <v>392.60000000000002</v>
      </c>
      <c r="L252" s="38">
        <v>20</v>
      </c>
      <c r="M252" s="37">
        <f t="shared" si="38"/>
        <v>158648.47</v>
      </c>
      <c r="N252" s="37">
        <v>0</v>
      </c>
      <c r="O252" s="37">
        <v>0</v>
      </c>
      <c r="P252" s="37">
        <v>0</v>
      </c>
      <c r="Q252" s="37">
        <f>'Таблица 3 '!C242</f>
        <v>158648.47</v>
      </c>
      <c r="R252" s="37">
        <f t="shared" si="39"/>
        <v>158648.47</v>
      </c>
      <c r="S252" s="37">
        <v>0</v>
      </c>
      <c r="T252" s="37">
        <f t="shared" si="30"/>
        <v>404.0969689251146</v>
      </c>
      <c r="U252" s="37">
        <f t="shared" si="31"/>
        <v>404.0969689251146</v>
      </c>
      <c r="V252" s="41" t="s">
        <v>45</v>
      </c>
      <c r="W252" s="60"/>
    </row>
    <row r="253" s="60" customFormat="1" ht="42.75" customHeight="1">
      <c r="A253" s="33">
        <v>11</v>
      </c>
      <c r="B253" s="50" t="s">
        <v>335</v>
      </c>
      <c r="C253" s="33" t="s">
        <v>43</v>
      </c>
      <c r="D253" s="33">
        <v>1963</v>
      </c>
      <c r="E253" s="35" t="s">
        <v>39</v>
      </c>
      <c r="F253" s="33" t="s">
        <v>77</v>
      </c>
      <c r="G253" s="36">
        <v>2</v>
      </c>
      <c r="H253" s="36">
        <v>2</v>
      </c>
      <c r="I253" s="37">
        <v>405.77999999999997</v>
      </c>
      <c r="J253" s="37">
        <v>365.19999999999999</v>
      </c>
      <c r="K253" s="37">
        <v>321</v>
      </c>
      <c r="L253" s="38">
        <v>23</v>
      </c>
      <c r="M253" s="37">
        <f t="shared" si="38"/>
        <v>1049059.6100000001</v>
      </c>
      <c r="N253" s="37">
        <v>0</v>
      </c>
      <c r="O253" s="37">
        <v>0</v>
      </c>
      <c r="P253" s="37">
        <v>0</v>
      </c>
      <c r="Q253" s="37">
        <f>'Таблица 3 '!C243</f>
        <v>1049059.6100000001</v>
      </c>
      <c r="R253" s="37">
        <f t="shared" si="39"/>
        <v>1049059.6100000001</v>
      </c>
      <c r="S253" s="37">
        <v>0</v>
      </c>
      <c r="T253" s="37">
        <f t="shared" si="30"/>
        <v>2872.5619112814898</v>
      </c>
      <c r="U253" s="37">
        <f t="shared" si="31"/>
        <v>2872.5619112814898</v>
      </c>
      <c r="V253" s="41" t="s">
        <v>45</v>
      </c>
      <c r="W253" s="60"/>
    </row>
    <row r="254" s="60" customFormat="1" ht="42.75" customHeight="1">
      <c r="A254" s="33">
        <v>12</v>
      </c>
      <c r="B254" s="50" t="s">
        <v>336</v>
      </c>
      <c r="C254" s="33" t="s">
        <v>43</v>
      </c>
      <c r="D254" s="33">
        <v>1958</v>
      </c>
      <c r="E254" s="35" t="s">
        <v>39</v>
      </c>
      <c r="F254" s="33" t="s">
        <v>77</v>
      </c>
      <c r="G254" s="36">
        <v>2</v>
      </c>
      <c r="H254" s="36">
        <v>2</v>
      </c>
      <c r="I254" s="37">
        <v>856.29999999999995</v>
      </c>
      <c r="J254" s="37">
        <v>800.39999999999998</v>
      </c>
      <c r="K254" s="37">
        <v>800.39999999999998</v>
      </c>
      <c r="L254" s="38">
        <v>32</v>
      </c>
      <c r="M254" s="37">
        <f t="shared" si="38"/>
        <v>848569.45000000007</v>
      </c>
      <c r="N254" s="37">
        <v>0</v>
      </c>
      <c r="O254" s="37">
        <v>0</v>
      </c>
      <c r="P254" s="37">
        <v>0</v>
      </c>
      <c r="Q254" s="37">
        <f>'Таблица 3 '!C244</f>
        <v>848569.45000000007</v>
      </c>
      <c r="R254" s="37">
        <f t="shared" si="39"/>
        <v>848569.45000000007</v>
      </c>
      <c r="S254" s="37">
        <v>0</v>
      </c>
      <c r="T254" s="37">
        <f t="shared" si="30"/>
        <v>1060.1817216391805</v>
      </c>
      <c r="U254" s="37">
        <f>M254/J254</f>
        <v>1060.1817216391805</v>
      </c>
      <c r="V254" s="41" t="s">
        <v>45</v>
      </c>
      <c r="W254" s="60"/>
    </row>
    <row r="255" s="60" customFormat="1" ht="42.75" customHeight="1">
      <c r="A255" s="33">
        <v>13</v>
      </c>
      <c r="B255" s="50" t="s">
        <v>337</v>
      </c>
      <c r="C255" s="33" t="s">
        <v>43</v>
      </c>
      <c r="D255" s="33">
        <v>1955</v>
      </c>
      <c r="E255" s="35">
        <v>2024</v>
      </c>
      <c r="F255" s="33" t="s">
        <v>44</v>
      </c>
      <c r="G255" s="36">
        <v>2</v>
      </c>
      <c r="H255" s="36">
        <v>2</v>
      </c>
      <c r="I255" s="40">
        <v>440.89999999999998</v>
      </c>
      <c r="J255" s="40">
        <v>397.10000000000002</v>
      </c>
      <c r="K255" s="40">
        <v>397.10000000000002</v>
      </c>
      <c r="L255" s="48">
        <v>16</v>
      </c>
      <c r="M255" s="37">
        <f t="shared" si="38"/>
        <v>2615161.6200000001</v>
      </c>
      <c r="N255" s="37">
        <v>0</v>
      </c>
      <c r="O255" s="37">
        <v>0</v>
      </c>
      <c r="P255" s="37">
        <v>0</v>
      </c>
      <c r="Q255" s="37">
        <f>'Таблица 3 '!C245</f>
        <v>2615161.6200000001</v>
      </c>
      <c r="R255" s="37">
        <f t="shared" si="39"/>
        <v>2615161.6200000001</v>
      </c>
      <c r="S255" s="37">
        <v>0</v>
      </c>
      <c r="T255" s="37">
        <f t="shared" si="30"/>
        <v>6585.6500125912871</v>
      </c>
      <c r="U255" s="37">
        <f t="shared" si="31"/>
        <v>6585.6500125912871</v>
      </c>
      <c r="V255" s="41" t="s">
        <v>45</v>
      </c>
      <c r="W255" s="60"/>
    </row>
    <row r="256" s="60" customFormat="1" ht="42.75" customHeight="1">
      <c r="A256" s="33">
        <v>14</v>
      </c>
      <c r="B256" s="50" t="s">
        <v>338</v>
      </c>
      <c r="C256" s="33" t="s">
        <v>43</v>
      </c>
      <c r="D256" s="33">
        <v>1961</v>
      </c>
      <c r="E256" s="35" t="s">
        <v>39</v>
      </c>
      <c r="F256" s="33" t="s">
        <v>77</v>
      </c>
      <c r="G256" s="36">
        <v>2</v>
      </c>
      <c r="H256" s="36">
        <v>2</v>
      </c>
      <c r="I256" s="37">
        <v>633.5</v>
      </c>
      <c r="J256" s="37">
        <v>606.60000000000002</v>
      </c>
      <c r="K256" s="37">
        <v>606.60000000000002</v>
      </c>
      <c r="L256" s="38">
        <v>31</v>
      </c>
      <c r="M256" s="37">
        <f t="shared" si="38"/>
        <v>3831978.9500000002</v>
      </c>
      <c r="N256" s="37">
        <v>0</v>
      </c>
      <c r="O256" s="37">
        <v>0</v>
      </c>
      <c r="P256" s="37">
        <v>0</v>
      </c>
      <c r="Q256" s="37">
        <f>'Таблица 3 '!C246</f>
        <v>3831978.9500000002</v>
      </c>
      <c r="R256" s="37">
        <f t="shared" si="39"/>
        <v>3831978.9500000002</v>
      </c>
      <c r="S256" s="37">
        <v>0</v>
      </c>
      <c r="T256" s="37">
        <f t="shared" si="30"/>
        <v>6317.1430102209033</v>
      </c>
      <c r="U256" s="37">
        <f t="shared" si="31"/>
        <v>6317.1430102209033</v>
      </c>
      <c r="V256" s="41" t="s">
        <v>45</v>
      </c>
      <c r="W256" s="60"/>
    </row>
    <row r="257" s="60" customFormat="1" ht="42.75" customHeight="1">
      <c r="A257" s="33">
        <v>15</v>
      </c>
      <c r="B257" s="50" t="s">
        <v>339</v>
      </c>
      <c r="C257" s="33" t="s">
        <v>43</v>
      </c>
      <c r="D257" s="33">
        <v>1983</v>
      </c>
      <c r="E257" s="35" t="s">
        <v>39</v>
      </c>
      <c r="F257" s="33" t="s">
        <v>77</v>
      </c>
      <c r="G257" s="36">
        <v>2</v>
      </c>
      <c r="H257" s="36">
        <v>2</v>
      </c>
      <c r="I257" s="37">
        <v>807.20000000000005</v>
      </c>
      <c r="J257" s="37">
        <v>434.39999999999998</v>
      </c>
      <c r="K257" s="37">
        <v>434.39999999999998</v>
      </c>
      <c r="L257" s="38">
        <v>12</v>
      </c>
      <c r="M257" s="37">
        <f t="shared" si="38"/>
        <v>1990946.8299999998</v>
      </c>
      <c r="N257" s="37">
        <v>0</v>
      </c>
      <c r="O257" s="37">
        <v>0</v>
      </c>
      <c r="P257" s="37">
        <v>0</v>
      </c>
      <c r="Q257" s="37">
        <f>'Таблица 3 '!C247</f>
        <v>1990946.8299999998</v>
      </c>
      <c r="R257" s="37">
        <f t="shared" si="39"/>
        <v>1990946.8299999998</v>
      </c>
      <c r="S257" s="37">
        <v>0</v>
      </c>
      <c r="T257" s="37">
        <f t="shared" si="30"/>
        <v>4583.2109346224679</v>
      </c>
      <c r="U257" s="37">
        <f t="shared" si="31"/>
        <v>4583.2109346224679</v>
      </c>
      <c r="V257" s="41" t="s">
        <v>45</v>
      </c>
      <c r="W257" s="60"/>
    </row>
    <row r="258" s="60" customFormat="1" ht="42.75" customHeight="1">
      <c r="A258" s="33">
        <v>16</v>
      </c>
      <c r="B258" s="50" t="s">
        <v>340</v>
      </c>
      <c r="C258" s="33" t="s">
        <v>43</v>
      </c>
      <c r="D258" s="33">
        <v>1991</v>
      </c>
      <c r="E258" s="35">
        <v>2024</v>
      </c>
      <c r="F258" s="33" t="s">
        <v>77</v>
      </c>
      <c r="G258" s="36">
        <v>5</v>
      </c>
      <c r="H258" s="36">
        <v>8</v>
      </c>
      <c r="I258" s="37">
        <v>5246.8299999999999</v>
      </c>
      <c r="J258" s="37">
        <v>4460.5</v>
      </c>
      <c r="K258" s="37">
        <v>4343.3000000000002</v>
      </c>
      <c r="L258" s="38">
        <v>176</v>
      </c>
      <c r="M258" s="37">
        <f t="shared" si="38"/>
        <v>729786</v>
      </c>
      <c r="N258" s="37">
        <v>0</v>
      </c>
      <c r="O258" s="37">
        <v>0</v>
      </c>
      <c r="P258" s="37">
        <v>0</v>
      </c>
      <c r="Q258" s="37">
        <f>'Таблица 3 '!C248</f>
        <v>729786</v>
      </c>
      <c r="R258" s="37">
        <f t="shared" si="39"/>
        <v>729786</v>
      </c>
      <c r="S258" s="37">
        <v>0</v>
      </c>
      <c r="T258" s="37">
        <f t="shared" si="30"/>
        <v>163.61080596345701</v>
      </c>
      <c r="U258" s="37">
        <f t="shared" si="31"/>
        <v>163.61080596345701</v>
      </c>
      <c r="V258" s="41" t="s">
        <v>45</v>
      </c>
      <c r="W258" s="60"/>
    </row>
    <row r="259" s="60" customFormat="1" ht="42.75" customHeight="1">
      <c r="A259" s="33">
        <v>17</v>
      </c>
      <c r="B259" s="50" t="s">
        <v>341</v>
      </c>
      <c r="C259" s="33" t="s">
        <v>43</v>
      </c>
      <c r="D259" s="33">
        <v>1977</v>
      </c>
      <c r="E259" s="35" t="s">
        <v>39</v>
      </c>
      <c r="F259" s="33" t="s">
        <v>77</v>
      </c>
      <c r="G259" s="36">
        <v>2</v>
      </c>
      <c r="H259" s="36">
        <v>3</v>
      </c>
      <c r="I259" s="37">
        <v>885.89999999999998</v>
      </c>
      <c r="J259" s="37">
        <v>857.10000000000002</v>
      </c>
      <c r="K259" s="37">
        <v>857.10000000000002</v>
      </c>
      <c r="L259" s="38">
        <v>35</v>
      </c>
      <c r="M259" s="37">
        <f t="shared" si="38"/>
        <v>2874440.98</v>
      </c>
      <c r="N259" s="37">
        <v>0</v>
      </c>
      <c r="O259" s="37">
        <v>0</v>
      </c>
      <c r="P259" s="37">
        <v>0</v>
      </c>
      <c r="Q259" s="37">
        <f>'Таблица 3 '!C249</f>
        <v>2874440.98</v>
      </c>
      <c r="R259" s="37">
        <f t="shared" si="39"/>
        <v>2874440.98</v>
      </c>
      <c r="S259" s="37">
        <v>0</v>
      </c>
      <c r="T259" s="37">
        <f t="shared" si="30"/>
        <v>3353.6821607747052</v>
      </c>
      <c r="U259" s="37">
        <f t="shared" si="31"/>
        <v>3353.6821607747052</v>
      </c>
      <c r="V259" s="41" t="s">
        <v>45</v>
      </c>
      <c r="W259" s="60"/>
    </row>
    <row r="260" s="60" customFormat="1" ht="42.75" customHeight="1">
      <c r="A260" s="33">
        <v>18</v>
      </c>
      <c r="B260" s="50" t="s">
        <v>342</v>
      </c>
      <c r="C260" s="33" t="s">
        <v>43</v>
      </c>
      <c r="D260" s="33">
        <v>1953</v>
      </c>
      <c r="E260" s="35" t="s">
        <v>39</v>
      </c>
      <c r="F260" s="33" t="s">
        <v>77</v>
      </c>
      <c r="G260" s="36">
        <v>2</v>
      </c>
      <c r="H260" s="36">
        <v>2</v>
      </c>
      <c r="I260" s="68">
        <v>856.70000000000005</v>
      </c>
      <c r="J260" s="68">
        <v>856.70000000000005</v>
      </c>
      <c r="K260" s="68">
        <v>856.70000000000005</v>
      </c>
      <c r="L260" s="68">
        <v>39</v>
      </c>
      <c r="M260" s="37">
        <f t="shared" si="38"/>
        <v>5990583.5</v>
      </c>
      <c r="N260" s="37">
        <v>0</v>
      </c>
      <c r="O260" s="37">
        <v>0</v>
      </c>
      <c r="P260" s="37">
        <v>0</v>
      </c>
      <c r="Q260" s="37">
        <f>'Таблица 3 '!C250</f>
        <v>5990583.5</v>
      </c>
      <c r="R260" s="37">
        <f t="shared" si="39"/>
        <v>5990583.5</v>
      </c>
      <c r="S260" s="37">
        <v>0</v>
      </c>
      <c r="T260" s="37">
        <f t="shared" si="30"/>
        <v>6992.6269405859694</v>
      </c>
      <c r="U260" s="37">
        <f t="shared" si="31"/>
        <v>6992.6269405859694</v>
      </c>
      <c r="V260" s="41" t="s">
        <v>45</v>
      </c>
      <c r="W260" s="60"/>
    </row>
    <row r="261" s="60" customFormat="1" ht="42.75" customHeight="1">
      <c r="A261" s="33">
        <v>19</v>
      </c>
      <c r="B261" s="50" t="s">
        <v>343</v>
      </c>
      <c r="C261" s="33" t="s">
        <v>43</v>
      </c>
      <c r="D261" s="33">
        <v>1961</v>
      </c>
      <c r="E261" s="35" t="s">
        <v>39</v>
      </c>
      <c r="F261" s="33" t="s">
        <v>77</v>
      </c>
      <c r="G261" s="36">
        <v>2</v>
      </c>
      <c r="H261" s="36">
        <v>2</v>
      </c>
      <c r="I261" s="37">
        <v>669.88</v>
      </c>
      <c r="J261" s="37">
        <v>636.58000000000004</v>
      </c>
      <c r="K261" s="37">
        <v>636.58000000000004</v>
      </c>
      <c r="L261" s="38">
        <v>36</v>
      </c>
      <c r="M261" s="37">
        <f t="shared" si="38"/>
        <v>5229109.0899999999</v>
      </c>
      <c r="N261" s="37">
        <v>0</v>
      </c>
      <c r="O261" s="37">
        <v>0</v>
      </c>
      <c r="P261" s="37">
        <v>0</v>
      </c>
      <c r="Q261" s="37">
        <f>'Таблица 3 '!C251</f>
        <v>5229109.0899999999</v>
      </c>
      <c r="R261" s="37">
        <f t="shared" si="39"/>
        <v>5229109.0899999999</v>
      </c>
      <c r="S261" s="37">
        <v>0</v>
      </c>
      <c r="T261" s="37">
        <f t="shared" si="30"/>
        <v>8214.378538439787</v>
      </c>
      <c r="U261" s="37">
        <f t="shared" si="31"/>
        <v>8214.378538439787</v>
      </c>
      <c r="V261" s="41" t="s">
        <v>45</v>
      </c>
      <c r="W261" s="60"/>
    </row>
    <row r="262" s="60" customFormat="1" ht="42.75" customHeight="1">
      <c r="A262" s="33">
        <v>20</v>
      </c>
      <c r="B262" s="50" t="s">
        <v>344</v>
      </c>
      <c r="C262" s="69" t="s">
        <v>43</v>
      </c>
      <c r="D262" s="33">
        <v>1963</v>
      </c>
      <c r="E262" s="35" t="s">
        <v>39</v>
      </c>
      <c r="F262" s="33" t="s">
        <v>77</v>
      </c>
      <c r="G262" s="36">
        <v>2</v>
      </c>
      <c r="H262" s="36">
        <v>2</v>
      </c>
      <c r="I262" s="37">
        <v>715.48000000000002</v>
      </c>
      <c r="J262" s="37">
        <v>636.94000000000005</v>
      </c>
      <c r="K262" s="37">
        <v>636.94000000000005</v>
      </c>
      <c r="L262" s="38">
        <v>31</v>
      </c>
      <c r="M262" s="37">
        <f t="shared" si="38"/>
        <v>329641.20000000001</v>
      </c>
      <c r="N262" s="37">
        <v>0</v>
      </c>
      <c r="O262" s="37">
        <v>0</v>
      </c>
      <c r="P262" s="37">
        <v>0</v>
      </c>
      <c r="Q262" s="37">
        <f>'Таблица 3 '!C252</f>
        <v>329641.20000000001</v>
      </c>
      <c r="R262" s="37">
        <f t="shared" si="39"/>
        <v>329641.20000000001</v>
      </c>
      <c r="S262" s="37">
        <v>0</v>
      </c>
      <c r="T262" s="37">
        <f t="shared" si="30"/>
        <v>517.53885766320218</v>
      </c>
      <c r="U262" s="37">
        <f t="shared" si="31"/>
        <v>517.53885766320218</v>
      </c>
      <c r="V262" s="41" t="s">
        <v>45</v>
      </c>
      <c r="W262" s="60"/>
    </row>
    <row r="263" s="60" customFormat="1" ht="42.75" customHeight="1">
      <c r="A263" s="33">
        <v>21</v>
      </c>
      <c r="B263" s="50" t="s">
        <v>345</v>
      </c>
      <c r="C263" s="33" t="s">
        <v>43</v>
      </c>
      <c r="D263" s="33">
        <v>1997</v>
      </c>
      <c r="E263" s="35">
        <v>2019</v>
      </c>
      <c r="F263" s="33" t="s">
        <v>77</v>
      </c>
      <c r="G263" s="36">
        <v>5</v>
      </c>
      <c r="H263" s="36">
        <v>5</v>
      </c>
      <c r="I263" s="37">
        <v>6432.8000000000002</v>
      </c>
      <c r="J263" s="37">
        <v>6008.6999999999998</v>
      </c>
      <c r="K263" s="37">
        <v>5806.6999999999998</v>
      </c>
      <c r="L263" s="38">
        <v>263</v>
      </c>
      <c r="M263" s="39">
        <f t="shared" si="38"/>
        <v>432691.16000000003</v>
      </c>
      <c r="N263" s="37">
        <v>0</v>
      </c>
      <c r="O263" s="37">
        <v>0</v>
      </c>
      <c r="P263" s="37">
        <v>0</v>
      </c>
      <c r="Q263" s="37">
        <f>'Таблица 3 '!C253</f>
        <v>432691.16000000003</v>
      </c>
      <c r="R263" s="37">
        <f t="shared" si="39"/>
        <v>432691.16000000003</v>
      </c>
      <c r="S263" s="37">
        <v>0</v>
      </c>
      <c r="T263" s="37">
        <f t="shared" si="30"/>
        <v>72.010777705660132</v>
      </c>
      <c r="U263" s="37">
        <f>M263/J263</f>
        <v>72.010777705660132</v>
      </c>
      <c r="V263" s="41" t="s">
        <v>45</v>
      </c>
      <c r="W263" s="60"/>
    </row>
    <row r="264" s="60" customFormat="1" ht="42.75" customHeight="1">
      <c r="A264" s="33">
        <v>22</v>
      </c>
      <c r="B264" s="50" t="s">
        <v>346</v>
      </c>
      <c r="C264" s="69" t="s">
        <v>43</v>
      </c>
      <c r="D264" s="33">
        <v>1968</v>
      </c>
      <c r="E264" s="35" t="s">
        <v>40</v>
      </c>
      <c r="F264" s="33" t="s">
        <v>77</v>
      </c>
      <c r="G264" s="36">
        <v>2</v>
      </c>
      <c r="H264" s="36">
        <v>2</v>
      </c>
      <c r="I264" s="40">
        <v>680.60000000000002</v>
      </c>
      <c r="J264" s="40">
        <v>637.60000000000002</v>
      </c>
      <c r="K264" s="40">
        <v>339.10000000000002</v>
      </c>
      <c r="L264" s="48">
        <v>22</v>
      </c>
      <c r="M264" s="37">
        <f t="shared" si="38"/>
        <v>1959657.96</v>
      </c>
      <c r="N264" s="37">
        <v>0</v>
      </c>
      <c r="O264" s="37">
        <v>0</v>
      </c>
      <c r="P264" s="37">
        <v>0</v>
      </c>
      <c r="Q264" s="37">
        <f>'Таблица 3 '!C254</f>
        <v>1959657.96</v>
      </c>
      <c r="R264" s="37">
        <f t="shared" si="39"/>
        <v>1959657.96</v>
      </c>
      <c r="S264" s="37">
        <v>0</v>
      </c>
      <c r="T264" s="37">
        <f t="shared" si="30"/>
        <v>3073.4911543287326</v>
      </c>
      <c r="U264" s="37">
        <f t="shared" si="31"/>
        <v>3073.4911543287326</v>
      </c>
      <c r="V264" s="41" t="s">
        <v>45</v>
      </c>
      <c r="W264" s="60"/>
    </row>
    <row r="265" s="60" customFormat="1" ht="42.75" customHeight="1">
      <c r="A265" s="33">
        <v>23</v>
      </c>
      <c r="B265" s="52" t="s">
        <v>347</v>
      </c>
      <c r="C265" s="69" t="s">
        <v>43</v>
      </c>
      <c r="D265" s="33">
        <v>1980</v>
      </c>
      <c r="E265" s="35" t="s">
        <v>39</v>
      </c>
      <c r="F265" s="33" t="s">
        <v>77</v>
      </c>
      <c r="G265" s="36">
        <v>3</v>
      </c>
      <c r="H265" s="36">
        <v>3</v>
      </c>
      <c r="I265" s="37">
        <v>1144.5</v>
      </c>
      <c r="J265" s="37">
        <v>1043.8</v>
      </c>
      <c r="K265" s="37">
        <v>987.39999999999998</v>
      </c>
      <c r="L265" s="38">
        <v>60</v>
      </c>
      <c r="M265" s="37">
        <f t="shared" si="38"/>
        <v>1595848.3200000001</v>
      </c>
      <c r="N265" s="37">
        <v>0</v>
      </c>
      <c r="O265" s="37">
        <v>0</v>
      </c>
      <c r="P265" s="37">
        <v>0</v>
      </c>
      <c r="Q265" s="37">
        <f>'Таблица 3 '!C255</f>
        <v>1595848.3200000001</v>
      </c>
      <c r="R265" s="37">
        <f t="shared" si="39"/>
        <v>1595848.3200000001</v>
      </c>
      <c r="S265" s="37">
        <v>0</v>
      </c>
      <c r="T265" s="37">
        <f t="shared" si="30"/>
        <v>1528.8832343360798</v>
      </c>
      <c r="U265" s="37">
        <f t="shared" si="31"/>
        <v>1528.8832343360798</v>
      </c>
      <c r="V265" s="41" t="s">
        <v>45</v>
      </c>
      <c r="W265" s="60"/>
    </row>
    <row r="266" s="60" customFormat="1" ht="24.600000000000001" customHeight="1">
      <c r="A266" s="25" t="s">
        <v>348</v>
      </c>
      <c r="B266" s="25"/>
      <c r="C266" s="26" t="s">
        <v>39</v>
      </c>
      <c r="D266" s="26" t="s">
        <v>39</v>
      </c>
      <c r="E266" s="27" t="s">
        <v>39</v>
      </c>
      <c r="F266" s="26" t="s">
        <v>39</v>
      </c>
      <c r="G266" s="28" t="s">
        <v>39</v>
      </c>
      <c r="H266" s="28" t="s">
        <v>39</v>
      </c>
      <c r="I266" s="70">
        <f>I267</f>
        <v>555.10000000000002</v>
      </c>
      <c r="J266" s="70">
        <f>J267</f>
        <v>498</v>
      </c>
      <c r="K266" s="70">
        <f>K267</f>
        <v>498</v>
      </c>
      <c r="L266" s="71">
        <f>L267</f>
        <v>24</v>
      </c>
      <c r="M266" s="70">
        <f>M267</f>
        <v>200729.89999999999</v>
      </c>
      <c r="N266" s="70">
        <f>N267</f>
        <v>0</v>
      </c>
      <c r="O266" s="70">
        <f>O267</f>
        <v>0</v>
      </c>
      <c r="P266" s="70">
        <f>P267</f>
        <v>0</v>
      </c>
      <c r="Q266" s="70">
        <f>Q267</f>
        <v>200729.89999999999</v>
      </c>
      <c r="R266" s="70">
        <f>R267</f>
        <v>200729.89999999999</v>
      </c>
      <c r="S266" s="70">
        <f>S267</f>
        <v>0</v>
      </c>
      <c r="T266" s="32" t="s">
        <v>39</v>
      </c>
      <c r="U266" s="32" t="s">
        <v>39</v>
      </c>
      <c r="V266" s="63" t="s">
        <v>39</v>
      </c>
      <c r="W266" s="60"/>
    </row>
    <row r="267" s="60" customFormat="1" ht="42" customHeight="1">
      <c r="A267" s="33">
        <v>1</v>
      </c>
      <c r="B267" s="50" t="s">
        <v>349</v>
      </c>
      <c r="C267" s="33" t="s">
        <v>43</v>
      </c>
      <c r="D267" s="33">
        <v>1975</v>
      </c>
      <c r="E267" s="35" t="s">
        <v>40</v>
      </c>
      <c r="F267" s="33" t="s">
        <v>44</v>
      </c>
      <c r="G267" s="36">
        <v>2</v>
      </c>
      <c r="H267" s="36">
        <v>2</v>
      </c>
      <c r="I267" s="40">
        <v>555.10000000000002</v>
      </c>
      <c r="J267" s="40">
        <v>498</v>
      </c>
      <c r="K267" s="40">
        <v>498</v>
      </c>
      <c r="L267" s="48">
        <v>24</v>
      </c>
      <c r="M267" s="39">
        <f>SUM(N267:Q267)</f>
        <v>200729.89999999999</v>
      </c>
      <c r="N267" s="37">
        <v>0</v>
      </c>
      <c r="O267" s="37">
        <v>0</v>
      </c>
      <c r="P267" s="37">
        <v>0</v>
      </c>
      <c r="Q267" s="39">
        <f>'Таблица 3 '!C257</f>
        <v>200729.89999999999</v>
      </c>
      <c r="R267" s="37">
        <f>Q267</f>
        <v>200729.89999999999</v>
      </c>
      <c r="S267" s="37">
        <v>0</v>
      </c>
      <c r="T267" s="37">
        <f t="shared" si="30"/>
        <v>403.07208835341362</v>
      </c>
      <c r="U267" s="37">
        <f t="shared" si="31"/>
        <v>403.07208835341362</v>
      </c>
      <c r="V267" s="72" t="s">
        <v>45</v>
      </c>
      <c r="W267" s="60"/>
    </row>
    <row r="268" s="31" customFormat="1" ht="28.5" customHeight="1">
      <c r="A268" s="25" t="s">
        <v>350</v>
      </c>
      <c r="B268" s="25"/>
      <c r="C268" s="28" t="s">
        <v>40</v>
      </c>
      <c r="D268" s="28" t="s">
        <v>40</v>
      </c>
      <c r="E268" s="66" t="s">
        <v>40</v>
      </c>
      <c r="F268" s="28" t="s">
        <v>40</v>
      </c>
      <c r="G268" s="28" t="s">
        <v>40</v>
      </c>
      <c r="H268" s="28" t="s">
        <v>40</v>
      </c>
      <c r="I268" s="70">
        <f>SUM(I269:I275)</f>
        <v>14777.299999999999</v>
      </c>
      <c r="J268" s="70">
        <f>SUM(J269:J275)</f>
        <v>13149.600000000002</v>
      </c>
      <c r="K268" s="70">
        <f>SUM(K269:K275)</f>
        <v>10609</v>
      </c>
      <c r="L268" s="71">
        <f>SUM(L269:L275)</f>
        <v>414</v>
      </c>
      <c r="M268" s="70">
        <f>SUM(M269:M275)</f>
        <v>15274966.289999999</v>
      </c>
      <c r="N268" s="70">
        <f>SUM(N269:N275)</f>
        <v>0</v>
      </c>
      <c r="O268" s="70">
        <f>SUM(O269:O275)</f>
        <v>0</v>
      </c>
      <c r="P268" s="70">
        <f>SUM(P269:P275)</f>
        <v>0</v>
      </c>
      <c r="Q268" s="70">
        <f>SUM(Q269:Q275)</f>
        <v>15274966.289999999</v>
      </c>
      <c r="R268" s="70">
        <f>SUM(R269:R275)</f>
        <v>15274966.289999999</v>
      </c>
      <c r="S268" s="70">
        <f>SUM(S269:S275)</f>
        <v>0</v>
      </c>
      <c r="T268" s="32" t="s">
        <v>40</v>
      </c>
      <c r="U268" s="32" t="s">
        <v>40</v>
      </c>
      <c r="V268" s="28" t="s">
        <v>40</v>
      </c>
      <c r="W268" s="31"/>
    </row>
    <row r="269" s="31" customFormat="1" ht="42.75" customHeight="1">
      <c r="A269" s="33">
        <v>1</v>
      </c>
      <c r="B269" s="73" t="s">
        <v>351</v>
      </c>
      <c r="C269" s="33" t="s">
        <v>43</v>
      </c>
      <c r="D269" s="67">
        <v>1987</v>
      </c>
      <c r="E269" s="67" t="s">
        <v>352</v>
      </c>
      <c r="F269" s="33" t="s">
        <v>77</v>
      </c>
      <c r="G269" s="36">
        <v>3</v>
      </c>
      <c r="H269" s="36">
        <v>1</v>
      </c>
      <c r="I269" s="37">
        <v>557</v>
      </c>
      <c r="J269" s="37">
        <v>495.39999999999998</v>
      </c>
      <c r="K269" s="37">
        <v>495.39999999999998</v>
      </c>
      <c r="L269" s="38">
        <v>11</v>
      </c>
      <c r="M269" s="39">
        <f t="shared" ref="M269:M275" si="40">SUM(N269:Q269)</f>
        <v>1995495.6499999999</v>
      </c>
      <c r="N269" s="39">
        <v>0</v>
      </c>
      <c r="O269" s="39">
        <v>0</v>
      </c>
      <c r="P269" s="39">
        <v>0</v>
      </c>
      <c r="Q269" s="39">
        <f>'Таблица 3 '!C259</f>
        <v>1995495.6499999999</v>
      </c>
      <c r="R269" s="37">
        <f t="shared" ref="R269:R275" si="41">Q269</f>
        <v>1995495.6499999999</v>
      </c>
      <c r="S269" s="37">
        <v>0</v>
      </c>
      <c r="T269" s="37">
        <f t="shared" si="30"/>
        <v>4028.0493540573275</v>
      </c>
      <c r="U269" s="37">
        <f t="shared" si="31"/>
        <v>4028.0493540573275</v>
      </c>
      <c r="V269" s="41" t="s">
        <v>45</v>
      </c>
      <c r="W269" s="31"/>
    </row>
    <row r="270" s="60" customFormat="1" ht="42.75">
      <c r="A270" s="36">
        <v>2</v>
      </c>
      <c r="B270" s="73" t="s">
        <v>353</v>
      </c>
      <c r="C270" s="33" t="s">
        <v>43</v>
      </c>
      <c r="D270" s="36">
        <v>1994</v>
      </c>
      <c r="E270" s="67">
        <v>2023</v>
      </c>
      <c r="F270" s="33" t="s">
        <v>77</v>
      </c>
      <c r="G270" s="36">
        <v>5</v>
      </c>
      <c r="H270" s="36">
        <v>6</v>
      </c>
      <c r="I270" s="37">
        <v>4739</v>
      </c>
      <c r="J270" s="37">
        <v>4196.1999999999998</v>
      </c>
      <c r="K270" s="37">
        <v>4027.3000000000002</v>
      </c>
      <c r="L270" s="38">
        <v>152</v>
      </c>
      <c r="M270" s="39">
        <f t="shared" si="40"/>
        <v>4677443.6699999999</v>
      </c>
      <c r="N270" s="39">
        <v>0</v>
      </c>
      <c r="O270" s="39">
        <v>0</v>
      </c>
      <c r="P270" s="39">
        <v>0</v>
      </c>
      <c r="Q270" s="39">
        <f>'Таблица 3 '!C260</f>
        <v>4677443.6699999999</v>
      </c>
      <c r="R270" s="37">
        <f t="shared" si="41"/>
        <v>4677443.6699999999</v>
      </c>
      <c r="S270" s="37">
        <v>0</v>
      </c>
      <c r="T270" s="37">
        <f t="shared" si="30"/>
        <v>1114.6855893427387</v>
      </c>
      <c r="U270" s="37">
        <f t="shared" si="31"/>
        <v>1114.6855893427387</v>
      </c>
      <c r="V270" s="41" t="s">
        <v>45</v>
      </c>
      <c r="W270" s="60"/>
    </row>
    <row r="271" s="60" customFormat="1" ht="42.75">
      <c r="A271" s="33">
        <v>3</v>
      </c>
      <c r="B271" s="74" t="s">
        <v>354</v>
      </c>
      <c r="C271" s="33" t="s">
        <v>43</v>
      </c>
      <c r="D271" s="67">
        <v>1977</v>
      </c>
      <c r="E271" s="67">
        <v>2025</v>
      </c>
      <c r="F271" s="33" t="s">
        <v>77</v>
      </c>
      <c r="G271" s="36">
        <v>2</v>
      </c>
      <c r="H271" s="36">
        <v>2</v>
      </c>
      <c r="I271" s="37">
        <v>792.5</v>
      </c>
      <c r="J271" s="37">
        <v>727.5</v>
      </c>
      <c r="K271" s="37">
        <v>727.5</v>
      </c>
      <c r="L271" s="38">
        <v>26</v>
      </c>
      <c r="M271" s="39">
        <f t="shared" si="40"/>
        <v>685344</v>
      </c>
      <c r="N271" s="39">
        <v>0</v>
      </c>
      <c r="O271" s="39">
        <v>0</v>
      </c>
      <c r="P271" s="39">
        <v>0</v>
      </c>
      <c r="Q271" s="39">
        <f>'Таблица 3 '!C261</f>
        <v>685344</v>
      </c>
      <c r="R271" s="37">
        <f t="shared" si="41"/>
        <v>685344</v>
      </c>
      <c r="S271" s="37">
        <v>0</v>
      </c>
      <c r="T271" s="37">
        <f t="shared" si="30"/>
        <v>942.05360824742263</v>
      </c>
      <c r="U271" s="37">
        <f t="shared" si="31"/>
        <v>942.05360824742263</v>
      </c>
      <c r="V271" s="41" t="s">
        <v>45</v>
      </c>
      <c r="W271" s="60"/>
    </row>
    <row r="272" s="60" customFormat="1" ht="42.75">
      <c r="A272" s="33">
        <v>4</v>
      </c>
      <c r="B272" s="73" t="s">
        <v>355</v>
      </c>
      <c r="C272" s="33" t="s">
        <v>43</v>
      </c>
      <c r="D272" s="36">
        <v>1974</v>
      </c>
      <c r="E272" s="67" t="s">
        <v>40</v>
      </c>
      <c r="F272" s="33" t="s">
        <v>77</v>
      </c>
      <c r="G272" s="36">
        <v>2</v>
      </c>
      <c r="H272" s="36">
        <v>2</v>
      </c>
      <c r="I272" s="37">
        <v>782</v>
      </c>
      <c r="J272" s="37">
        <v>726.29999999999995</v>
      </c>
      <c r="K272" s="37">
        <v>685.79999999999995</v>
      </c>
      <c r="L272" s="38">
        <v>29</v>
      </c>
      <c r="M272" s="39">
        <f t="shared" si="40"/>
        <v>198195.53</v>
      </c>
      <c r="N272" s="39">
        <v>0</v>
      </c>
      <c r="O272" s="39">
        <v>0</v>
      </c>
      <c r="P272" s="39">
        <v>0</v>
      </c>
      <c r="Q272" s="39">
        <f>'Таблица 3 '!C262</f>
        <v>198195.53</v>
      </c>
      <c r="R272" s="37">
        <f t="shared" si="41"/>
        <v>198195.53</v>
      </c>
      <c r="S272" s="37">
        <v>0</v>
      </c>
      <c r="T272" s="37">
        <f t="shared" si="30"/>
        <v>272.88383588049015</v>
      </c>
      <c r="U272" s="37">
        <f t="shared" si="31"/>
        <v>272.88383588049015</v>
      </c>
      <c r="V272" s="41" t="s">
        <v>45</v>
      </c>
      <c r="W272" s="60"/>
    </row>
    <row r="273" s="60" customFormat="1" ht="42.75">
      <c r="A273" s="36">
        <v>5</v>
      </c>
      <c r="B273" s="73" t="s">
        <v>356</v>
      </c>
      <c r="C273" s="33" t="s">
        <v>43</v>
      </c>
      <c r="D273" s="36">
        <v>1995</v>
      </c>
      <c r="E273" s="67">
        <v>2023</v>
      </c>
      <c r="F273" s="33" t="s">
        <v>77</v>
      </c>
      <c r="G273" s="36">
        <v>5</v>
      </c>
      <c r="H273" s="36">
        <v>5</v>
      </c>
      <c r="I273" s="37">
        <v>4227.6000000000004</v>
      </c>
      <c r="J273" s="37">
        <v>4294.3000000000002</v>
      </c>
      <c r="K273" s="37">
        <v>3422.0999999999999</v>
      </c>
      <c r="L273" s="38">
        <v>135</v>
      </c>
      <c r="M273" s="39">
        <f t="shared" si="40"/>
        <v>4176292.0800000001</v>
      </c>
      <c r="N273" s="39">
        <v>0</v>
      </c>
      <c r="O273" s="39">
        <v>0</v>
      </c>
      <c r="P273" s="39">
        <v>0</v>
      </c>
      <c r="Q273" s="39">
        <f>'Таблица 3 '!C263</f>
        <v>4176292.0800000001</v>
      </c>
      <c r="R273" s="37">
        <f t="shared" si="41"/>
        <v>4176292.0800000001</v>
      </c>
      <c r="S273" s="37">
        <v>0</v>
      </c>
      <c r="T273" s="37">
        <f t="shared" si="30"/>
        <v>972.51987052604613</v>
      </c>
      <c r="U273" s="37">
        <f t="shared" si="31"/>
        <v>972.51987052604613</v>
      </c>
      <c r="V273" s="41" t="s">
        <v>45</v>
      </c>
      <c r="W273" s="60"/>
    </row>
    <row r="274" s="60" customFormat="1" ht="42.75">
      <c r="A274" s="33">
        <v>6</v>
      </c>
      <c r="B274" s="73" t="s">
        <v>357</v>
      </c>
      <c r="C274" s="33" t="s">
        <v>43</v>
      </c>
      <c r="D274" s="36">
        <v>1987</v>
      </c>
      <c r="E274" s="67">
        <v>2025</v>
      </c>
      <c r="F274" s="33" t="s">
        <v>77</v>
      </c>
      <c r="G274" s="36">
        <v>5</v>
      </c>
      <c r="H274" s="36">
        <v>5</v>
      </c>
      <c r="I274" s="37">
        <v>1843.9000000000001</v>
      </c>
      <c r="J274" s="37">
        <v>1363.2</v>
      </c>
      <c r="K274" s="37">
        <v>1218.4000000000001</v>
      </c>
      <c r="L274" s="38">
        <v>31</v>
      </c>
      <c r="M274" s="39">
        <f t="shared" si="40"/>
        <v>1374617.8799999999</v>
      </c>
      <c r="N274" s="39">
        <v>0</v>
      </c>
      <c r="O274" s="39">
        <v>0</v>
      </c>
      <c r="P274" s="39">
        <v>0</v>
      </c>
      <c r="Q274" s="39">
        <f>'Таблица 3 '!C264</f>
        <v>1374617.8799999999</v>
      </c>
      <c r="R274" s="37">
        <f t="shared" si="41"/>
        <v>1374617.8799999999</v>
      </c>
      <c r="S274" s="37">
        <v>0</v>
      </c>
      <c r="T274" s="37">
        <f t="shared" si="30"/>
        <v>1008.375792253521</v>
      </c>
      <c r="U274" s="37">
        <f t="shared" si="31"/>
        <v>1008.375792253521</v>
      </c>
      <c r="V274" s="41" t="s">
        <v>45</v>
      </c>
      <c r="W274" s="60"/>
    </row>
    <row r="275" s="60" customFormat="1" ht="42.75">
      <c r="A275" s="33">
        <v>7</v>
      </c>
      <c r="B275" s="74" t="s">
        <v>358</v>
      </c>
      <c r="C275" s="33" t="s">
        <v>43</v>
      </c>
      <c r="D275" s="67">
        <v>1994</v>
      </c>
      <c r="E275" s="67">
        <v>2021</v>
      </c>
      <c r="F275" s="33" t="s">
        <v>77</v>
      </c>
      <c r="G275" s="36">
        <v>5</v>
      </c>
      <c r="H275" s="36">
        <v>2</v>
      </c>
      <c r="I275" s="37">
        <v>1835.3</v>
      </c>
      <c r="J275" s="37">
        <v>1346.7</v>
      </c>
      <c r="K275" s="37">
        <v>32.5</v>
      </c>
      <c r="L275" s="38">
        <v>30</v>
      </c>
      <c r="M275" s="39">
        <f t="shared" si="40"/>
        <v>2167577.48</v>
      </c>
      <c r="N275" s="39">
        <v>0</v>
      </c>
      <c r="O275" s="39">
        <v>0</v>
      </c>
      <c r="P275" s="39">
        <v>0</v>
      </c>
      <c r="Q275" s="39">
        <f>'Таблица 3 '!C265</f>
        <v>2167577.48</v>
      </c>
      <c r="R275" s="37">
        <f t="shared" si="41"/>
        <v>2167577.48</v>
      </c>
      <c r="S275" s="37">
        <v>0</v>
      </c>
      <c r="T275" s="37">
        <f t="shared" si="30"/>
        <v>1609.5473973416499</v>
      </c>
      <c r="U275" s="37">
        <f t="shared" si="31"/>
        <v>1609.5473973416499</v>
      </c>
      <c r="V275" s="41" t="s">
        <v>45</v>
      </c>
      <c r="W275" s="60"/>
    </row>
    <row r="276" s="31" customFormat="1" ht="27.600000000000001" customHeight="1">
      <c r="A276" s="25" t="s">
        <v>359</v>
      </c>
      <c r="B276" s="25"/>
      <c r="C276" s="28" t="s">
        <v>39</v>
      </c>
      <c r="D276" s="28" t="s">
        <v>39</v>
      </c>
      <c r="E276" s="66" t="s">
        <v>39</v>
      </c>
      <c r="F276" s="28" t="s">
        <v>39</v>
      </c>
      <c r="G276" s="28" t="s">
        <v>39</v>
      </c>
      <c r="H276" s="28" t="s">
        <v>39</v>
      </c>
      <c r="I276" s="64">
        <f>SUM(I277:I278)</f>
        <v>5936.5</v>
      </c>
      <c r="J276" s="64">
        <f>SUM(J277:J278)</f>
        <v>5114.6000000000004</v>
      </c>
      <c r="K276" s="64">
        <f>SUM(K277:K278)</f>
        <v>4944.1999999999998</v>
      </c>
      <c r="L276" s="65">
        <f>SUM(L277:L278)</f>
        <v>224</v>
      </c>
      <c r="M276" s="64">
        <f>SUM(M277:M278)</f>
        <v>1025320.6000000001</v>
      </c>
      <c r="N276" s="64">
        <f>SUM(N277:N278)</f>
        <v>0</v>
      </c>
      <c r="O276" s="64">
        <f>SUM(O277:O278)</f>
        <v>0</v>
      </c>
      <c r="P276" s="64">
        <f>SUM(P277:P278)</f>
        <v>0</v>
      </c>
      <c r="Q276" s="64">
        <f>SUM(Q277:Q278)</f>
        <v>1025320.6000000001</v>
      </c>
      <c r="R276" s="64">
        <f>SUM(R277:R278)</f>
        <v>1025320.6000000001</v>
      </c>
      <c r="S276" s="64">
        <f>SUM(S277:S278)</f>
        <v>0</v>
      </c>
      <c r="T276" s="32" t="s">
        <v>39</v>
      </c>
      <c r="U276" s="32" t="s">
        <v>39</v>
      </c>
      <c r="V276" s="28" t="s">
        <v>39</v>
      </c>
      <c r="W276" s="31"/>
    </row>
    <row r="277" s="60" customFormat="1" ht="42" customHeight="1">
      <c r="A277" s="33">
        <v>1</v>
      </c>
      <c r="B277" s="75" t="s">
        <v>360</v>
      </c>
      <c r="C277" s="33" t="s">
        <v>43</v>
      </c>
      <c r="D277" s="33">
        <v>1989</v>
      </c>
      <c r="E277" s="35" t="s">
        <v>40</v>
      </c>
      <c r="F277" s="33" t="s">
        <v>48</v>
      </c>
      <c r="G277" s="36">
        <v>5</v>
      </c>
      <c r="H277" s="36">
        <v>3</v>
      </c>
      <c r="I277" s="37">
        <v>3689</v>
      </c>
      <c r="J277" s="37">
        <v>3331.5</v>
      </c>
      <c r="K277" s="37">
        <v>3308</v>
      </c>
      <c r="L277" s="38">
        <v>105</v>
      </c>
      <c r="M277" s="37">
        <f t="shared" ref="M277:M278" si="42">SUM(N277:Q277)</f>
        <v>454128.08000000002</v>
      </c>
      <c r="N277" s="37">
        <v>0</v>
      </c>
      <c r="O277" s="37">
        <v>0</v>
      </c>
      <c r="P277" s="37">
        <v>0</v>
      </c>
      <c r="Q277" s="37">
        <f>'Таблица 3 '!C267</f>
        <v>454128.08000000002</v>
      </c>
      <c r="R277" s="37">
        <f t="shared" ref="R277:R278" si="43">Q277</f>
        <v>454128.08000000002</v>
      </c>
      <c r="S277" s="37">
        <v>0</v>
      </c>
      <c r="T277" s="37">
        <f t="shared" ref="T277:T340" si="44">M277/J277</f>
        <v>136.3133963680024</v>
      </c>
      <c r="U277" s="37">
        <f t="shared" ref="U277:U340" si="45">T277</f>
        <v>136.3133963680024</v>
      </c>
      <c r="V277" s="41" t="s">
        <v>45</v>
      </c>
      <c r="W277" s="60"/>
    </row>
    <row r="278" s="60" customFormat="1" ht="42" customHeight="1">
      <c r="A278" s="33">
        <v>2</v>
      </c>
      <c r="B278" s="75" t="s">
        <v>361</v>
      </c>
      <c r="C278" s="33" t="s">
        <v>43</v>
      </c>
      <c r="D278" s="33">
        <v>1990</v>
      </c>
      <c r="E278" s="35" t="s">
        <v>39</v>
      </c>
      <c r="F278" s="33" t="s">
        <v>48</v>
      </c>
      <c r="G278" s="36">
        <v>4</v>
      </c>
      <c r="H278" s="36">
        <v>4</v>
      </c>
      <c r="I278" s="37">
        <v>2247.5</v>
      </c>
      <c r="J278" s="37">
        <v>1783.0999999999999</v>
      </c>
      <c r="K278" s="37">
        <v>1636.2</v>
      </c>
      <c r="L278" s="38">
        <v>119</v>
      </c>
      <c r="M278" s="37">
        <f t="shared" si="42"/>
        <v>571192.52000000002</v>
      </c>
      <c r="N278" s="37">
        <v>0</v>
      </c>
      <c r="O278" s="37">
        <v>0</v>
      </c>
      <c r="P278" s="37">
        <v>0</v>
      </c>
      <c r="Q278" s="37">
        <f>'Таблица 3 '!C268</f>
        <v>571192.52000000002</v>
      </c>
      <c r="R278" s="37">
        <f t="shared" si="43"/>
        <v>571192.52000000002</v>
      </c>
      <c r="S278" s="37">
        <v>0</v>
      </c>
      <c r="T278" s="37">
        <f t="shared" si="44"/>
        <v>320.33678425214515</v>
      </c>
      <c r="U278" s="37">
        <f t="shared" si="45"/>
        <v>320.33678425214515</v>
      </c>
      <c r="V278" s="41" t="s">
        <v>45</v>
      </c>
      <c r="W278" s="60"/>
    </row>
    <row r="279" s="60" customFormat="1" ht="28.199999999999999" customHeight="1">
      <c r="A279" s="61" t="s">
        <v>362</v>
      </c>
      <c r="B279" s="61"/>
      <c r="C279" s="26" t="s">
        <v>39</v>
      </c>
      <c r="D279" s="26" t="s">
        <v>39</v>
      </c>
      <c r="E279" s="27" t="s">
        <v>39</v>
      </c>
      <c r="F279" s="26" t="s">
        <v>39</v>
      </c>
      <c r="G279" s="26" t="s">
        <v>39</v>
      </c>
      <c r="H279" s="26" t="s">
        <v>39</v>
      </c>
      <c r="I279" s="64">
        <f>SUM(I280:I294)</f>
        <v>28248</v>
      </c>
      <c r="J279" s="64">
        <f>SUM(J280:J294)</f>
        <v>23354.940000000006</v>
      </c>
      <c r="K279" s="64">
        <f>SUM(K280:K294)</f>
        <v>23097.170000000006</v>
      </c>
      <c r="L279" s="65">
        <f>SUM(L280:L294)</f>
        <v>785</v>
      </c>
      <c r="M279" s="64">
        <f>SUM(M280:M294)</f>
        <v>43937088.140000001</v>
      </c>
      <c r="N279" s="64">
        <f>SUM(N280:N294)</f>
        <v>0</v>
      </c>
      <c r="O279" s="64">
        <f>SUM(O280:O294)</f>
        <v>0</v>
      </c>
      <c r="P279" s="64">
        <f>SUM(P280:P294)</f>
        <v>0</v>
      </c>
      <c r="Q279" s="64">
        <f>SUM(Q280:Q294)</f>
        <v>43937088.140000001</v>
      </c>
      <c r="R279" s="64">
        <f>SUM(R280:R294)</f>
        <v>43937088.140000001</v>
      </c>
      <c r="S279" s="64">
        <f>SUM(S280:S294)</f>
        <v>0</v>
      </c>
      <c r="T279" s="32" t="s">
        <v>39</v>
      </c>
      <c r="U279" s="32" t="s">
        <v>39</v>
      </c>
      <c r="V279" s="28" t="s">
        <v>39</v>
      </c>
      <c r="W279" s="60"/>
    </row>
    <row r="280" s="60" customFormat="1" ht="42.75">
      <c r="A280" s="36">
        <v>1</v>
      </c>
      <c r="B280" s="68" t="s">
        <v>363</v>
      </c>
      <c r="C280" s="33" t="s">
        <v>43</v>
      </c>
      <c r="D280" s="35" t="s">
        <v>137</v>
      </c>
      <c r="E280" s="67">
        <v>2018</v>
      </c>
      <c r="F280" s="33" t="s">
        <v>77</v>
      </c>
      <c r="G280" s="36">
        <v>4</v>
      </c>
      <c r="H280" s="36">
        <v>3</v>
      </c>
      <c r="I280" s="56">
        <v>2597</v>
      </c>
      <c r="J280" s="37">
        <v>2402.8200000000002</v>
      </c>
      <c r="K280" s="37">
        <v>2402.8200000000002</v>
      </c>
      <c r="L280" s="38">
        <v>61</v>
      </c>
      <c r="M280" s="39">
        <f t="shared" ref="M280:M294" si="46">SUM(N280:Q280)</f>
        <v>272620.95000000001</v>
      </c>
      <c r="N280" s="37">
        <v>0</v>
      </c>
      <c r="O280" s="37">
        <v>0</v>
      </c>
      <c r="P280" s="37">
        <v>0</v>
      </c>
      <c r="Q280" s="37">
        <f>'Таблица 3 '!C270</f>
        <v>272620.95000000001</v>
      </c>
      <c r="R280" s="37">
        <f t="shared" ref="R280:R294" si="47">Q280</f>
        <v>272620.95000000001</v>
      </c>
      <c r="S280" s="37">
        <v>0</v>
      </c>
      <c r="T280" s="37">
        <f t="shared" si="44"/>
        <v>113.45874847054711</v>
      </c>
      <c r="U280" s="37">
        <f t="shared" si="45"/>
        <v>113.45874847054711</v>
      </c>
      <c r="V280" s="41" t="s">
        <v>45</v>
      </c>
      <c r="W280" s="60"/>
    </row>
    <row r="281" s="60" customFormat="1" ht="42.75">
      <c r="A281" s="36">
        <v>2</v>
      </c>
      <c r="B281" s="68" t="s">
        <v>364</v>
      </c>
      <c r="C281" s="33" t="s">
        <v>43</v>
      </c>
      <c r="D281" s="35" t="s">
        <v>365</v>
      </c>
      <c r="E281" s="67">
        <v>2018</v>
      </c>
      <c r="F281" s="33" t="s">
        <v>77</v>
      </c>
      <c r="G281" s="36">
        <v>4</v>
      </c>
      <c r="H281" s="36">
        <v>3</v>
      </c>
      <c r="I281" s="56">
        <v>2785.6900000000001</v>
      </c>
      <c r="J281" s="37">
        <v>2489.1199999999999</v>
      </c>
      <c r="K281" s="37">
        <v>2489.1199999999999</v>
      </c>
      <c r="L281" s="38">
        <v>69</v>
      </c>
      <c r="M281" s="39">
        <f t="shared" si="46"/>
        <v>1369966.8</v>
      </c>
      <c r="N281" s="37">
        <v>0</v>
      </c>
      <c r="O281" s="37">
        <v>0</v>
      </c>
      <c r="P281" s="37">
        <v>0</v>
      </c>
      <c r="Q281" s="37">
        <f>'Таблица 3 '!C271</f>
        <v>1369966.8</v>
      </c>
      <c r="R281" s="37">
        <f t="shared" si="47"/>
        <v>1369966.8</v>
      </c>
      <c r="S281" s="37">
        <v>0</v>
      </c>
      <c r="T281" s="37">
        <f t="shared" si="44"/>
        <v>550.38198238734981</v>
      </c>
      <c r="U281" s="37">
        <f t="shared" si="45"/>
        <v>550.38198238734981</v>
      </c>
      <c r="V281" s="41" t="s">
        <v>45</v>
      </c>
      <c r="W281" s="60"/>
    </row>
    <row r="282" s="60" customFormat="1" ht="42.75">
      <c r="A282" s="36">
        <v>3</v>
      </c>
      <c r="B282" s="68" t="s">
        <v>366</v>
      </c>
      <c r="C282" s="33" t="s">
        <v>43</v>
      </c>
      <c r="D282" s="35" t="s">
        <v>219</v>
      </c>
      <c r="E282" s="67">
        <v>2017</v>
      </c>
      <c r="F282" s="33" t="s">
        <v>77</v>
      </c>
      <c r="G282" s="36">
        <v>2</v>
      </c>
      <c r="H282" s="36">
        <v>1</v>
      </c>
      <c r="I282" s="56">
        <v>779</v>
      </c>
      <c r="J282" s="37">
        <v>621.75</v>
      </c>
      <c r="K282" s="37">
        <v>621.75</v>
      </c>
      <c r="L282" s="38">
        <v>19</v>
      </c>
      <c r="M282" s="56">
        <f t="shared" si="46"/>
        <v>250106.69</v>
      </c>
      <c r="N282" s="37">
        <v>0</v>
      </c>
      <c r="O282" s="37">
        <v>0</v>
      </c>
      <c r="P282" s="37">
        <v>0</v>
      </c>
      <c r="Q282" s="37">
        <f>'Таблица 3 '!C272</f>
        <v>250106.69</v>
      </c>
      <c r="R282" s="56">
        <f t="shared" si="47"/>
        <v>250106.69</v>
      </c>
      <c r="S282" s="37">
        <v>0</v>
      </c>
      <c r="T282" s="37">
        <f t="shared" si="44"/>
        <v>402.26246883795739</v>
      </c>
      <c r="U282" s="37">
        <f t="shared" si="45"/>
        <v>402.26246883795739</v>
      </c>
      <c r="V282" s="41" t="s">
        <v>45</v>
      </c>
      <c r="W282" s="60"/>
    </row>
    <row r="283" s="60" customFormat="1" ht="42.75">
      <c r="A283" s="36">
        <v>4</v>
      </c>
      <c r="B283" s="68" t="s">
        <v>367</v>
      </c>
      <c r="C283" s="33" t="s">
        <v>43</v>
      </c>
      <c r="D283" s="35" t="s">
        <v>93</v>
      </c>
      <c r="E283" s="35" t="s">
        <v>39</v>
      </c>
      <c r="F283" s="36" t="s">
        <v>48</v>
      </c>
      <c r="G283" s="36">
        <v>5</v>
      </c>
      <c r="H283" s="36">
        <v>2</v>
      </c>
      <c r="I283" s="56">
        <v>4559</v>
      </c>
      <c r="J283" s="37">
        <v>2996.7800000000002</v>
      </c>
      <c r="K283" s="37">
        <v>2996.7800000000002</v>
      </c>
      <c r="L283" s="38">
        <v>156</v>
      </c>
      <c r="M283" s="39">
        <f t="shared" si="46"/>
        <v>8575528.8399999999</v>
      </c>
      <c r="N283" s="37">
        <v>0</v>
      </c>
      <c r="O283" s="37">
        <v>0</v>
      </c>
      <c r="P283" s="37">
        <v>0</v>
      </c>
      <c r="Q283" s="37">
        <f>'Таблица 3 '!C273</f>
        <v>8575528.8399999999</v>
      </c>
      <c r="R283" s="37">
        <f t="shared" si="47"/>
        <v>8575528.8399999999</v>
      </c>
      <c r="S283" s="37">
        <v>0</v>
      </c>
      <c r="T283" s="37">
        <f t="shared" si="44"/>
        <v>2861.5810436535212</v>
      </c>
      <c r="U283" s="37">
        <f t="shared" si="45"/>
        <v>2861.5810436535212</v>
      </c>
      <c r="V283" s="41" t="s">
        <v>45</v>
      </c>
      <c r="W283" s="60"/>
    </row>
    <row r="284" s="60" customFormat="1" ht="42.75">
      <c r="A284" s="36">
        <v>5</v>
      </c>
      <c r="B284" s="68" t="s">
        <v>368</v>
      </c>
      <c r="C284" s="33" t="s">
        <v>43</v>
      </c>
      <c r="D284" s="35" t="s">
        <v>369</v>
      </c>
      <c r="E284" s="35" t="s">
        <v>39</v>
      </c>
      <c r="F284" s="36" t="s">
        <v>48</v>
      </c>
      <c r="G284" s="36">
        <v>5</v>
      </c>
      <c r="H284" s="36">
        <v>3</v>
      </c>
      <c r="I284" s="56">
        <v>4005</v>
      </c>
      <c r="J284" s="37">
        <v>3109.6999999999998</v>
      </c>
      <c r="K284" s="37">
        <v>3109.6999999999998</v>
      </c>
      <c r="L284" s="57">
        <v>132</v>
      </c>
      <c r="M284" s="39">
        <f t="shared" si="46"/>
        <v>11339980.700000001</v>
      </c>
      <c r="N284" s="37">
        <v>0</v>
      </c>
      <c r="O284" s="37">
        <v>0</v>
      </c>
      <c r="P284" s="37">
        <v>0</v>
      </c>
      <c r="Q284" s="37">
        <f>'Таблица 3 '!C274</f>
        <v>11339980.700000001</v>
      </c>
      <c r="R284" s="37">
        <f t="shared" si="47"/>
        <v>11339980.700000001</v>
      </c>
      <c r="S284" s="37">
        <v>0</v>
      </c>
      <c r="T284" s="37">
        <f t="shared" si="44"/>
        <v>3646.6478116860153</v>
      </c>
      <c r="U284" s="37">
        <f t="shared" si="45"/>
        <v>3646.6478116860153</v>
      </c>
      <c r="V284" s="41" t="s">
        <v>45</v>
      </c>
      <c r="W284" s="60"/>
    </row>
    <row r="285" s="60" customFormat="1" ht="44.25" customHeight="1">
      <c r="A285" s="36">
        <v>6</v>
      </c>
      <c r="B285" s="50" t="s">
        <v>370</v>
      </c>
      <c r="C285" s="69" t="s">
        <v>43</v>
      </c>
      <c r="D285" s="35">
        <v>1999</v>
      </c>
      <c r="E285" s="35" t="s">
        <v>39</v>
      </c>
      <c r="F285" s="33" t="s">
        <v>77</v>
      </c>
      <c r="G285" s="36">
        <v>5</v>
      </c>
      <c r="H285" s="36">
        <v>3</v>
      </c>
      <c r="I285" s="56">
        <v>2769.8000000000002</v>
      </c>
      <c r="J285" s="37">
        <v>2423.6799999999998</v>
      </c>
      <c r="K285" s="37">
        <v>2373.3800000000001</v>
      </c>
      <c r="L285" s="38">
        <v>48</v>
      </c>
      <c r="M285" s="39">
        <f t="shared" si="46"/>
        <v>5125751.1099999994</v>
      </c>
      <c r="N285" s="37">
        <v>0</v>
      </c>
      <c r="O285" s="37">
        <v>0</v>
      </c>
      <c r="P285" s="37">
        <v>0</v>
      </c>
      <c r="Q285" s="37">
        <f>'Таблица 3 '!C275</f>
        <v>5125751.1099999994</v>
      </c>
      <c r="R285" s="37">
        <f t="shared" si="47"/>
        <v>5125751.1099999994</v>
      </c>
      <c r="S285" s="37">
        <v>0</v>
      </c>
      <c r="T285" s="37">
        <f t="shared" si="44"/>
        <v>2114.8629810866119</v>
      </c>
      <c r="U285" s="37">
        <f t="shared" si="45"/>
        <v>2114.8629810866119</v>
      </c>
      <c r="V285" s="41" t="s">
        <v>45</v>
      </c>
      <c r="W285" s="60"/>
    </row>
    <row r="286" s="60" customFormat="1" ht="44.25" customHeight="1">
      <c r="A286" s="36">
        <v>7</v>
      </c>
      <c r="B286" s="52" t="s">
        <v>371</v>
      </c>
      <c r="C286" s="33" t="s">
        <v>43</v>
      </c>
      <c r="D286" s="35">
        <v>1976</v>
      </c>
      <c r="E286" s="35">
        <v>2024</v>
      </c>
      <c r="F286" s="33" t="s">
        <v>77</v>
      </c>
      <c r="G286" s="36">
        <v>2</v>
      </c>
      <c r="H286" s="36">
        <v>2</v>
      </c>
      <c r="I286" s="56">
        <v>747.5</v>
      </c>
      <c r="J286" s="37">
        <v>728.70000000000005</v>
      </c>
      <c r="K286" s="37">
        <v>687.70000000000005</v>
      </c>
      <c r="L286" s="38">
        <v>17</v>
      </c>
      <c r="M286" s="39">
        <f t="shared" si="46"/>
        <v>689136.10999999999</v>
      </c>
      <c r="N286" s="37">
        <v>0</v>
      </c>
      <c r="O286" s="37">
        <v>0</v>
      </c>
      <c r="P286" s="37">
        <v>0</v>
      </c>
      <c r="Q286" s="37">
        <f>'Таблица 3 '!C276</f>
        <v>689136.10999999999</v>
      </c>
      <c r="R286" s="37">
        <f t="shared" si="47"/>
        <v>689136.10999999999</v>
      </c>
      <c r="S286" s="37">
        <v>0</v>
      </c>
      <c r="T286" s="37">
        <f t="shared" si="44"/>
        <v>945.70620282695199</v>
      </c>
      <c r="U286" s="37">
        <f t="shared" si="45"/>
        <v>945.70620282695199</v>
      </c>
      <c r="V286" s="41" t="s">
        <v>45</v>
      </c>
      <c r="W286" s="60"/>
    </row>
    <row r="287" s="60" customFormat="1" ht="44.25" customHeight="1">
      <c r="A287" s="36">
        <v>8</v>
      </c>
      <c r="B287" s="52" t="s">
        <v>372</v>
      </c>
      <c r="C287" s="33" t="s">
        <v>43</v>
      </c>
      <c r="D287" s="35">
        <v>1970</v>
      </c>
      <c r="E287" s="35">
        <v>2016</v>
      </c>
      <c r="F287" s="33" t="s">
        <v>77</v>
      </c>
      <c r="G287" s="36">
        <v>2</v>
      </c>
      <c r="H287" s="36">
        <v>3</v>
      </c>
      <c r="I287" s="56">
        <v>617</v>
      </c>
      <c r="J287" s="37">
        <v>520.42999999999995</v>
      </c>
      <c r="K287" s="37">
        <v>520.42999999999995</v>
      </c>
      <c r="L287" s="38">
        <v>27</v>
      </c>
      <c r="M287" s="39">
        <f t="shared" si="46"/>
        <v>1901927.52</v>
      </c>
      <c r="N287" s="37">
        <v>0</v>
      </c>
      <c r="O287" s="37">
        <v>0</v>
      </c>
      <c r="P287" s="37">
        <v>0</v>
      </c>
      <c r="Q287" s="37">
        <f>'Таблица 3 '!C277</f>
        <v>1901927.52</v>
      </c>
      <c r="R287" s="37">
        <f t="shared" si="47"/>
        <v>1901927.52</v>
      </c>
      <c r="S287" s="37">
        <v>0</v>
      </c>
      <c r="T287" s="37">
        <f t="shared" si="44"/>
        <v>3654.5309071344855</v>
      </c>
      <c r="U287" s="37">
        <f t="shared" si="45"/>
        <v>3654.5309071344855</v>
      </c>
      <c r="V287" s="41" t="s">
        <v>45</v>
      </c>
      <c r="W287" s="60"/>
    </row>
    <row r="288" s="60" customFormat="1" ht="44.25" customHeight="1">
      <c r="A288" s="36">
        <v>9</v>
      </c>
      <c r="B288" s="50" t="s">
        <v>373</v>
      </c>
      <c r="C288" s="69" t="s">
        <v>43</v>
      </c>
      <c r="D288" s="35">
        <v>1990</v>
      </c>
      <c r="E288" s="35" t="s">
        <v>39</v>
      </c>
      <c r="F288" s="33" t="s">
        <v>77</v>
      </c>
      <c r="G288" s="33">
        <v>5</v>
      </c>
      <c r="H288" s="33">
        <v>3</v>
      </c>
      <c r="I288" s="56">
        <v>1157.4000000000001</v>
      </c>
      <c r="J288" s="56">
        <v>898.25</v>
      </c>
      <c r="K288" s="56">
        <v>898.25</v>
      </c>
      <c r="L288" s="57">
        <v>44</v>
      </c>
      <c r="M288" s="39">
        <f t="shared" si="46"/>
        <v>273962.38</v>
      </c>
      <c r="N288" s="37">
        <v>0</v>
      </c>
      <c r="O288" s="37">
        <v>0</v>
      </c>
      <c r="P288" s="37">
        <v>0</v>
      </c>
      <c r="Q288" s="37">
        <f>'Таблица 3 '!C278</f>
        <v>273962.38</v>
      </c>
      <c r="R288" s="37">
        <f t="shared" si="47"/>
        <v>273962.38</v>
      </c>
      <c r="S288" s="37">
        <v>0</v>
      </c>
      <c r="T288" s="37">
        <f t="shared" si="44"/>
        <v>304.99569162259951</v>
      </c>
      <c r="U288" s="37">
        <f t="shared" si="45"/>
        <v>304.99569162259951</v>
      </c>
      <c r="V288" s="41" t="s">
        <v>45</v>
      </c>
      <c r="W288" s="60"/>
    </row>
    <row r="289" s="60" customFormat="1" ht="44.25" customHeight="1">
      <c r="A289" s="36">
        <v>10</v>
      </c>
      <c r="B289" s="50" t="s">
        <v>374</v>
      </c>
      <c r="C289" s="33" t="s">
        <v>43</v>
      </c>
      <c r="D289" s="35">
        <v>1991</v>
      </c>
      <c r="E289" s="35" t="s">
        <v>39</v>
      </c>
      <c r="F289" s="33" t="s">
        <v>77</v>
      </c>
      <c r="G289" s="33">
        <v>3</v>
      </c>
      <c r="H289" s="33">
        <v>3</v>
      </c>
      <c r="I289" s="56">
        <v>1167.3299999999999</v>
      </c>
      <c r="J289" s="56">
        <v>1087.1099999999999</v>
      </c>
      <c r="K289" s="56">
        <v>1037.2</v>
      </c>
      <c r="L289" s="57">
        <v>42</v>
      </c>
      <c r="M289" s="39">
        <f t="shared" si="46"/>
        <v>212169.67000000001</v>
      </c>
      <c r="N289" s="37">
        <v>0</v>
      </c>
      <c r="O289" s="37">
        <v>0</v>
      </c>
      <c r="P289" s="37">
        <v>0</v>
      </c>
      <c r="Q289" s="37">
        <f>'Таблица 3 '!C279</f>
        <v>212169.67000000001</v>
      </c>
      <c r="R289" s="37">
        <f t="shared" si="47"/>
        <v>212169.67000000001</v>
      </c>
      <c r="S289" s="37">
        <v>0</v>
      </c>
      <c r="T289" s="37">
        <f t="shared" si="44"/>
        <v>195.16853860234937</v>
      </c>
      <c r="U289" s="37">
        <f t="shared" si="45"/>
        <v>195.16853860234937</v>
      </c>
      <c r="V289" s="41" t="s">
        <v>45</v>
      </c>
      <c r="W289" s="60"/>
    </row>
    <row r="290" s="60" customFormat="1" ht="44.25" customHeight="1">
      <c r="A290" s="36">
        <v>11</v>
      </c>
      <c r="B290" s="50" t="s">
        <v>375</v>
      </c>
      <c r="C290" s="69" t="s">
        <v>43</v>
      </c>
      <c r="D290" s="35">
        <v>1993</v>
      </c>
      <c r="E290" s="35">
        <v>2020</v>
      </c>
      <c r="F290" s="33" t="s">
        <v>77</v>
      </c>
      <c r="G290" s="33">
        <v>5</v>
      </c>
      <c r="H290" s="33">
        <v>1</v>
      </c>
      <c r="I290" s="56">
        <v>1087.5</v>
      </c>
      <c r="J290" s="56">
        <v>967.36000000000001</v>
      </c>
      <c r="K290" s="56">
        <v>967.36000000000001</v>
      </c>
      <c r="L290" s="57">
        <v>15</v>
      </c>
      <c r="M290" s="39">
        <f t="shared" si="46"/>
        <v>291341.84000000003</v>
      </c>
      <c r="N290" s="37">
        <v>0</v>
      </c>
      <c r="O290" s="37">
        <v>0</v>
      </c>
      <c r="P290" s="37">
        <v>0</v>
      </c>
      <c r="Q290" s="37">
        <f>'Таблица 3 '!C280</f>
        <v>291341.84000000003</v>
      </c>
      <c r="R290" s="37">
        <f t="shared" si="47"/>
        <v>291341.84000000003</v>
      </c>
      <c r="S290" s="37">
        <v>0</v>
      </c>
      <c r="T290" s="37">
        <f t="shared" si="44"/>
        <v>301.17209725438306</v>
      </c>
      <c r="U290" s="37">
        <f t="shared" si="45"/>
        <v>301.17209725438306</v>
      </c>
      <c r="V290" s="41" t="s">
        <v>45</v>
      </c>
      <c r="W290" s="60"/>
    </row>
    <row r="291" s="60" customFormat="1" ht="44.25" customHeight="1">
      <c r="A291" s="36">
        <v>12</v>
      </c>
      <c r="B291" s="50" t="s">
        <v>376</v>
      </c>
      <c r="C291" s="43" t="s">
        <v>43</v>
      </c>
      <c r="D291" s="35" t="s">
        <v>377</v>
      </c>
      <c r="E291" s="44" t="s">
        <v>39</v>
      </c>
      <c r="F291" s="33" t="s">
        <v>77</v>
      </c>
      <c r="G291" s="43">
        <v>3</v>
      </c>
      <c r="H291" s="33">
        <v>3</v>
      </c>
      <c r="I291" s="58">
        <v>934.15999999999997</v>
      </c>
      <c r="J291" s="56">
        <v>860.87</v>
      </c>
      <c r="K291" s="58">
        <v>860.87</v>
      </c>
      <c r="L291" s="57">
        <v>46</v>
      </c>
      <c r="M291" s="46">
        <f t="shared" si="46"/>
        <v>200000</v>
      </c>
      <c r="N291" s="37">
        <v>0</v>
      </c>
      <c r="O291" s="46">
        <v>0</v>
      </c>
      <c r="P291" s="37">
        <v>0</v>
      </c>
      <c r="Q291" s="37">
        <f>'Таблица 3 '!C281</f>
        <v>200000</v>
      </c>
      <c r="R291" s="56">
        <f t="shared" si="47"/>
        <v>200000</v>
      </c>
      <c r="S291" s="46">
        <v>0</v>
      </c>
      <c r="T291" s="37">
        <f t="shared" si="44"/>
        <v>232.32311498832576</v>
      </c>
      <c r="U291" s="46">
        <f t="shared" si="45"/>
        <v>232.32311498832576</v>
      </c>
      <c r="V291" s="41" t="s">
        <v>45</v>
      </c>
      <c r="W291" s="59"/>
    </row>
    <row r="292" s="60" customFormat="1" ht="44.25" customHeight="1">
      <c r="A292" s="36">
        <v>13</v>
      </c>
      <c r="B292" s="50" t="s">
        <v>378</v>
      </c>
      <c r="C292" s="69" t="s">
        <v>43</v>
      </c>
      <c r="D292" s="35">
        <v>1977</v>
      </c>
      <c r="E292" s="35" t="s">
        <v>39</v>
      </c>
      <c r="F292" s="33" t="s">
        <v>77</v>
      </c>
      <c r="G292" s="36">
        <v>5</v>
      </c>
      <c r="H292" s="36">
        <v>4</v>
      </c>
      <c r="I292" s="56">
        <v>3245.98</v>
      </c>
      <c r="J292" s="37">
        <v>3084.0900000000001</v>
      </c>
      <c r="K292" s="37">
        <v>3084.0900000000001</v>
      </c>
      <c r="L292" s="38">
        <v>65</v>
      </c>
      <c r="M292" s="39">
        <f t="shared" si="46"/>
        <v>9505701.3100000005</v>
      </c>
      <c r="N292" s="37">
        <v>0</v>
      </c>
      <c r="O292" s="37">
        <v>0</v>
      </c>
      <c r="P292" s="37">
        <v>0</v>
      </c>
      <c r="Q292" s="37">
        <f>'Таблица 3 '!C282</f>
        <v>9505701.3100000005</v>
      </c>
      <c r="R292" s="37">
        <f t="shared" si="47"/>
        <v>9505701.3100000005</v>
      </c>
      <c r="S292" s="37">
        <v>0</v>
      </c>
      <c r="T292" s="37">
        <f t="shared" si="44"/>
        <v>3082.1737724904265</v>
      </c>
      <c r="U292" s="37">
        <f t="shared" si="45"/>
        <v>3082.1737724904265</v>
      </c>
      <c r="V292" s="41" t="s">
        <v>45</v>
      </c>
      <c r="W292" s="60"/>
    </row>
    <row r="293" s="60" customFormat="1" ht="44.25" customHeight="1">
      <c r="A293" s="36">
        <v>14</v>
      </c>
      <c r="B293" s="50" t="s">
        <v>379</v>
      </c>
      <c r="C293" s="69" t="s">
        <v>43</v>
      </c>
      <c r="D293" s="35">
        <v>1967</v>
      </c>
      <c r="E293" s="35" t="s">
        <v>39</v>
      </c>
      <c r="F293" s="33" t="s">
        <v>77</v>
      </c>
      <c r="G293" s="36">
        <v>2</v>
      </c>
      <c r="H293" s="36">
        <v>2</v>
      </c>
      <c r="I293" s="56">
        <v>956.34000000000003</v>
      </c>
      <c r="J293" s="37">
        <v>633.58000000000004</v>
      </c>
      <c r="K293" s="37">
        <v>586.82000000000005</v>
      </c>
      <c r="L293" s="38">
        <v>16</v>
      </c>
      <c r="M293" s="39">
        <f t="shared" si="46"/>
        <v>1930616.8200000001</v>
      </c>
      <c r="N293" s="37">
        <v>0</v>
      </c>
      <c r="O293" s="37">
        <v>0</v>
      </c>
      <c r="P293" s="37">
        <v>0</v>
      </c>
      <c r="Q293" s="37">
        <f>'Таблица 3 '!C283</f>
        <v>1930616.8200000001</v>
      </c>
      <c r="R293" s="37">
        <f t="shared" si="47"/>
        <v>1930616.8200000001</v>
      </c>
      <c r="S293" s="37">
        <v>0</v>
      </c>
      <c r="T293" s="37">
        <f t="shared" si="44"/>
        <v>3047.1555604659238</v>
      </c>
      <c r="U293" s="37">
        <f t="shared" si="45"/>
        <v>3047.1555604659238</v>
      </c>
      <c r="V293" s="41" t="s">
        <v>45</v>
      </c>
      <c r="W293" s="60"/>
    </row>
    <row r="294" s="60" customFormat="1" ht="44.25" customHeight="1">
      <c r="A294" s="36">
        <v>15</v>
      </c>
      <c r="B294" s="50" t="s">
        <v>380</v>
      </c>
      <c r="C294" s="69" t="s">
        <v>43</v>
      </c>
      <c r="D294" s="35" t="s">
        <v>137</v>
      </c>
      <c r="E294" s="35" t="s">
        <v>39</v>
      </c>
      <c r="F294" s="33" t="s">
        <v>77</v>
      </c>
      <c r="G294" s="36">
        <v>2</v>
      </c>
      <c r="H294" s="36">
        <v>1</v>
      </c>
      <c r="I294" s="56">
        <v>839.29999999999995</v>
      </c>
      <c r="J294" s="37">
        <v>530.70000000000005</v>
      </c>
      <c r="K294" s="37">
        <v>460.89999999999998</v>
      </c>
      <c r="L294" s="38">
        <v>28</v>
      </c>
      <c r="M294" s="39">
        <f t="shared" si="46"/>
        <v>1998277.3999999999</v>
      </c>
      <c r="N294" s="37">
        <v>0</v>
      </c>
      <c r="O294" s="37">
        <v>0</v>
      </c>
      <c r="P294" s="37">
        <v>0</v>
      </c>
      <c r="Q294" s="37">
        <f>'Таблица 3 '!C284</f>
        <v>1998277.3999999999</v>
      </c>
      <c r="R294" s="37">
        <f t="shared" si="47"/>
        <v>1998277.3999999999</v>
      </c>
      <c r="S294" s="37">
        <v>0</v>
      </c>
      <c r="T294" s="37">
        <f t="shared" si="44"/>
        <v>3765.3615978895791</v>
      </c>
      <c r="U294" s="37">
        <f t="shared" si="45"/>
        <v>3765.3615978895791</v>
      </c>
      <c r="V294" s="41" t="s">
        <v>45</v>
      </c>
      <c r="W294" s="60"/>
    </row>
    <row r="295" s="60" customFormat="1" ht="32.25" customHeight="1">
      <c r="A295" s="25" t="s">
        <v>381</v>
      </c>
      <c r="B295" s="25"/>
      <c r="C295" s="26" t="s">
        <v>39</v>
      </c>
      <c r="D295" s="26" t="s">
        <v>39</v>
      </c>
      <c r="E295" s="27" t="s">
        <v>39</v>
      </c>
      <c r="F295" s="26" t="s">
        <v>39</v>
      </c>
      <c r="G295" s="28" t="s">
        <v>39</v>
      </c>
      <c r="H295" s="28" t="s">
        <v>39</v>
      </c>
      <c r="I295" s="29">
        <f>SUM(I296:I311)</f>
        <v>83437.169999999998</v>
      </c>
      <c r="J295" s="29">
        <f>SUM(J296:J311)</f>
        <v>54203.430000000008</v>
      </c>
      <c r="K295" s="29">
        <f>SUM(K296:K311)</f>
        <v>53289.330000000009</v>
      </c>
      <c r="L295" s="30">
        <f>SUM(L296:L311)</f>
        <v>2086</v>
      </c>
      <c r="M295" s="29">
        <f>SUM(M296:M311)</f>
        <v>15563709.579999996</v>
      </c>
      <c r="N295" s="29">
        <f>SUM(N296:N311)</f>
        <v>0</v>
      </c>
      <c r="O295" s="29">
        <f>SUM(O296:O311)</f>
        <v>0</v>
      </c>
      <c r="P295" s="29">
        <f>SUM(P296:P311)</f>
        <v>0</v>
      </c>
      <c r="Q295" s="29">
        <f>SUM(Q296:Q311)</f>
        <v>15563709.579999996</v>
      </c>
      <c r="R295" s="29">
        <f>SUM(R296:R311)</f>
        <v>15563709.579999996</v>
      </c>
      <c r="S295" s="29">
        <f>SUM(S296:S311)</f>
        <v>0</v>
      </c>
      <c r="T295" s="64" t="s">
        <v>40</v>
      </c>
      <c r="U295" s="64" t="s">
        <v>40</v>
      </c>
      <c r="V295" s="76" t="s">
        <v>40</v>
      </c>
      <c r="W295" s="60"/>
    </row>
    <row r="296" s="60" customFormat="1" ht="61.5" customHeight="1">
      <c r="A296" s="33">
        <v>1</v>
      </c>
      <c r="B296" s="50" t="s">
        <v>382</v>
      </c>
      <c r="C296" s="33" t="s">
        <v>90</v>
      </c>
      <c r="D296" s="33">
        <v>1970</v>
      </c>
      <c r="E296" s="35" t="s">
        <v>40</v>
      </c>
      <c r="F296" s="33" t="s">
        <v>383</v>
      </c>
      <c r="G296" s="36">
        <v>5</v>
      </c>
      <c r="H296" s="36">
        <v>4</v>
      </c>
      <c r="I296" s="37">
        <v>6012.7399999999998</v>
      </c>
      <c r="J296" s="37">
        <v>3822.7600000000002</v>
      </c>
      <c r="K296" s="37">
        <f>J296</f>
        <v>3822.7600000000002</v>
      </c>
      <c r="L296" s="38">
        <v>168</v>
      </c>
      <c r="M296" s="40">
        <f t="shared" ref="M296:M311" si="48">SUM(N296:Q296)</f>
        <v>500881.53000000003</v>
      </c>
      <c r="N296" s="40">
        <v>0</v>
      </c>
      <c r="O296" s="40">
        <v>0</v>
      </c>
      <c r="P296" s="40">
        <v>0</v>
      </c>
      <c r="Q296" s="40">
        <f>'Таблица 3 '!C286</f>
        <v>500881.53000000003</v>
      </c>
      <c r="R296" s="40">
        <f t="shared" ref="R296:R311" si="49">Q296</f>
        <v>500881.53000000003</v>
      </c>
      <c r="S296" s="40">
        <v>0</v>
      </c>
      <c r="T296" s="37">
        <f t="shared" si="44"/>
        <v>131.02615126243865</v>
      </c>
      <c r="U296" s="37">
        <v>1351</v>
      </c>
      <c r="V296" s="77" t="s">
        <v>45</v>
      </c>
      <c r="W296" s="60"/>
    </row>
    <row r="297" s="60" customFormat="1" ht="61.5" customHeight="1">
      <c r="A297" s="33">
        <v>2</v>
      </c>
      <c r="B297" s="50" t="s">
        <v>384</v>
      </c>
      <c r="C297" s="33" t="s">
        <v>90</v>
      </c>
      <c r="D297" s="33">
        <v>1974</v>
      </c>
      <c r="E297" s="33" t="s">
        <v>40</v>
      </c>
      <c r="F297" s="33" t="s">
        <v>383</v>
      </c>
      <c r="G297" s="36">
        <v>5</v>
      </c>
      <c r="H297" s="36">
        <v>9</v>
      </c>
      <c r="I297" s="37">
        <v>11768.84</v>
      </c>
      <c r="J297" s="37">
        <v>7396.1400000000003</v>
      </c>
      <c r="K297" s="37">
        <v>7235.2399999999998</v>
      </c>
      <c r="L297" s="38">
        <v>261</v>
      </c>
      <c r="M297" s="40">
        <f t="shared" si="48"/>
        <v>1606329.8700000001</v>
      </c>
      <c r="N297" s="40">
        <v>0</v>
      </c>
      <c r="O297" s="40">
        <v>0</v>
      </c>
      <c r="P297" s="40">
        <v>0</v>
      </c>
      <c r="Q297" s="40">
        <f>'Таблица 3 '!C287</f>
        <v>1606329.8700000001</v>
      </c>
      <c r="R297" s="40">
        <f t="shared" si="49"/>
        <v>1606329.8700000001</v>
      </c>
      <c r="S297" s="40">
        <v>0</v>
      </c>
      <c r="T297" s="37">
        <f t="shared" si="44"/>
        <v>217.18489238981414</v>
      </c>
      <c r="U297" s="37">
        <v>1351</v>
      </c>
      <c r="V297" s="77" t="s">
        <v>45</v>
      </c>
      <c r="W297" s="60"/>
    </row>
    <row r="298" s="60" customFormat="1" ht="61.5" customHeight="1">
      <c r="A298" s="33">
        <v>3</v>
      </c>
      <c r="B298" s="50" t="s">
        <v>385</v>
      </c>
      <c r="C298" s="33" t="s">
        <v>90</v>
      </c>
      <c r="D298" s="33">
        <v>1974</v>
      </c>
      <c r="E298" s="35" t="s">
        <v>40</v>
      </c>
      <c r="F298" s="33" t="s">
        <v>383</v>
      </c>
      <c r="G298" s="36">
        <v>5</v>
      </c>
      <c r="H298" s="36">
        <v>9</v>
      </c>
      <c r="I298" s="37">
        <v>11743.879999999999</v>
      </c>
      <c r="J298" s="37">
        <v>7368.8800000000001</v>
      </c>
      <c r="K298" s="37">
        <f t="shared" ref="K298:K306" si="50">J298</f>
        <v>7368.8800000000001</v>
      </c>
      <c r="L298" s="38">
        <v>275</v>
      </c>
      <c r="M298" s="40">
        <f t="shared" si="48"/>
        <v>1625844.75</v>
      </c>
      <c r="N298" s="40">
        <v>0</v>
      </c>
      <c r="O298" s="40">
        <v>0</v>
      </c>
      <c r="P298" s="40">
        <v>0</v>
      </c>
      <c r="Q298" s="40">
        <f>'Таблица 3 '!C288</f>
        <v>1625844.75</v>
      </c>
      <c r="R298" s="40">
        <f t="shared" si="49"/>
        <v>1625844.75</v>
      </c>
      <c r="S298" s="40">
        <v>0</v>
      </c>
      <c r="T298" s="37">
        <f t="shared" si="44"/>
        <v>220.63661641932018</v>
      </c>
      <c r="U298" s="37">
        <v>1351</v>
      </c>
      <c r="V298" s="77" t="s">
        <v>45</v>
      </c>
      <c r="W298" s="60"/>
    </row>
    <row r="299" s="60" customFormat="1" ht="61.5" customHeight="1">
      <c r="A299" s="33">
        <v>4</v>
      </c>
      <c r="B299" s="50" t="s">
        <v>386</v>
      </c>
      <c r="C299" s="33" t="s">
        <v>90</v>
      </c>
      <c r="D299" s="33">
        <v>1974</v>
      </c>
      <c r="E299" s="33" t="s">
        <v>40</v>
      </c>
      <c r="F299" s="33" t="s">
        <v>383</v>
      </c>
      <c r="G299" s="36">
        <v>5</v>
      </c>
      <c r="H299" s="36">
        <v>5</v>
      </c>
      <c r="I299" s="37">
        <v>6043.8699999999999</v>
      </c>
      <c r="J299" s="37">
        <v>3841.6199999999999</v>
      </c>
      <c r="K299" s="37">
        <f t="shared" si="50"/>
        <v>3841.6199999999999</v>
      </c>
      <c r="L299" s="38">
        <v>129</v>
      </c>
      <c r="M299" s="40">
        <f t="shared" si="48"/>
        <v>950823.64000000001</v>
      </c>
      <c r="N299" s="40">
        <v>0</v>
      </c>
      <c r="O299" s="40">
        <v>0</v>
      </c>
      <c r="P299" s="40">
        <v>0</v>
      </c>
      <c r="Q299" s="40">
        <f>'Таблица 3 '!C289</f>
        <v>950823.64000000001</v>
      </c>
      <c r="R299" s="40">
        <f t="shared" si="49"/>
        <v>950823.64000000001</v>
      </c>
      <c r="S299" s="40">
        <v>0</v>
      </c>
      <c r="T299" s="37">
        <f t="shared" si="44"/>
        <v>247.50590636242003</v>
      </c>
      <c r="U299" s="37">
        <v>1351</v>
      </c>
      <c r="V299" s="77" t="s">
        <v>45</v>
      </c>
      <c r="W299" s="60"/>
    </row>
    <row r="300" s="60" customFormat="1" ht="61.5" customHeight="1">
      <c r="A300" s="33">
        <v>5</v>
      </c>
      <c r="B300" s="50" t="s">
        <v>387</v>
      </c>
      <c r="C300" s="33" t="s">
        <v>90</v>
      </c>
      <c r="D300" s="33">
        <v>1974</v>
      </c>
      <c r="E300" s="35" t="s">
        <v>40</v>
      </c>
      <c r="F300" s="33" t="s">
        <v>383</v>
      </c>
      <c r="G300" s="36">
        <v>5</v>
      </c>
      <c r="H300" s="36">
        <v>5</v>
      </c>
      <c r="I300" s="37">
        <v>6009.8100000000004</v>
      </c>
      <c r="J300" s="37">
        <v>3860.4099999999999</v>
      </c>
      <c r="K300" s="37">
        <f t="shared" si="50"/>
        <v>3860.4099999999999</v>
      </c>
      <c r="L300" s="38">
        <v>135</v>
      </c>
      <c r="M300" s="40">
        <f t="shared" si="48"/>
        <v>583927.48999999999</v>
      </c>
      <c r="N300" s="40">
        <v>0</v>
      </c>
      <c r="O300" s="40">
        <v>0</v>
      </c>
      <c r="P300" s="40">
        <v>0</v>
      </c>
      <c r="Q300" s="40">
        <f>'Таблица 3 '!C290</f>
        <v>583927.48999999999</v>
      </c>
      <c r="R300" s="40">
        <f t="shared" si="49"/>
        <v>583927.48999999999</v>
      </c>
      <c r="S300" s="40">
        <v>0</v>
      </c>
      <c r="T300" s="37">
        <f t="shared" si="44"/>
        <v>151.26048528524171</v>
      </c>
      <c r="U300" s="37">
        <v>1351</v>
      </c>
      <c r="V300" s="77" t="s">
        <v>45</v>
      </c>
      <c r="W300" s="60"/>
    </row>
    <row r="301" s="60" customFormat="1" ht="61.5" customHeight="1">
      <c r="A301" s="33">
        <v>6</v>
      </c>
      <c r="B301" s="50" t="s">
        <v>388</v>
      </c>
      <c r="C301" s="33" t="s">
        <v>90</v>
      </c>
      <c r="D301" s="33">
        <v>1972</v>
      </c>
      <c r="E301" s="33" t="s">
        <v>40</v>
      </c>
      <c r="F301" s="33" t="s">
        <v>383</v>
      </c>
      <c r="G301" s="36">
        <v>5</v>
      </c>
      <c r="H301" s="36">
        <v>5</v>
      </c>
      <c r="I301" s="37">
        <v>7008.75</v>
      </c>
      <c r="J301" s="37">
        <v>4561.3699999999999</v>
      </c>
      <c r="K301" s="37">
        <f t="shared" si="50"/>
        <v>4561.3699999999999</v>
      </c>
      <c r="L301" s="38">
        <v>211</v>
      </c>
      <c r="M301" s="40">
        <f t="shared" si="48"/>
        <v>1520137.1699999999</v>
      </c>
      <c r="N301" s="40">
        <v>0</v>
      </c>
      <c r="O301" s="40">
        <v>0</v>
      </c>
      <c r="P301" s="40">
        <v>0</v>
      </c>
      <c r="Q301" s="40">
        <f>'Таблица 3 '!C291</f>
        <v>1520137.1699999999</v>
      </c>
      <c r="R301" s="40">
        <f t="shared" si="49"/>
        <v>1520137.1699999999</v>
      </c>
      <c r="S301" s="40">
        <v>0</v>
      </c>
      <c r="T301" s="37">
        <f t="shared" si="44"/>
        <v>333.26328931877924</v>
      </c>
      <c r="U301" s="37">
        <v>1351</v>
      </c>
      <c r="V301" s="77" t="s">
        <v>45</v>
      </c>
      <c r="W301" s="60"/>
    </row>
    <row r="302" s="60" customFormat="1" ht="61.5" customHeight="1">
      <c r="A302" s="33">
        <v>7</v>
      </c>
      <c r="B302" s="50" t="s">
        <v>389</v>
      </c>
      <c r="C302" s="33" t="s">
        <v>90</v>
      </c>
      <c r="D302" s="33">
        <v>1972</v>
      </c>
      <c r="E302" s="35" t="s">
        <v>40</v>
      </c>
      <c r="F302" s="33" t="s">
        <v>383</v>
      </c>
      <c r="G302" s="36">
        <v>5</v>
      </c>
      <c r="H302" s="36">
        <v>5</v>
      </c>
      <c r="I302" s="37">
        <v>5994.8599999999997</v>
      </c>
      <c r="J302" s="37">
        <v>3818.3600000000001</v>
      </c>
      <c r="K302" s="37">
        <f t="shared" si="50"/>
        <v>3818.3600000000001</v>
      </c>
      <c r="L302" s="38">
        <v>139</v>
      </c>
      <c r="M302" s="40">
        <f t="shared" si="48"/>
        <v>649450.31000000006</v>
      </c>
      <c r="N302" s="40">
        <v>0</v>
      </c>
      <c r="O302" s="40">
        <v>0</v>
      </c>
      <c r="P302" s="40">
        <v>0</v>
      </c>
      <c r="Q302" s="40">
        <f>'Таблица 3 '!C292</f>
        <v>649450.31000000006</v>
      </c>
      <c r="R302" s="40">
        <f t="shared" si="49"/>
        <v>649450.31000000006</v>
      </c>
      <c r="S302" s="40">
        <v>0</v>
      </c>
      <c r="T302" s="37">
        <f t="shared" si="44"/>
        <v>170.08619145392262</v>
      </c>
      <c r="U302" s="37">
        <v>1351</v>
      </c>
      <c r="V302" s="77" t="s">
        <v>45</v>
      </c>
      <c r="W302" s="60"/>
    </row>
    <row r="303" s="60" customFormat="1" ht="61.5" customHeight="1">
      <c r="A303" s="33">
        <v>8</v>
      </c>
      <c r="B303" s="50" t="s">
        <v>390</v>
      </c>
      <c r="C303" s="33" t="s">
        <v>90</v>
      </c>
      <c r="D303" s="33">
        <v>1972</v>
      </c>
      <c r="E303" s="33" t="s">
        <v>40</v>
      </c>
      <c r="F303" s="33" t="s">
        <v>383</v>
      </c>
      <c r="G303" s="36">
        <v>5</v>
      </c>
      <c r="H303" s="36">
        <v>5</v>
      </c>
      <c r="I303" s="37">
        <v>6036.2200000000003</v>
      </c>
      <c r="J303" s="37">
        <v>3851.7199999999998</v>
      </c>
      <c r="K303" s="37">
        <f t="shared" si="50"/>
        <v>3851.7199999999998</v>
      </c>
      <c r="L303" s="38">
        <v>160</v>
      </c>
      <c r="M303" s="40">
        <f t="shared" si="48"/>
        <v>649450.31000000006</v>
      </c>
      <c r="N303" s="40">
        <v>0</v>
      </c>
      <c r="O303" s="40">
        <v>0</v>
      </c>
      <c r="P303" s="40">
        <v>0</v>
      </c>
      <c r="Q303" s="40">
        <f>'Таблица 3 '!C293</f>
        <v>649450.31000000006</v>
      </c>
      <c r="R303" s="40">
        <f t="shared" si="49"/>
        <v>649450.31000000006</v>
      </c>
      <c r="S303" s="40">
        <v>0</v>
      </c>
      <c r="T303" s="37">
        <f t="shared" si="44"/>
        <v>168.61306377410614</v>
      </c>
      <c r="U303" s="37">
        <v>1351</v>
      </c>
      <c r="V303" s="77" t="s">
        <v>45</v>
      </c>
      <c r="W303" s="60"/>
    </row>
    <row r="304" s="60" customFormat="1" ht="61.5" customHeight="1">
      <c r="A304" s="33">
        <v>9</v>
      </c>
      <c r="B304" s="50" t="s">
        <v>391</v>
      </c>
      <c r="C304" s="33" t="s">
        <v>90</v>
      </c>
      <c r="D304" s="33">
        <v>1976</v>
      </c>
      <c r="E304" s="35" t="s">
        <v>40</v>
      </c>
      <c r="F304" s="33" t="s">
        <v>383</v>
      </c>
      <c r="G304" s="36">
        <v>5</v>
      </c>
      <c r="H304" s="36">
        <v>4</v>
      </c>
      <c r="I304" s="37">
        <v>6280.9899999999998</v>
      </c>
      <c r="J304" s="37">
        <v>3981.1900000000001</v>
      </c>
      <c r="K304" s="37">
        <f t="shared" si="50"/>
        <v>3981.1900000000001</v>
      </c>
      <c r="L304" s="38">
        <v>181</v>
      </c>
      <c r="M304" s="40">
        <f t="shared" si="48"/>
        <v>596733.34999999998</v>
      </c>
      <c r="N304" s="40">
        <v>0</v>
      </c>
      <c r="O304" s="40">
        <v>0</v>
      </c>
      <c r="P304" s="40">
        <v>0</v>
      </c>
      <c r="Q304" s="40">
        <f>'Таблица 3 '!C294</f>
        <v>596733.34999999998</v>
      </c>
      <c r="R304" s="40">
        <f t="shared" si="49"/>
        <v>596733.34999999998</v>
      </c>
      <c r="S304" s="40">
        <v>0</v>
      </c>
      <c r="T304" s="37">
        <f t="shared" si="44"/>
        <v>149.88818669794708</v>
      </c>
      <c r="U304" s="37">
        <v>1351</v>
      </c>
      <c r="V304" s="77" t="s">
        <v>45</v>
      </c>
      <c r="W304" s="60"/>
    </row>
    <row r="305" s="60" customFormat="1" ht="61.5" customHeight="1">
      <c r="A305" s="33">
        <v>10</v>
      </c>
      <c r="B305" s="50" t="s">
        <v>392</v>
      </c>
      <c r="C305" s="33" t="s">
        <v>90</v>
      </c>
      <c r="D305" s="33">
        <v>1980</v>
      </c>
      <c r="E305" s="33" t="s">
        <v>40</v>
      </c>
      <c r="F305" s="33" t="s">
        <v>383</v>
      </c>
      <c r="G305" s="36">
        <v>5</v>
      </c>
      <c r="H305" s="36">
        <v>4</v>
      </c>
      <c r="I305" s="37">
        <v>6230.0799999999999</v>
      </c>
      <c r="J305" s="37">
        <v>3967.0799999999999</v>
      </c>
      <c r="K305" s="37">
        <f t="shared" si="50"/>
        <v>3967.0799999999999</v>
      </c>
      <c r="L305" s="38">
        <v>166</v>
      </c>
      <c r="M305" s="40">
        <f t="shared" si="48"/>
        <v>2367814.96</v>
      </c>
      <c r="N305" s="40">
        <v>0</v>
      </c>
      <c r="O305" s="40">
        <v>0</v>
      </c>
      <c r="P305" s="40">
        <v>0</v>
      </c>
      <c r="Q305" s="40">
        <f>'Таблица 3 '!C295</f>
        <v>2367814.96</v>
      </c>
      <c r="R305" s="40">
        <f t="shared" si="49"/>
        <v>2367814.96</v>
      </c>
      <c r="S305" s="40">
        <v>0</v>
      </c>
      <c r="T305" s="37">
        <f t="shared" si="44"/>
        <v>596.86594674168407</v>
      </c>
      <c r="U305" s="37">
        <v>1351</v>
      </c>
      <c r="V305" s="77" t="s">
        <v>45</v>
      </c>
      <c r="W305" s="60"/>
    </row>
    <row r="306" s="60" customFormat="1" ht="61.5" customHeight="1">
      <c r="A306" s="33">
        <v>11</v>
      </c>
      <c r="B306" s="50" t="s">
        <v>393</v>
      </c>
      <c r="C306" s="33" t="s">
        <v>90</v>
      </c>
      <c r="D306" s="33">
        <v>2008</v>
      </c>
      <c r="E306" s="35" t="s">
        <v>40</v>
      </c>
      <c r="F306" s="33" t="s">
        <v>383</v>
      </c>
      <c r="G306" s="36">
        <v>5</v>
      </c>
      <c r="H306" s="36">
        <v>5</v>
      </c>
      <c r="I306" s="37">
        <v>6823.6000000000004</v>
      </c>
      <c r="J306" s="37">
        <v>4449.6000000000004</v>
      </c>
      <c r="K306" s="37">
        <f t="shared" si="50"/>
        <v>4449.6000000000004</v>
      </c>
      <c r="L306" s="38">
        <v>126</v>
      </c>
      <c r="M306" s="40">
        <f t="shared" si="48"/>
        <v>1973415</v>
      </c>
      <c r="N306" s="40">
        <v>0</v>
      </c>
      <c r="O306" s="40">
        <v>0</v>
      </c>
      <c r="P306" s="40">
        <v>0</v>
      </c>
      <c r="Q306" s="40">
        <f>'Таблица 3 '!C296</f>
        <v>1973415</v>
      </c>
      <c r="R306" s="40">
        <f t="shared" si="49"/>
        <v>1973415</v>
      </c>
      <c r="S306" s="40">
        <v>0</v>
      </c>
      <c r="T306" s="37">
        <f t="shared" si="44"/>
        <v>443.50391046386187</v>
      </c>
      <c r="U306" s="37">
        <v>1351</v>
      </c>
      <c r="V306" s="77" t="s">
        <v>45</v>
      </c>
      <c r="W306" s="60"/>
    </row>
    <row r="307" s="60" customFormat="1" ht="61.5" customHeight="1">
      <c r="A307" s="33">
        <v>12</v>
      </c>
      <c r="B307" s="34" t="s">
        <v>394</v>
      </c>
      <c r="C307" s="33" t="s">
        <v>43</v>
      </c>
      <c r="D307" s="33">
        <v>1972</v>
      </c>
      <c r="E307" s="33" t="s">
        <v>40</v>
      </c>
      <c r="F307" s="33" t="s">
        <v>48</v>
      </c>
      <c r="G307" s="36">
        <v>2</v>
      </c>
      <c r="H307" s="36">
        <v>2</v>
      </c>
      <c r="I307" s="78">
        <v>729</v>
      </c>
      <c r="J307" s="78">
        <v>682.60000000000002</v>
      </c>
      <c r="K307" s="78">
        <v>372</v>
      </c>
      <c r="L307" s="68">
        <v>35</v>
      </c>
      <c r="M307" s="40">
        <f t="shared" si="48"/>
        <v>563467.19999999995</v>
      </c>
      <c r="N307" s="40">
        <v>0</v>
      </c>
      <c r="O307" s="40">
        <v>0</v>
      </c>
      <c r="P307" s="40">
        <v>0</v>
      </c>
      <c r="Q307" s="40">
        <f>'Таблица 3 '!C297</f>
        <v>563467.19999999995</v>
      </c>
      <c r="R307" s="40">
        <f t="shared" si="49"/>
        <v>563467.19999999995</v>
      </c>
      <c r="S307" s="40">
        <v>0</v>
      </c>
      <c r="T307" s="37">
        <f t="shared" si="44"/>
        <v>825.47201875183111</v>
      </c>
      <c r="U307" s="37">
        <v>1351</v>
      </c>
      <c r="V307" s="77" t="s">
        <v>45</v>
      </c>
      <c r="W307" s="60"/>
    </row>
    <row r="308" s="60" customFormat="1" ht="61.5" customHeight="1">
      <c r="A308" s="33">
        <v>13</v>
      </c>
      <c r="B308" s="34" t="s">
        <v>395</v>
      </c>
      <c r="C308" s="33" t="s">
        <v>43</v>
      </c>
      <c r="D308" s="33">
        <v>1972</v>
      </c>
      <c r="E308" s="35" t="s">
        <v>40</v>
      </c>
      <c r="F308" s="33" t="s">
        <v>48</v>
      </c>
      <c r="G308" s="36">
        <v>2</v>
      </c>
      <c r="H308" s="36">
        <v>2</v>
      </c>
      <c r="I308" s="79">
        <v>716</v>
      </c>
      <c r="J308" s="40">
        <v>646.60000000000002</v>
      </c>
      <c r="K308" s="40">
        <v>470.69999999999999</v>
      </c>
      <c r="L308" s="48">
        <v>26</v>
      </c>
      <c r="M308" s="40">
        <f t="shared" si="48"/>
        <v>571321.19999999995</v>
      </c>
      <c r="N308" s="40">
        <v>0</v>
      </c>
      <c r="O308" s="40">
        <v>0</v>
      </c>
      <c r="P308" s="40">
        <v>0</v>
      </c>
      <c r="Q308" s="40">
        <f>'Таблица 3 '!C298</f>
        <v>571321.19999999995</v>
      </c>
      <c r="R308" s="40">
        <f t="shared" si="49"/>
        <v>571321.19999999995</v>
      </c>
      <c r="S308" s="40">
        <v>0</v>
      </c>
      <c r="T308" s="37">
        <f t="shared" si="44"/>
        <v>883.57748221466125</v>
      </c>
      <c r="U308" s="37">
        <v>1351</v>
      </c>
      <c r="V308" s="77" t="s">
        <v>45</v>
      </c>
      <c r="W308" s="60"/>
    </row>
    <row r="309" s="60" customFormat="1" ht="44.25" customHeight="1">
      <c r="A309" s="33">
        <v>14</v>
      </c>
      <c r="B309" s="34" t="s">
        <v>396</v>
      </c>
      <c r="C309" s="33" t="s">
        <v>43</v>
      </c>
      <c r="D309" s="33">
        <v>1972</v>
      </c>
      <c r="E309" s="35" t="s">
        <v>40</v>
      </c>
      <c r="F309" s="33" t="s">
        <v>48</v>
      </c>
      <c r="G309" s="36">
        <v>2</v>
      </c>
      <c r="H309" s="36">
        <v>2</v>
      </c>
      <c r="I309" s="40">
        <v>690.89999999999998</v>
      </c>
      <c r="J309" s="40">
        <v>652.39999999999998</v>
      </c>
      <c r="K309" s="40">
        <v>474.30000000000001</v>
      </c>
      <c r="L309" s="48">
        <v>29</v>
      </c>
      <c r="M309" s="40">
        <f t="shared" si="48"/>
        <v>463123.20000000001</v>
      </c>
      <c r="N309" s="40">
        <v>0</v>
      </c>
      <c r="O309" s="40">
        <v>0</v>
      </c>
      <c r="P309" s="40">
        <v>0</v>
      </c>
      <c r="Q309" s="40">
        <f>'Таблица 3 '!C299</f>
        <v>463123.20000000001</v>
      </c>
      <c r="R309" s="40">
        <f t="shared" si="49"/>
        <v>463123.20000000001</v>
      </c>
      <c r="S309" s="40">
        <v>0</v>
      </c>
      <c r="T309" s="37">
        <f t="shared" si="44"/>
        <v>709.87614960147152</v>
      </c>
      <c r="U309" s="37">
        <f t="shared" si="45"/>
        <v>709.87614960147152</v>
      </c>
      <c r="V309" s="80" t="s">
        <v>45</v>
      </c>
      <c r="W309" s="60"/>
    </row>
    <row r="310" s="60" customFormat="1" ht="44.25" customHeight="1">
      <c r="A310" s="33">
        <v>15</v>
      </c>
      <c r="B310" s="34" t="s">
        <v>397</v>
      </c>
      <c r="C310" s="33" t="s">
        <v>43</v>
      </c>
      <c r="D310" s="33">
        <v>1975</v>
      </c>
      <c r="E310" s="35" t="s">
        <v>40</v>
      </c>
      <c r="F310" s="33" t="s">
        <v>48</v>
      </c>
      <c r="G310" s="36">
        <v>2</v>
      </c>
      <c r="H310" s="36">
        <v>2</v>
      </c>
      <c r="I310" s="40">
        <v>689.20000000000005</v>
      </c>
      <c r="J310" s="40">
        <v>654.89999999999998</v>
      </c>
      <c r="K310" s="40">
        <v>623.79999999999995</v>
      </c>
      <c r="L310" s="48">
        <v>17</v>
      </c>
      <c r="M310" s="40">
        <f t="shared" si="48"/>
        <v>472386</v>
      </c>
      <c r="N310" s="40">
        <v>0</v>
      </c>
      <c r="O310" s="40">
        <v>0</v>
      </c>
      <c r="P310" s="40">
        <v>0</v>
      </c>
      <c r="Q310" s="40">
        <f>'Таблица 3 '!C300</f>
        <v>472386</v>
      </c>
      <c r="R310" s="40">
        <f t="shared" si="49"/>
        <v>472386</v>
      </c>
      <c r="S310" s="40">
        <v>0</v>
      </c>
      <c r="T310" s="37">
        <f t="shared" si="44"/>
        <v>721.31012368300503</v>
      </c>
      <c r="U310" s="37">
        <f t="shared" si="45"/>
        <v>721.31012368300503</v>
      </c>
      <c r="V310" s="80" t="s">
        <v>45</v>
      </c>
      <c r="W310" s="60"/>
    </row>
    <row r="311" s="60" customFormat="1" ht="44.25" customHeight="1">
      <c r="A311" s="33">
        <v>16</v>
      </c>
      <c r="B311" s="34" t="s">
        <v>398</v>
      </c>
      <c r="C311" s="33" t="s">
        <v>43</v>
      </c>
      <c r="D311" s="33">
        <v>1974</v>
      </c>
      <c r="E311" s="33" t="s">
        <v>40</v>
      </c>
      <c r="F311" s="33" t="s">
        <v>48</v>
      </c>
      <c r="G311" s="36">
        <v>5</v>
      </c>
      <c r="H311" s="36">
        <v>6</v>
      </c>
      <c r="I311" s="78">
        <v>658.42999999999995</v>
      </c>
      <c r="J311" s="81">
        <v>647.79999999999995</v>
      </c>
      <c r="K311" s="81">
        <v>590.29999999999995</v>
      </c>
      <c r="L311" s="68">
        <v>28</v>
      </c>
      <c r="M311" s="40">
        <f t="shared" si="48"/>
        <v>468603.59999999998</v>
      </c>
      <c r="N311" s="40">
        <v>0</v>
      </c>
      <c r="O311" s="40">
        <v>0</v>
      </c>
      <c r="P311" s="40">
        <v>0</v>
      </c>
      <c r="Q311" s="40">
        <f>'Таблица 3 '!C301</f>
        <v>468603.59999999998</v>
      </c>
      <c r="R311" s="40">
        <f t="shared" si="49"/>
        <v>468603.59999999998</v>
      </c>
      <c r="S311" s="40">
        <v>0</v>
      </c>
      <c r="T311" s="37">
        <f t="shared" si="44"/>
        <v>723.37696820006181</v>
      </c>
      <c r="U311" s="37">
        <v>1351</v>
      </c>
      <c r="V311" s="77" t="s">
        <v>45</v>
      </c>
      <c r="W311" s="60"/>
    </row>
    <row r="312" s="60" customFormat="1" ht="24" customHeight="1">
      <c r="A312" s="25" t="s">
        <v>399</v>
      </c>
      <c r="B312" s="25"/>
      <c r="C312" s="28" t="s">
        <v>39</v>
      </c>
      <c r="D312" s="28" t="s">
        <v>39</v>
      </c>
      <c r="E312" s="66" t="s">
        <v>39</v>
      </c>
      <c r="F312" s="28" t="s">
        <v>39</v>
      </c>
      <c r="G312" s="28" t="s">
        <v>39</v>
      </c>
      <c r="H312" s="28" t="s">
        <v>39</v>
      </c>
      <c r="I312" s="64">
        <f>SUM(I313:I314)</f>
        <v>2077.5900000000001</v>
      </c>
      <c r="J312" s="64">
        <f>SUM(J313:J314)</f>
        <v>1839.52</v>
      </c>
      <c r="K312" s="64">
        <f>SUM(K313:K314)</f>
        <v>1707.52</v>
      </c>
      <c r="L312" s="65">
        <f>SUM(L313:L314)</f>
        <v>57</v>
      </c>
      <c r="M312" s="64">
        <f>SUM(M313:M314)</f>
        <v>2246914.9700000002</v>
      </c>
      <c r="N312" s="64">
        <f>SUM(N313:N314)</f>
        <v>0</v>
      </c>
      <c r="O312" s="64">
        <f>SUM(O313:O314)</f>
        <v>0</v>
      </c>
      <c r="P312" s="64">
        <f>SUM(P313:P314)</f>
        <v>0</v>
      </c>
      <c r="Q312" s="64">
        <f>SUM(Q313:Q314)</f>
        <v>2246914.9700000002</v>
      </c>
      <c r="R312" s="64">
        <f>SUM(R313:R314)</f>
        <v>2246914.9700000002</v>
      </c>
      <c r="S312" s="64">
        <f>SUM(S313:S314)</f>
        <v>0</v>
      </c>
      <c r="T312" s="32" t="s">
        <v>39</v>
      </c>
      <c r="U312" s="32" t="s">
        <v>39</v>
      </c>
      <c r="V312" s="28" t="s">
        <v>39</v>
      </c>
      <c r="W312" s="60"/>
    </row>
    <row r="313" s="60" customFormat="1" ht="42" customHeight="1">
      <c r="A313" s="36">
        <v>1</v>
      </c>
      <c r="B313" s="52" t="s">
        <v>400</v>
      </c>
      <c r="C313" s="33" t="s">
        <v>43</v>
      </c>
      <c r="D313" s="36">
        <v>1979</v>
      </c>
      <c r="E313" s="67" t="s">
        <v>39</v>
      </c>
      <c r="F313" s="33" t="s">
        <v>77</v>
      </c>
      <c r="G313" s="36">
        <v>2</v>
      </c>
      <c r="H313" s="36">
        <v>3</v>
      </c>
      <c r="I313" s="37">
        <v>988.88999999999999</v>
      </c>
      <c r="J313" s="37">
        <v>856.74000000000001</v>
      </c>
      <c r="K313" s="37">
        <v>856.74000000000001</v>
      </c>
      <c r="L313" s="38">
        <v>29</v>
      </c>
      <c r="M313" s="37">
        <f t="shared" ref="M313:M314" si="51">SUM(N313:Q313)</f>
        <v>1043035.16</v>
      </c>
      <c r="N313" s="37">
        <v>0</v>
      </c>
      <c r="O313" s="37">
        <v>0</v>
      </c>
      <c r="P313" s="37">
        <v>0</v>
      </c>
      <c r="Q313" s="37">
        <f>'Таблица 3 '!C303</f>
        <v>1043035.16</v>
      </c>
      <c r="R313" s="37">
        <f t="shared" ref="R313:R314" si="52">Q313</f>
        <v>1043035.16</v>
      </c>
      <c r="S313" s="37">
        <v>0</v>
      </c>
      <c r="T313" s="37">
        <f t="shared" si="44"/>
        <v>1217.4465532133436</v>
      </c>
      <c r="U313" s="37">
        <f t="shared" si="45"/>
        <v>1217.4465532133436</v>
      </c>
      <c r="V313" s="41" t="s">
        <v>45</v>
      </c>
      <c r="W313" s="60"/>
    </row>
    <row r="314" s="60" customFormat="1" ht="42" customHeight="1">
      <c r="A314" s="36">
        <v>2</v>
      </c>
      <c r="B314" s="52" t="s">
        <v>401</v>
      </c>
      <c r="C314" s="33" t="s">
        <v>43</v>
      </c>
      <c r="D314" s="36">
        <v>1979</v>
      </c>
      <c r="E314" s="67" t="s">
        <v>39</v>
      </c>
      <c r="F314" s="33" t="s">
        <v>77</v>
      </c>
      <c r="G314" s="36">
        <v>2</v>
      </c>
      <c r="H314" s="36">
        <v>3</v>
      </c>
      <c r="I314" s="37">
        <v>1088.7</v>
      </c>
      <c r="J314" s="37">
        <v>982.77999999999997</v>
      </c>
      <c r="K314" s="37">
        <v>850.77999999999997</v>
      </c>
      <c r="L314" s="38">
        <v>28</v>
      </c>
      <c r="M314" s="39">
        <f t="shared" si="51"/>
        <v>1203879.8100000001</v>
      </c>
      <c r="N314" s="37">
        <v>0</v>
      </c>
      <c r="O314" s="37">
        <v>0</v>
      </c>
      <c r="P314" s="37">
        <v>0</v>
      </c>
      <c r="Q314" s="37">
        <f>'Таблица 3 '!C304</f>
        <v>1203879.8100000001</v>
      </c>
      <c r="R314" s="37">
        <f t="shared" si="52"/>
        <v>1203879.8100000001</v>
      </c>
      <c r="S314" s="37">
        <v>0</v>
      </c>
      <c r="T314" s="37">
        <f t="shared" si="44"/>
        <v>1224.9738598669082</v>
      </c>
      <c r="U314" s="37">
        <f t="shared" si="45"/>
        <v>1224.9738598669082</v>
      </c>
      <c r="V314" s="41" t="s">
        <v>45</v>
      </c>
      <c r="W314" s="60"/>
    </row>
    <row r="315" s="60" customFormat="1" ht="24.75" customHeight="1">
      <c r="A315" s="25" t="s">
        <v>402</v>
      </c>
      <c r="B315" s="25"/>
      <c r="C315" s="26" t="s">
        <v>39</v>
      </c>
      <c r="D315" s="28" t="s">
        <v>39</v>
      </c>
      <c r="E315" s="66" t="s">
        <v>39</v>
      </c>
      <c r="F315" s="26" t="s">
        <v>39</v>
      </c>
      <c r="G315" s="28" t="s">
        <v>39</v>
      </c>
      <c r="H315" s="28" t="s">
        <v>39</v>
      </c>
      <c r="I315" s="64">
        <f>SUM(I316:I317)</f>
        <v>2507.5999999999999</v>
      </c>
      <c r="J315" s="64">
        <f>SUM(J316:J317)</f>
        <v>1525.5999999999999</v>
      </c>
      <c r="K315" s="64">
        <f>SUM(K316:K317)</f>
        <v>1407.3</v>
      </c>
      <c r="L315" s="65">
        <f>SUM(L316:L317)</f>
        <v>62</v>
      </c>
      <c r="M315" s="64">
        <f>SUM(M316:M317)</f>
        <v>1575708.7</v>
      </c>
      <c r="N315" s="64">
        <f>SUM(N316:N317)</f>
        <v>0</v>
      </c>
      <c r="O315" s="64">
        <f>SUM(O316:O317)</f>
        <v>0</v>
      </c>
      <c r="P315" s="64">
        <f>SUM(P316:P317)</f>
        <v>0</v>
      </c>
      <c r="Q315" s="64">
        <f>SUM(Q316:Q317)</f>
        <v>1575708.7</v>
      </c>
      <c r="R315" s="64">
        <f>SUM(R316:R317)</f>
        <v>1575708.7</v>
      </c>
      <c r="S315" s="64">
        <f>SUM(S316:S317)</f>
        <v>0</v>
      </c>
      <c r="T315" s="32" t="s">
        <v>39</v>
      </c>
      <c r="U315" s="32" t="s">
        <v>39</v>
      </c>
      <c r="V315" s="28" t="s">
        <v>39</v>
      </c>
      <c r="W315" s="60"/>
    </row>
    <row r="316" s="60" customFormat="1" ht="50.25" customHeight="1">
      <c r="A316" s="33">
        <v>1</v>
      </c>
      <c r="B316" s="52" t="s">
        <v>403</v>
      </c>
      <c r="C316" s="33" t="s">
        <v>43</v>
      </c>
      <c r="D316" s="36">
        <v>1979</v>
      </c>
      <c r="E316" s="67">
        <v>2023</v>
      </c>
      <c r="F316" s="33" t="s">
        <v>77</v>
      </c>
      <c r="G316" s="36">
        <v>2</v>
      </c>
      <c r="H316" s="36">
        <v>3</v>
      </c>
      <c r="I316" s="37">
        <v>1454.5</v>
      </c>
      <c r="J316" s="37">
        <v>965.10000000000002</v>
      </c>
      <c r="K316" s="37">
        <v>846.79999999999995</v>
      </c>
      <c r="L316" s="38">
        <v>39</v>
      </c>
      <c r="M316" s="37">
        <f t="shared" ref="M316:M317" si="53">SUM(N316:Q316)</f>
        <v>942984.60999999999</v>
      </c>
      <c r="N316" s="37">
        <v>0</v>
      </c>
      <c r="O316" s="37">
        <v>0</v>
      </c>
      <c r="P316" s="37">
        <v>0</v>
      </c>
      <c r="Q316" s="37">
        <f>'Таблица 3 '!C306</f>
        <v>942984.60999999999</v>
      </c>
      <c r="R316" s="37">
        <f t="shared" ref="R316:R317" si="54">Q316</f>
        <v>942984.60999999999</v>
      </c>
      <c r="S316" s="37">
        <v>0</v>
      </c>
      <c r="T316" s="37">
        <f t="shared" si="44"/>
        <v>977.08487203398613</v>
      </c>
      <c r="U316" s="37">
        <f t="shared" si="45"/>
        <v>977.08487203398613</v>
      </c>
      <c r="V316" s="41" t="s">
        <v>45</v>
      </c>
      <c r="W316" s="60"/>
    </row>
    <row r="317" s="60" customFormat="1" ht="42" customHeight="1">
      <c r="A317" s="33">
        <v>2</v>
      </c>
      <c r="B317" s="34" t="s">
        <v>404</v>
      </c>
      <c r="C317" s="33" t="s">
        <v>43</v>
      </c>
      <c r="D317" s="33" t="s">
        <v>137</v>
      </c>
      <c r="E317" s="35">
        <v>2023</v>
      </c>
      <c r="F317" s="33" t="s">
        <v>77</v>
      </c>
      <c r="G317" s="36">
        <v>2</v>
      </c>
      <c r="H317" s="36">
        <v>2</v>
      </c>
      <c r="I317" s="40">
        <v>1053.0999999999999</v>
      </c>
      <c r="J317" s="40">
        <v>560.5</v>
      </c>
      <c r="K317" s="40">
        <v>560.5</v>
      </c>
      <c r="L317" s="48">
        <v>23</v>
      </c>
      <c r="M317" s="37">
        <f t="shared" si="53"/>
        <v>632724.08999999997</v>
      </c>
      <c r="N317" s="37">
        <v>0</v>
      </c>
      <c r="O317" s="37">
        <v>0</v>
      </c>
      <c r="P317" s="37">
        <v>0</v>
      </c>
      <c r="Q317" s="37">
        <f>'Таблица 3 '!C307</f>
        <v>632724.08999999997</v>
      </c>
      <c r="R317" s="37">
        <f t="shared" si="54"/>
        <v>632724.08999999997</v>
      </c>
      <c r="S317" s="37">
        <v>0</v>
      </c>
      <c r="T317" s="37">
        <f t="shared" si="44"/>
        <v>1128.8565388046386</v>
      </c>
      <c r="U317" s="37">
        <f t="shared" si="45"/>
        <v>1128.8565388046386</v>
      </c>
      <c r="V317" s="41" t="s">
        <v>45</v>
      </c>
      <c r="W317" s="60"/>
    </row>
    <row r="318" s="60" customFormat="1" ht="25.5" customHeight="1">
      <c r="A318" s="25" t="s">
        <v>405</v>
      </c>
      <c r="B318" s="25"/>
      <c r="C318" s="26" t="s">
        <v>39</v>
      </c>
      <c r="D318" s="26" t="s">
        <v>39</v>
      </c>
      <c r="E318" s="27" t="s">
        <v>39</v>
      </c>
      <c r="F318" s="26" t="s">
        <v>39</v>
      </c>
      <c r="G318" s="28" t="s">
        <v>39</v>
      </c>
      <c r="H318" s="28" t="s">
        <v>39</v>
      </c>
      <c r="I318" s="64">
        <f>SUM(I319:I323)</f>
        <v>14553.200000000001</v>
      </c>
      <c r="J318" s="64">
        <f>SUM(J319:J323)</f>
        <v>11596.200000000001</v>
      </c>
      <c r="K318" s="64">
        <f>SUM(K319:K323)</f>
        <v>0</v>
      </c>
      <c r="L318" s="65">
        <f>SUM(L319:L323)</f>
        <v>200</v>
      </c>
      <c r="M318" s="64">
        <f>SUM(M319:M323)</f>
        <v>70642855.790000007</v>
      </c>
      <c r="N318" s="64">
        <f>SUM(N319:N323)</f>
        <v>0</v>
      </c>
      <c r="O318" s="64">
        <f>SUM(O319:O323)</f>
        <v>0</v>
      </c>
      <c r="P318" s="64">
        <f>SUM(P319:P323)</f>
        <v>0</v>
      </c>
      <c r="Q318" s="64">
        <f>SUM(Q319:Q323)</f>
        <v>70642855.790000007</v>
      </c>
      <c r="R318" s="64">
        <f>SUM(R319:R323)</f>
        <v>70642855.790000007</v>
      </c>
      <c r="S318" s="64">
        <f>SUM(S319:S323)</f>
        <v>0</v>
      </c>
      <c r="T318" s="32" t="s">
        <v>39</v>
      </c>
      <c r="U318" s="32" t="s">
        <v>39</v>
      </c>
      <c r="V318" s="28" t="s">
        <v>39</v>
      </c>
      <c r="W318" s="60"/>
    </row>
    <row r="319" s="60" customFormat="1" ht="42.75">
      <c r="A319" s="33">
        <v>1</v>
      </c>
      <c r="B319" s="50" t="s">
        <v>406</v>
      </c>
      <c r="C319" s="33" t="s">
        <v>43</v>
      </c>
      <c r="D319" s="33">
        <v>1967</v>
      </c>
      <c r="E319" s="35" t="s">
        <v>39</v>
      </c>
      <c r="F319" s="33" t="s">
        <v>48</v>
      </c>
      <c r="G319" s="36">
        <v>5</v>
      </c>
      <c r="H319" s="36">
        <v>3</v>
      </c>
      <c r="I319" s="37">
        <v>3199</v>
      </c>
      <c r="J319" s="37">
        <v>2083.4000000000001</v>
      </c>
      <c r="K319" s="37">
        <v>0</v>
      </c>
      <c r="L319" s="38">
        <v>10</v>
      </c>
      <c r="M319" s="39">
        <f t="shared" ref="M319:M323" si="55">SUM(N319:Q319)</f>
        <v>279124.94</v>
      </c>
      <c r="N319" s="37">
        <v>0</v>
      </c>
      <c r="O319" s="37">
        <v>0</v>
      </c>
      <c r="P319" s="37">
        <v>0</v>
      </c>
      <c r="Q319" s="39">
        <f>'Таблица 3 '!C309</f>
        <v>279124.94</v>
      </c>
      <c r="R319" s="37">
        <f t="shared" ref="R319:R323" si="56">Q319</f>
        <v>279124.94</v>
      </c>
      <c r="S319" s="37">
        <v>0</v>
      </c>
      <c r="T319" s="37">
        <f t="shared" si="44"/>
        <v>133.9756839781127</v>
      </c>
      <c r="U319" s="37">
        <f t="shared" si="45"/>
        <v>133.9756839781127</v>
      </c>
      <c r="V319" s="41" t="s">
        <v>45</v>
      </c>
      <c r="W319" s="60"/>
    </row>
    <row r="320" s="60" customFormat="1" ht="42.75" customHeight="1">
      <c r="A320" s="33">
        <v>2</v>
      </c>
      <c r="B320" s="50" t="s">
        <v>407</v>
      </c>
      <c r="C320" s="33" t="s">
        <v>43</v>
      </c>
      <c r="D320" s="33">
        <v>1971</v>
      </c>
      <c r="E320" s="35" t="s">
        <v>39</v>
      </c>
      <c r="F320" s="33" t="s">
        <v>48</v>
      </c>
      <c r="G320" s="36">
        <v>4</v>
      </c>
      <c r="H320" s="36">
        <v>3</v>
      </c>
      <c r="I320" s="37">
        <v>2079</v>
      </c>
      <c r="J320" s="37">
        <v>2067.1999999999998</v>
      </c>
      <c r="K320" s="37">
        <v>0</v>
      </c>
      <c r="L320" s="38">
        <v>40</v>
      </c>
      <c r="M320" s="39">
        <f t="shared" si="55"/>
        <v>18523667.609999999</v>
      </c>
      <c r="N320" s="37">
        <v>0</v>
      </c>
      <c r="O320" s="37">
        <v>0</v>
      </c>
      <c r="P320" s="37">
        <v>0</v>
      </c>
      <c r="Q320" s="39">
        <f>'Таблица 3 '!C310</f>
        <v>18523667.609999999</v>
      </c>
      <c r="R320" s="37">
        <f t="shared" si="56"/>
        <v>18523667.609999999</v>
      </c>
      <c r="S320" s="37">
        <v>0</v>
      </c>
      <c r="T320" s="37">
        <f t="shared" si="44"/>
        <v>8960.7525203173373</v>
      </c>
      <c r="U320" s="37">
        <f t="shared" si="45"/>
        <v>8960.7525203173373</v>
      </c>
      <c r="V320" s="41" t="s">
        <v>45</v>
      </c>
      <c r="W320" s="60"/>
    </row>
    <row r="321" s="60" customFormat="1" ht="42.75" customHeight="1">
      <c r="A321" s="33">
        <v>3</v>
      </c>
      <c r="B321" s="50" t="s">
        <v>408</v>
      </c>
      <c r="C321" s="33" t="s">
        <v>43</v>
      </c>
      <c r="D321" s="33">
        <v>1975</v>
      </c>
      <c r="E321" s="35" t="s">
        <v>39</v>
      </c>
      <c r="F321" s="33" t="s">
        <v>48</v>
      </c>
      <c r="G321" s="36">
        <v>4</v>
      </c>
      <c r="H321" s="36">
        <v>3</v>
      </c>
      <c r="I321" s="37">
        <v>3047.6999999999998</v>
      </c>
      <c r="J321" s="37">
        <v>2487.5999999999999</v>
      </c>
      <c r="K321" s="37">
        <v>0</v>
      </c>
      <c r="L321" s="38">
        <v>50</v>
      </c>
      <c r="M321" s="39">
        <f t="shared" si="55"/>
        <v>20390700.16</v>
      </c>
      <c r="N321" s="37">
        <v>0</v>
      </c>
      <c r="O321" s="37">
        <v>0</v>
      </c>
      <c r="P321" s="37">
        <v>0</v>
      </c>
      <c r="Q321" s="39">
        <f>'Таблица 3 '!C311</f>
        <v>20390700.16</v>
      </c>
      <c r="R321" s="37">
        <f t="shared" si="56"/>
        <v>20390700.16</v>
      </c>
      <c r="S321" s="37">
        <v>0</v>
      </c>
      <c r="T321" s="37">
        <f t="shared" si="44"/>
        <v>8196.9368708795628</v>
      </c>
      <c r="U321" s="37">
        <f t="shared" si="45"/>
        <v>8196.9368708795628</v>
      </c>
      <c r="V321" s="41" t="s">
        <v>45</v>
      </c>
      <c r="W321" s="60"/>
    </row>
    <row r="322" s="60" customFormat="1" ht="42.75" customHeight="1">
      <c r="A322" s="33">
        <v>4</v>
      </c>
      <c r="B322" s="50" t="s">
        <v>409</v>
      </c>
      <c r="C322" s="33" t="s">
        <v>43</v>
      </c>
      <c r="D322" s="33">
        <v>1973</v>
      </c>
      <c r="E322" s="35" t="s">
        <v>39</v>
      </c>
      <c r="F322" s="33" t="s">
        <v>48</v>
      </c>
      <c r="G322" s="36">
        <v>5</v>
      </c>
      <c r="H322" s="36">
        <v>2</v>
      </c>
      <c r="I322" s="37">
        <v>2847</v>
      </c>
      <c r="J322" s="37">
        <v>1771</v>
      </c>
      <c r="K322" s="37">
        <v>0</v>
      </c>
      <c r="L322" s="38">
        <v>40</v>
      </c>
      <c r="M322" s="39">
        <f t="shared" si="55"/>
        <v>11053795.560000001</v>
      </c>
      <c r="N322" s="37">
        <v>0</v>
      </c>
      <c r="O322" s="37">
        <v>0</v>
      </c>
      <c r="P322" s="37">
        <v>0</v>
      </c>
      <c r="Q322" s="39">
        <f>'Таблица 3 '!C312</f>
        <v>11053795.560000001</v>
      </c>
      <c r="R322" s="37">
        <f t="shared" si="56"/>
        <v>11053795.560000001</v>
      </c>
      <c r="S322" s="37">
        <v>0</v>
      </c>
      <c r="T322" s="37">
        <f t="shared" si="44"/>
        <v>6241.555934500283</v>
      </c>
      <c r="U322" s="37">
        <f t="shared" si="45"/>
        <v>6241.555934500283</v>
      </c>
      <c r="V322" s="41" t="s">
        <v>45</v>
      </c>
      <c r="W322" s="60"/>
    </row>
    <row r="323" s="60" customFormat="1" ht="42.75" customHeight="1">
      <c r="A323" s="33">
        <v>5</v>
      </c>
      <c r="B323" s="50" t="s">
        <v>410</v>
      </c>
      <c r="C323" s="33" t="s">
        <v>43</v>
      </c>
      <c r="D323" s="33">
        <v>1972</v>
      </c>
      <c r="E323" s="35" t="s">
        <v>39</v>
      </c>
      <c r="F323" s="33" t="s">
        <v>48</v>
      </c>
      <c r="G323" s="36">
        <v>5</v>
      </c>
      <c r="H323" s="36">
        <v>3</v>
      </c>
      <c r="I323" s="37">
        <v>3380.5</v>
      </c>
      <c r="J323" s="37">
        <v>3187</v>
      </c>
      <c r="K323" s="37">
        <v>0</v>
      </c>
      <c r="L323" s="38">
        <v>60</v>
      </c>
      <c r="M323" s="39">
        <f t="shared" si="55"/>
        <v>20395567.52</v>
      </c>
      <c r="N323" s="37">
        <v>0</v>
      </c>
      <c r="O323" s="37">
        <v>0</v>
      </c>
      <c r="P323" s="37">
        <v>0</v>
      </c>
      <c r="Q323" s="39">
        <f>'Таблица 3 '!C313</f>
        <v>20395567.52</v>
      </c>
      <c r="R323" s="37">
        <f t="shared" si="56"/>
        <v>20395567.52</v>
      </c>
      <c r="S323" s="37">
        <v>0</v>
      </c>
      <c r="T323" s="37">
        <f t="shared" si="44"/>
        <v>6399.613278945717</v>
      </c>
      <c r="U323" s="37">
        <f t="shared" si="45"/>
        <v>6399.613278945717</v>
      </c>
      <c r="V323" s="41" t="s">
        <v>45</v>
      </c>
      <c r="W323" s="60"/>
    </row>
    <row r="324" s="60" customFormat="1" ht="24" customHeight="1">
      <c r="A324" s="61" t="s">
        <v>411</v>
      </c>
      <c r="B324" s="61"/>
      <c r="C324" s="82" t="s">
        <v>39</v>
      </c>
      <c r="D324" s="83" t="s">
        <v>39</v>
      </c>
      <c r="E324" s="84" t="s">
        <v>39</v>
      </c>
      <c r="F324" s="82" t="s">
        <v>39</v>
      </c>
      <c r="G324" s="85" t="s">
        <v>39</v>
      </c>
      <c r="H324" s="85" t="s">
        <v>39</v>
      </c>
      <c r="I324" s="70">
        <f>SUM(I325:I337)</f>
        <v>39328.300000000003</v>
      </c>
      <c r="J324" s="70">
        <f>SUM(J325:J337)</f>
        <v>35735.200000000004</v>
      </c>
      <c r="K324" s="70">
        <f>SUM(K325:K337)</f>
        <v>34188.800000000003</v>
      </c>
      <c r="L324" s="71">
        <f>SUM(L325:L337)</f>
        <v>1564</v>
      </c>
      <c r="M324" s="70">
        <f>SUM(M325:M337)</f>
        <v>47136180.99000001</v>
      </c>
      <c r="N324" s="70">
        <f>SUM(N325:N337)</f>
        <v>0</v>
      </c>
      <c r="O324" s="70">
        <f>SUM(O325:O337)</f>
        <v>0</v>
      </c>
      <c r="P324" s="70">
        <f>SUM(P325:P337)</f>
        <v>0</v>
      </c>
      <c r="Q324" s="70">
        <f>SUM(Q325:Q337)</f>
        <v>47136180.99000001</v>
      </c>
      <c r="R324" s="70">
        <f>SUM(R325:R337)</f>
        <v>47136180.99000001</v>
      </c>
      <c r="S324" s="70">
        <f>SUM(S325:S337)</f>
        <v>0</v>
      </c>
      <c r="T324" s="32" t="s">
        <v>39</v>
      </c>
      <c r="U324" s="32" t="s">
        <v>39</v>
      </c>
      <c r="V324" s="28" t="s">
        <v>39</v>
      </c>
      <c r="W324" s="60"/>
    </row>
    <row r="325" s="60" customFormat="1" ht="45" customHeight="1">
      <c r="A325" s="33">
        <v>1</v>
      </c>
      <c r="B325" s="86" t="s">
        <v>412</v>
      </c>
      <c r="C325" s="33" t="s">
        <v>43</v>
      </c>
      <c r="D325" s="35">
        <v>1977</v>
      </c>
      <c r="E325" s="35" t="s">
        <v>63</v>
      </c>
      <c r="F325" s="33" t="s">
        <v>77</v>
      </c>
      <c r="G325" s="36" t="s">
        <v>413</v>
      </c>
      <c r="H325" s="36" t="s">
        <v>414</v>
      </c>
      <c r="I325" s="79">
        <v>3159.0999999999999</v>
      </c>
      <c r="J325" s="40">
        <v>2780.1999999999998</v>
      </c>
      <c r="K325" s="40">
        <v>2626.4000000000001</v>
      </c>
      <c r="L325" s="48">
        <v>103</v>
      </c>
      <c r="M325" s="39">
        <f t="shared" ref="M325:M337" si="57">SUM(N325:Q325)</f>
        <v>328715.19</v>
      </c>
      <c r="N325" s="40">
        <v>0</v>
      </c>
      <c r="O325" s="40">
        <v>0</v>
      </c>
      <c r="P325" s="40">
        <v>0</v>
      </c>
      <c r="Q325" s="37">
        <f>'Таблица 3 '!C315</f>
        <v>328715.19</v>
      </c>
      <c r="R325" s="40">
        <f t="shared" ref="R325:R337" si="58">Q325</f>
        <v>328715.19</v>
      </c>
      <c r="S325" s="40">
        <v>0</v>
      </c>
      <c r="T325" s="40">
        <f t="shared" si="44"/>
        <v>118.23436803107691</v>
      </c>
      <c r="U325" s="87">
        <f t="shared" si="45"/>
        <v>118.23436803107691</v>
      </c>
      <c r="V325" s="41" t="s">
        <v>45</v>
      </c>
      <c r="W325" s="60"/>
    </row>
    <row r="326" s="60" customFormat="1" ht="48" customHeight="1">
      <c r="A326" s="33">
        <v>2</v>
      </c>
      <c r="B326" s="34" t="s">
        <v>415</v>
      </c>
      <c r="C326" s="33" t="s">
        <v>43</v>
      </c>
      <c r="D326" s="35">
        <v>1992</v>
      </c>
      <c r="E326" s="35">
        <v>2018</v>
      </c>
      <c r="F326" s="33" t="s">
        <v>77</v>
      </c>
      <c r="G326" s="36" t="s">
        <v>413</v>
      </c>
      <c r="H326" s="36" t="s">
        <v>414</v>
      </c>
      <c r="I326" s="37">
        <v>4378.1999999999998</v>
      </c>
      <c r="J326" s="37">
        <v>3819.9000000000001</v>
      </c>
      <c r="K326" s="37">
        <v>3601.5999999999999</v>
      </c>
      <c r="L326" s="38">
        <v>146</v>
      </c>
      <c r="M326" s="39">
        <f t="shared" si="57"/>
        <v>7827952.0399999991</v>
      </c>
      <c r="N326" s="37">
        <v>0</v>
      </c>
      <c r="O326" s="37">
        <v>0</v>
      </c>
      <c r="P326" s="37">
        <v>0</v>
      </c>
      <c r="Q326" s="37">
        <f>'Таблица 3 '!C316</f>
        <v>7827952.0399999991</v>
      </c>
      <c r="R326" s="37">
        <f t="shared" si="58"/>
        <v>7827952.0399999991</v>
      </c>
      <c r="S326" s="37">
        <v>0</v>
      </c>
      <c r="T326" s="40">
        <f t="shared" si="44"/>
        <v>2049.2557501505271</v>
      </c>
      <c r="U326" s="87">
        <f t="shared" si="45"/>
        <v>2049.2557501505271</v>
      </c>
      <c r="V326" s="41" t="s">
        <v>45</v>
      </c>
      <c r="W326" s="60"/>
    </row>
    <row r="327" s="60" customFormat="1" ht="48" customHeight="1">
      <c r="A327" s="33">
        <v>3</v>
      </c>
      <c r="B327" s="50" t="s">
        <v>416</v>
      </c>
      <c r="C327" s="33" t="s">
        <v>43</v>
      </c>
      <c r="D327" s="35">
        <v>1968</v>
      </c>
      <c r="E327" s="35" t="s">
        <v>39</v>
      </c>
      <c r="F327" s="33" t="s">
        <v>48</v>
      </c>
      <c r="G327" s="36" t="s">
        <v>413</v>
      </c>
      <c r="H327" s="36" t="s">
        <v>414</v>
      </c>
      <c r="I327" s="37">
        <v>3338.5</v>
      </c>
      <c r="J327" s="37">
        <v>3262.9000000000001</v>
      </c>
      <c r="K327" s="37">
        <v>2752.4000000000001</v>
      </c>
      <c r="L327" s="38">
        <v>179</v>
      </c>
      <c r="M327" s="39">
        <f t="shared" si="57"/>
        <v>7111285.0199999996</v>
      </c>
      <c r="N327" s="37">
        <v>0</v>
      </c>
      <c r="O327" s="37">
        <v>0</v>
      </c>
      <c r="P327" s="37">
        <v>0</v>
      </c>
      <c r="Q327" s="37">
        <f>'Таблица 3 '!C317</f>
        <v>7111285.0199999996</v>
      </c>
      <c r="R327" s="37">
        <f t="shared" si="58"/>
        <v>7111285.0199999996</v>
      </c>
      <c r="S327" s="37">
        <v>0</v>
      </c>
      <c r="T327" s="40">
        <f t="shared" si="44"/>
        <v>2179.4370100217598</v>
      </c>
      <c r="U327" s="87">
        <f t="shared" si="45"/>
        <v>2179.4370100217598</v>
      </c>
      <c r="V327" s="41" t="s">
        <v>45</v>
      </c>
      <c r="W327" s="60"/>
    </row>
    <row r="328" s="60" customFormat="1" ht="48" customHeight="1">
      <c r="A328" s="33">
        <v>4</v>
      </c>
      <c r="B328" s="50" t="s">
        <v>417</v>
      </c>
      <c r="C328" s="33" t="s">
        <v>43</v>
      </c>
      <c r="D328" s="33">
        <v>1962</v>
      </c>
      <c r="E328" s="35" t="s">
        <v>40</v>
      </c>
      <c r="F328" s="33" t="s">
        <v>44</v>
      </c>
      <c r="G328" s="36">
        <v>4</v>
      </c>
      <c r="H328" s="36">
        <v>2</v>
      </c>
      <c r="I328" s="40">
        <v>1364.9000000000001</v>
      </c>
      <c r="J328" s="40">
        <v>1200.7</v>
      </c>
      <c r="K328" s="40">
        <v>1198.5</v>
      </c>
      <c r="L328" s="48">
        <v>53</v>
      </c>
      <c r="M328" s="39">
        <f t="shared" si="57"/>
        <v>266053.58000000002</v>
      </c>
      <c r="N328" s="37">
        <v>0</v>
      </c>
      <c r="O328" s="37">
        <v>0</v>
      </c>
      <c r="P328" s="37">
        <v>0</v>
      </c>
      <c r="Q328" s="37">
        <f>'Таблица 3 '!C318</f>
        <v>266053.58000000002</v>
      </c>
      <c r="R328" s="37">
        <f t="shared" si="58"/>
        <v>266053.58000000002</v>
      </c>
      <c r="S328" s="37">
        <v>0</v>
      </c>
      <c r="T328" s="40">
        <f t="shared" si="44"/>
        <v>221.58206046472893</v>
      </c>
      <c r="U328" s="87">
        <f t="shared" si="45"/>
        <v>221.58206046472893</v>
      </c>
      <c r="V328" s="41" t="s">
        <v>45</v>
      </c>
      <c r="W328" s="60"/>
    </row>
    <row r="329" s="60" customFormat="1" ht="48" customHeight="1">
      <c r="A329" s="33">
        <v>5</v>
      </c>
      <c r="B329" s="34" t="s">
        <v>418</v>
      </c>
      <c r="C329" s="33" t="s">
        <v>43</v>
      </c>
      <c r="D329" s="35">
        <v>1960</v>
      </c>
      <c r="E329" s="35" t="s">
        <v>39</v>
      </c>
      <c r="F329" s="33" t="s">
        <v>77</v>
      </c>
      <c r="G329" s="36" t="s">
        <v>419</v>
      </c>
      <c r="H329" s="36" t="s">
        <v>419</v>
      </c>
      <c r="I329" s="37">
        <v>652.29999999999995</v>
      </c>
      <c r="J329" s="37">
        <v>628.29999999999995</v>
      </c>
      <c r="K329" s="37">
        <v>587</v>
      </c>
      <c r="L329" s="38">
        <v>38</v>
      </c>
      <c r="M329" s="39">
        <f t="shared" si="57"/>
        <v>635329.48999999999</v>
      </c>
      <c r="N329" s="37">
        <v>0</v>
      </c>
      <c r="O329" s="37">
        <v>0</v>
      </c>
      <c r="P329" s="37">
        <v>0</v>
      </c>
      <c r="Q329" s="37">
        <f>'Таблица 3 '!C319</f>
        <v>635329.48999999999</v>
      </c>
      <c r="R329" s="37">
        <f t="shared" si="58"/>
        <v>635329.48999999999</v>
      </c>
      <c r="S329" s="37">
        <v>0</v>
      </c>
      <c r="T329" s="40">
        <f t="shared" si="44"/>
        <v>1011.1881107751075</v>
      </c>
      <c r="U329" s="87">
        <f t="shared" si="45"/>
        <v>1011.1881107751075</v>
      </c>
      <c r="V329" s="41" t="s">
        <v>45</v>
      </c>
      <c r="W329" s="60"/>
    </row>
    <row r="330" s="60" customFormat="1" ht="48" customHeight="1">
      <c r="A330" s="33">
        <v>6</v>
      </c>
      <c r="B330" s="34" t="s">
        <v>420</v>
      </c>
      <c r="C330" s="33" t="s">
        <v>43</v>
      </c>
      <c r="D330" s="35">
        <v>1988</v>
      </c>
      <c r="E330" s="35">
        <v>2018</v>
      </c>
      <c r="F330" s="33" t="s">
        <v>77</v>
      </c>
      <c r="G330" s="36" t="s">
        <v>421</v>
      </c>
      <c r="H330" s="36" t="s">
        <v>414</v>
      </c>
      <c r="I330" s="37">
        <v>4979.1000000000004</v>
      </c>
      <c r="J330" s="37">
        <v>4358.1999999999998</v>
      </c>
      <c r="K330" s="37">
        <v>4358.1999999999998</v>
      </c>
      <c r="L330" s="38">
        <v>186</v>
      </c>
      <c r="M330" s="39">
        <f t="shared" si="57"/>
        <v>27543608.879999999</v>
      </c>
      <c r="N330" s="37">
        <v>0</v>
      </c>
      <c r="O330" s="37">
        <v>0</v>
      </c>
      <c r="P330" s="37">
        <v>0</v>
      </c>
      <c r="Q330" s="37">
        <f>'Таблица 3 '!C320</f>
        <v>27543608.879999999</v>
      </c>
      <c r="R330" s="37">
        <f t="shared" si="58"/>
        <v>27543608.879999999</v>
      </c>
      <c r="S330" s="37">
        <v>0</v>
      </c>
      <c r="T330" s="40">
        <f t="shared" si="44"/>
        <v>6319.9506401725484</v>
      </c>
      <c r="U330" s="87">
        <f t="shared" si="45"/>
        <v>6319.9506401725484</v>
      </c>
      <c r="V330" s="41" t="s">
        <v>45</v>
      </c>
      <c r="W330" s="60"/>
    </row>
    <row r="331" s="60" customFormat="1" ht="48" customHeight="1">
      <c r="A331" s="33">
        <v>7</v>
      </c>
      <c r="B331" s="34" t="s">
        <v>422</v>
      </c>
      <c r="C331" s="33" t="s">
        <v>43</v>
      </c>
      <c r="D331" s="35">
        <v>1967</v>
      </c>
      <c r="E331" s="35" t="s">
        <v>63</v>
      </c>
      <c r="F331" s="33" t="s">
        <v>77</v>
      </c>
      <c r="G331" s="36" t="s">
        <v>413</v>
      </c>
      <c r="H331" s="36" t="s">
        <v>414</v>
      </c>
      <c r="I331" s="79">
        <v>3677.3000000000002</v>
      </c>
      <c r="J331" s="40">
        <v>3377.1999999999998</v>
      </c>
      <c r="K331" s="40">
        <v>3287.4000000000001</v>
      </c>
      <c r="L331" s="48">
        <v>150</v>
      </c>
      <c r="M331" s="87">
        <f t="shared" si="57"/>
        <v>301979.03000000003</v>
      </c>
      <c r="N331" s="40">
        <v>0</v>
      </c>
      <c r="O331" s="40">
        <v>0</v>
      </c>
      <c r="P331" s="40">
        <v>0</v>
      </c>
      <c r="Q331" s="37">
        <f>'Таблица 3 '!C321</f>
        <v>301979.03000000003</v>
      </c>
      <c r="R331" s="40">
        <f t="shared" si="58"/>
        <v>301979.03000000003</v>
      </c>
      <c r="S331" s="40">
        <v>0</v>
      </c>
      <c r="T331" s="40">
        <f t="shared" si="44"/>
        <v>89.416981523155286</v>
      </c>
      <c r="U331" s="87">
        <f t="shared" si="45"/>
        <v>89.416981523155286</v>
      </c>
      <c r="V331" s="41" t="s">
        <v>45</v>
      </c>
      <c r="W331" s="60"/>
    </row>
    <row r="332" s="60" customFormat="1" ht="48" customHeight="1">
      <c r="A332" s="33">
        <v>8</v>
      </c>
      <c r="B332" s="34" t="s">
        <v>423</v>
      </c>
      <c r="C332" s="33" t="s">
        <v>43</v>
      </c>
      <c r="D332" s="35">
        <v>1971</v>
      </c>
      <c r="E332" s="35" t="s">
        <v>57</v>
      </c>
      <c r="F332" s="33" t="s">
        <v>77</v>
      </c>
      <c r="G332" s="36" t="s">
        <v>413</v>
      </c>
      <c r="H332" s="36" t="s">
        <v>414</v>
      </c>
      <c r="I332" s="79">
        <v>3341.4000000000001</v>
      </c>
      <c r="J332" s="40">
        <v>3149.1999999999998</v>
      </c>
      <c r="K332" s="40">
        <v>2920.6999999999998</v>
      </c>
      <c r="L332" s="48">
        <v>124</v>
      </c>
      <c r="M332" s="87">
        <f t="shared" si="57"/>
        <v>305183.58000000002</v>
      </c>
      <c r="N332" s="40">
        <v>0</v>
      </c>
      <c r="O332" s="40">
        <v>0</v>
      </c>
      <c r="P332" s="40">
        <v>0</v>
      </c>
      <c r="Q332" s="37">
        <f>'Таблица 3 '!C322</f>
        <v>305183.58000000002</v>
      </c>
      <c r="R332" s="40">
        <f t="shared" si="58"/>
        <v>305183.58000000002</v>
      </c>
      <c r="S332" s="40">
        <v>0</v>
      </c>
      <c r="T332" s="40">
        <f t="shared" si="44"/>
        <v>96.908287819128674</v>
      </c>
      <c r="U332" s="87">
        <f t="shared" si="45"/>
        <v>96.908287819128674</v>
      </c>
      <c r="V332" s="41" t="s">
        <v>45</v>
      </c>
      <c r="W332" s="60"/>
    </row>
    <row r="333" s="60" customFormat="1" ht="48" customHeight="1">
      <c r="A333" s="33">
        <v>9</v>
      </c>
      <c r="B333" s="34" t="s">
        <v>424</v>
      </c>
      <c r="C333" s="33" t="s">
        <v>43</v>
      </c>
      <c r="D333" s="35">
        <v>1968</v>
      </c>
      <c r="E333" s="35" t="s">
        <v>70</v>
      </c>
      <c r="F333" s="33" t="s">
        <v>77</v>
      </c>
      <c r="G333" s="36" t="s">
        <v>413</v>
      </c>
      <c r="H333" s="36" t="s">
        <v>414</v>
      </c>
      <c r="I333" s="79">
        <v>3388.9000000000001</v>
      </c>
      <c r="J333" s="40">
        <v>3139.6999999999998</v>
      </c>
      <c r="K333" s="40">
        <v>3109.3000000000002</v>
      </c>
      <c r="L333" s="48">
        <v>141</v>
      </c>
      <c r="M333" s="87">
        <f t="shared" si="57"/>
        <v>301548.72999999998</v>
      </c>
      <c r="N333" s="40">
        <v>0</v>
      </c>
      <c r="O333" s="40">
        <v>0</v>
      </c>
      <c r="P333" s="40">
        <v>0</v>
      </c>
      <c r="Q333" s="37">
        <f>'Таблица 3 '!C323</f>
        <v>301548.72999999998</v>
      </c>
      <c r="R333" s="40">
        <f t="shared" si="58"/>
        <v>301548.72999999998</v>
      </c>
      <c r="S333" s="40">
        <v>0</v>
      </c>
      <c r="T333" s="40">
        <f t="shared" si="44"/>
        <v>96.043803548109693</v>
      </c>
      <c r="U333" s="87">
        <f t="shared" si="45"/>
        <v>96.043803548109693</v>
      </c>
      <c r="V333" s="41" t="s">
        <v>45</v>
      </c>
      <c r="W333" s="60"/>
    </row>
    <row r="334" s="60" customFormat="1" ht="48" customHeight="1">
      <c r="A334" s="33">
        <v>10</v>
      </c>
      <c r="B334" s="34" t="s">
        <v>425</v>
      </c>
      <c r="C334" s="33" t="s">
        <v>43</v>
      </c>
      <c r="D334" s="35">
        <v>1970</v>
      </c>
      <c r="E334" s="35" t="s">
        <v>39</v>
      </c>
      <c r="F334" s="33" t="s">
        <v>77</v>
      </c>
      <c r="G334" s="36" t="s">
        <v>413</v>
      </c>
      <c r="H334" s="36" t="s">
        <v>414</v>
      </c>
      <c r="I334" s="79">
        <v>3373.5999999999999</v>
      </c>
      <c r="J334" s="40">
        <v>3066.1999999999998</v>
      </c>
      <c r="K334" s="40">
        <v>2940.9000000000001</v>
      </c>
      <c r="L334" s="48">
        <v>146</v>
      </c>
      <c r="M334" s="87">
        <f t="shared" si="57"/>
        <v>305096.59000000003</v>
      </c>
      <c r="N334" s="40">
        <v>0</v>
      </c>
      <c r="O334" s="40">
        <v>0</v>
      </c>
      <c r="P334" s="40">
        <v>0</v>
      </c>
      <c r="Q334" s="37">
        <f>'Таблица 3 '!C324</f>
        <v>305096.59000000003</v>
      </c>
      <c r="R334" s="40">
        <f t="shared" si="58"/>
        <v>305096.59000000003</v>
      </c>
      <c r="S334" s="40">
        <v>0</v>
      </c>
      <c r="T334" s="40">
        <f t="shared" si="44"/>
        <v>99.503160263518382</v>
      </c>
      <c r="U334" s="87">
        <f t="shared" si="45"/>
        <v>99.503160263518382</v>
      </c>
      <c r="V334" s="41" t="s">
        <v>45</v>
      </c>
      <c r="W334" s="60"/>
    </row>
    <row r="335" s="60" customFormat="1" ht="48" customHeight="1">
      <c r="A335" s="33">
        <v>11</v>
      </c>
      <c r="B335" s="34" t="s">
        <v>426</v>
      </c>
      <c r="C335" s="33" t="s">
        <v>43</v>
      </c>
      <c r="D335" s="35">
        <v>1969</v>
      </c>
      <c r="E335" s="35" t="s">
        <v>63</v>
      </c>
      <c r="F335" s="33" t="s">
        <v>77</v>
      </c>
      <c r="G335" s="36" t="s">
        <v>413</v>
      </c>
      <c r="H335" s="36" t="s">
        <v>414</v>
      </c>
      <c r="I335" s="79">
        <v>3353.5999999999999</v>
      </c>
      <c r="J335" s="40">
        <v>3109.1999999999998</v>
      </c>
      <c r="K335" s="40">
        <v>2962.9000000000001</v>
      </c>
      <c r="L335" s="48">
        <v>114</v>
      </c>
      <c r="M335" s="39">
        <f t="shared" si="57"/>
        <v>252606.28</v>
      </c>
      <c r="N335" s="40">
        <v>0</v>
      </c>
      <c r="O335" s="40">
        <v>0</v>
      </c>
      <c r="P335" s="40">
        <v>0</v>
      </c>
      <c r="Q335" s="37">
        <f>'Таблица 3 '!C325</f>
        <v>252606.28</v>
      </c>
      <c r="R335" s="40">
        <f t="shared" si="58"/>
        <v>252606.28</v>
      </c>
      <c r="S335" s="40">
        <v>0</v>
      </c>
      <c r="T335" s="40">
        <f t="shared" si="44"/>
        <v>81.244783223980448</v>
      </c>
      <c r="U335" s="87">
        <f t="shared" si="45"/>
        <v>81.244783223980448</v>
      </c>
      <c r="V335" s="41" t="s">
        <v>45</v>
      </c>
      <c r="W335" s="60"/>
    </row>
    <row r="336" s="60" customFormat="1" ht="48" customHeight="1">
      <c r="A336" s="33">
        <v>12</v>
      </c>
      <c r="B336" s="34" t="s">
        <v>427</v>
      </c>
      <c r="C336" s="33" t="s">
        <v>43</v>
      </c>
      <c r="D336" s="35" t="s">
        <v>93</v>
      </c>
      <c r="E336" s="35" t="s">
        <v>39</v>
      </c>
      <c r="F336" s="33" t="s">
        <v>77</v>
      </c>
      <c r="G336" s="36">
        <v>4</v>
      </c>
      <c r="H336" s="36">
        <v>2</v>
      </c>
      <c r="I336" s="56">
        <v>1560.4000000000001</v>
      </c>
      <c r="J336" s="37">
        <v>1293.2</v>
      </c>
      <c r="K336" s="37">
        <v>1293.2</v>
      </c>
      <c r="L336" s="38">
        <v>73</v>
      </c>
      <c r="M336" s="39">
        <f t="shared" si="57"/>
        <v>274193.38</v>
      </c>
      <c r="N336" s="37">
        <v>0</v>
      </c>
      <c r="O336" s="37">
        <v>0</v>
      </c>
      <c r="P336" s="37">
        <v>0</v>
      </c>
      <c r="Q336" s="37">
        <f>'Таблица 3 '!C326</f>
        <v>274193.38</v>
      </c>
      <c r="R336" s="37">
        <f t="shared" si="58"/>
        <v>274193.38</v>
      </c>
      <c r="S336" s="37">
        <v>0</v>
      </c>
      <c r="T336" s="40">
        <f t="shared" si="44"/>
        <v>212.02704918032788</v>
      </c>
      <c r="U336" s="87">
        <f t="shared" si="45"/>
        <v>212.02704918032788</v>
      </c>
      <c r="V336" s="41" t="s">
        <v>45</v>
      </c>
      <c r="W336" s="60"/>
    </row>
    <row r="337" s="60" customFormat="1" ht="48" customHeight="1">
      <c r="A337" s="33">
        <v>13</v>
      </c>
      <c r="B337" s="34" t="s">
        <v>428</v>
      </c>
      <c r="C337" s="33" t="s">
        <v>43</v>
      </c>
      <c r="D337" s="35">
        <v>1964</v>
      </c>
      <c r="E337" s="35" t="s">
        <v>39</v>
      </c>
      <c r="F337" s="33" t="s">
        <v>77</v>
      </c>
      <c r="G337" s="36" t="s">
        <v>413</v>
      </c>
      <c r="H337" s="36">
        <v>3</v>
      </c>
      <c r="I337" s="79">
        <v>2761</v>
      </c>
      <c r="J337" s="40">
        <v>2550.3000000000002</v>
      </c>
      <c r="K337" s="40">
        <v>2550.3000000000002</v>
      </c>
      <c r="L337" s="48">
        <v>111</v>
      </c>
      <c r="M337" s="39">
        <f t="shared" si="57"/>
        <v>1682629.2</v>
      </c>
      <c r="N337" s="37">
        <v>0</v>
      </c>
      <c r="O337" s="37">
        <v>0</v>
      </c>
      <c r="P337" s="37">
        <v>0</v>
      </c>
      <c r="Q337" s="37">
        <f>'Таблица 3 '!C327</f>
        <v>1682629.2</v>
      </c>
      <c r="R337" s="37">
        <f t="shared" si="58"/>
        <v>1682629.2</v>
      </c>
      <c r="S337" s="40">
        <v>0</v>
      </c>
      <c r="T337" s="40">
        <f t="shared" si="44"/>
        <v>659.77696741559805</v>
      </c>
      <c r="U337" s="87">
        <f t="shared" si="45"/>
        <v>659.77696741559805</v>
      </c>
      <c r="V337" s="41" t="s">
        <v>45</v>
      </c>
      <c r="W337" s="60"/>
    </row>
    <row r="338" s="60" customFormat="1" ht="25.5" customHeight="1">
      <c r="A338" s="25" t="s">
        <v>429</v>
      </c>
      <c r="B338" s="25"/>
      <c r="C338" s="26" t="s">
        <v>39</v>
      </c>
      <c r="D338" s="26" t="s">
        <v>39</v>
      </c>
      <c r="E338" s="27" t="s">
        <v>39</v>
      </c>
      <c r="F338" s="26" t="s">
        <v>39</v>
      </c>
      <c r="G338" s="28" t="s">
        <v>39</v>
      </c>
      <c r="H338" s="28" t="s">
        <v>39</v>
      </c>
      <c r="I338" s="88">
        <f>SUM(I339:I343)</f>
        <v>14979.040000000001</v>
      </c>
      <c r="J338" s="88">
        <f>SUM(J339:J343)</f>
        <v>12178.549999999999</v>
      </c>
      <c r="K338" s="88">
        <f>SUM(K339:K343)</f>
        <v>8893.0900000000001</v>
      </c>
      <c r="L338" s="89">
        <f>SUM(L339:L343)</f>
        <v>576</v>
      </c>
      <c r="M338" s="88">
        <f>SUM(M339:M343)</f>
        <v>9147092.0600000005</v>
      </c>
      <c r="N338" s="88">
        <f>SUM(N339:N343)</f>
        <v>0</v>
      </c>
      <c r="O338" s="88">
        <f>SUM(O339:O343)</f>
        <v>0</v>
      </c>
      <c r="P338" s="88">
        <f>SUM(P339:P343)</f>
        <v>0</v>
      </c>
      <c r="Q338" s="88">
        <f>SUM(Q339:Q343)</f>
        <v>9147092.0600000005</v>
      </c>
      <c r="R338" s="88">
        <f>SUM(R339:R343)</f>
        <v>9147092.0600000005</v>
      </c>
      <c r="S338" s="88">
        <f>SUM(S339:S343)</f>
        <v>0</v>
      </c>
      <c r="T338" s="32" t="s">
        <v>39</v>
      </c>
      <c r="U338" s="32" t="s">
        <v>39</v>
      </c>
      <c r="V338" s="28" t="s">
        <v>39</v>
      </c>
      <c r="W338" s="60"/>
    </row>
    <row r="339" s="60" customFormat="1" ht="43.5" customHeight="1">
      <c r="A339" s="33">
        <v>1</v>
      </c>
      <c r="B339" s="50" t="s">
        <v>430</v>
      </c>
      <c r="C339" s="43" t="s">
        <v>43</v>
      </c>
      <c r="D339" s="35" t="s">
        <v>213</v>
      </c>
      <c r="E339" s="44" t="s">
        <v>39</v>
      </c>
      <c r="F339" s="33" t="s">
        <v>77</v>
      </c>
      <c r="G339" s="45">
        <v>5</v>
      </c>
      <c r="H339" s="36">
        <v>6</v>
      </c>
      <c r="I339" s="39">
        <v>5895.8000000000002</v>
      </c>
      <c r="J339" s="39">
        <v>4456.3000000000002</v>
      </c>
      <c r="K339" s="39">
        <v>2839.5</v>
      </c>
      <c r="L339" s="90">
        <v>264</v>
      </c>
      <c r="M339" s="39">
        <f t="shared" ref="M339:M343" si="59">SUM(N339:Q339)</f>
        <v>7328083.9000000004</v>
      </c>
      <c r="N339" s="46">
        <v>0</v>
      </c>
      <c r="O339" s="37">
        <v>0</v>
      </c>
      <c r="P339" s="46">
        <v>0</v>
      </c>
      <c r="Q339" s="39">
        <f>'Таблица 3 '!C329</f>
        <v>7328083.9000000004</v>
      </c>
      <c r="R339" s="46">
        <f t="shared" ref="R339:R343" si="60">Q339</f>
        <v>7328083.9000000004</v>
      </c>
      <c r="S339" s="37">
        <v>0</v>
      </c>
      <c r="T339" s="46">
        <f t="shared" si="44"/>
        <v>1644.4323541951844</v>
      </c>
      <c r="U339" s="37">
        <f t="shared" si="45"/>
        <v>1644.4323541951844</v>
      </c>
      <c r="V339" s="41" t="s">
        <v>45</v>
      </c>
      <c r="W339" s="59"/>
    </row>
    <row r="340" s="60" customFormat="1" ht="48" customHeight="1">
      <c r="A340" s="33">
        <v>2</v>
      </c>
      <c r="B340" s="50" t="s">
        <v>431</v>
      </c>
      <c r="C340" s="33" t="s">
        <v>43</v>
      </c>
      <c r="D340" s="35">
        <v>1974</v>
      </c>
      <c r="E340" s="35">
        <v>2018</v>
      </c>
      <c r="F340" s="33" t="s">
        <v>48</v>
      </c>
      <c r="G340" s="36">
        <v>5</v>
      </c>
      <c r="H340" s="36">
        <v>4</v>
      </c>
      <c r="I340" s="39">
        <v>3992.9099999999999</v>
      </c>
      <c r="J340" s="39">
        <v>3283.5999999999999</v>
      </c>
      <c r="K340" s="39">
        <v>2227.8600000000001</v>
      </c>
      <c r="L340" s="38">
        <v>149</v>
      </c>
      <c r="M340" s="39">
        <f t="shared" si="59"/>
        <v>621356.68999999994</v>
      </c>
      <c r="N340" s="37">
        <v>0</v>
      </c>
      <c r="O340" s="37">
        <v>0</v>
      </c>
      <c r="P340" s="37">
        <v>0</v>
      </c>
      <c r="Q340" s="39">
        <f>'Таблица 3 '!C330</f>
        <v>621356.68999999994</v>
      </c>
      <c r="R340" s="37">
        <f t="shared" si="60"/>
        <v>621356.68999999994</v>
      </c>
      <c r="S340" s="37">
        <v>0</v>
      </c>
      <c r="T340" s="37">
        <f t="shared" si="44"/>
        <v>189.23032342550857</v>
      </c>
      <c r="U340" s="37">
        <f t="shared" si="45"/>
        <v>189.23032342550857</v>
      </c>
      <c r="V340" s="91" t="s">
        <v>45</v>
      </c>
      <c r="W340" s="60"/>
    </row>
    <row r="341" s="60" customFormat="1" ht="48" customHeight="1">
      <c r="A341" s="33">
        <v>3</v>
      </c>
      <c r="B341" s="50" t="s">
        <v>432</v>
      </c>
      <c r="C341" s="33" t="s">
        <v>43</v>
      </c>
      <c r="D341" s="33">
        <v>2024</v>
      </c>
      <c r="E341" s="35" t="s">
        <v>40</v>
      </c>
      <c r="F341" s="33" t="s">
        <v>383</v>
      </c>
      <c r="G341" s="36">
        <v>5</v>
      </c>
      <c r="H341" s="36">
        <v>3</v>
      </c>
      <c r="I341" s="40">
        <v>3726.6999999999998</v>
      </c>
      <c r="J341" s="40">
        <v>3198.5999999999999</v>
      </c>
      <c r="K341" s="40">
        <v>2692.98</v>
      </c>
      <c r="L341" s="48">
        <v>110</v>
      </c>
      <c r="M341" s="39">
        <f t="shared" si="59"/>
        <v>312499.01000000001</v>
      </c>
      <c r="N341" s="37">
        <v>0</v>
      </c>
      <c r="O341" s="37">
        <v>0</v>
      </c>
      <c r="P341" s="37">
        <v>0</v>
      </c>
      <c r="Q341" s="39">
        <f>'Таблица 3 '!C331</f>
        <v>312499.01000000001</v>
      </c>
      <c r="R341" s="37">
        <f t="shared" si="60"/>
        <v>312499.01000000001</v>
      </c>
      <c r="S341" s="37">
        <v>0</v>
      </c>
      <c r="T341" s="37">
        <f t="shared" ref="T341:T404" si="61">M341/J341</f>
        <v>97.69868379916214</v>
      </c>
      <c r="U341" s="37">
        <f t="shared" ref="U341:U404" si="62">T341</f>
        <v>97.69868379916214</v>
      </c>
      <c r="V341" s="41" t="s">
        <v>45</v>
      </c>
      <c r="W341" s="60"/>
    </row>
    <row r="342" s="60" customFormat="1" ht="48" customHeight="1">
      <c r="A342" s="33">
        <v>4</v>
      </c>
      <c r="B342" s="50" t="s">
        <v>433</v>
      </c>
      <c r="C342" s="33" t="s">
        <v>43</v>
      </c>
      <c r="D342" s="33">
        <v>1979</v>
      </c>
      <c r="E342" s="35">
        <v>2019</v>
      </c>
      <c r="F342" s="33" t="s">
        <v>77</v>
      </c>
      <c r="G342" s="36">
        <v>2</v>
      </c>
      <c r="H342" s="36">
        <v>2</v>
      </c>
      <c r="I342" s="92">
        <v>583.85000000000002</v>
      </c>
      <c r="J342" s="87">
        <v>499.05000000000001</v>
      </c>
      <c r="K342" s="87">
        <v>499.05000000000001</v>
      </c>
      <c r="L342" s="48">
        <v>18</v>
      </c>
      <c r="M342" s="39">
        <f t="shared" si="59"/>
        <v>426487.32999999996</v>
      </c>
      <c r="N342" s="37">
        <v>0</v>
      </c>
      <c r="O342" s="37">
        <v>0</v>
      </c>
      <c r="P342" s="37">
        <v>0</v>
      </c>
      <c r="Q342" s="39">
        <f>'Таблица 3 '!C332</f>
        <v>426487.32999999996</v>
      </c>
      <c r="R342" s="37">
        <f t="shared" si="60"/>
        <v>426487.32999999996</v>
      </c>
      <c r="S342" s="40">
        <v>0</v>
      </c>
      <c r="T342" s="37">
        <f t="shared" si="61"/>
        <v>854.59839695421294</v>
      </c>
      <c r="U342" s="37">
        <f t="shared" si="62"/>
        <v>854.59839695421294</v>
      </c>
      <c r="V342" s="91" t="s">
        <v>45</v>
      </c>
      <c r="W342" s="60"/>
    </row>
    <row r="343" s="60" customFormat="1" ht="48" customHeight="1">
      <c r="A343" s="33">
        <v>5</v>
      </c>
      <c r="B343" s="50" t="s">
        <v>434</v>
      </c>
      <c r="C343" s="33" t="s">
        <v>43</v>
      </c>
      <c r="D343" s="33">
        <v>1974</v>
      </c>
      <c r="E343" s="35" t="s">
        <v>39</v>
      </c>
      <c r="F343" s="33" t="s">
        <v>77</v>
      </c>
      <c r="G343" s="36">
        <v>2</v>
      </c>
      <c r="H343" s="36">
        <v>2</v>
      </c>
      <c r="I343" s="92">
        <v>779.77999999999997</v>
      </c>
      <c r="J343" s="87">
        <v>741</v>
      </c>
      <c r="K343" s="87">
        <v>633.70000000000005</v>
      </c>
      <c r="L343" s="48">
        <v>35</v>
      </c>
      <c r="M343" s="39">
        <f t="shared" si="59"/>
        <v>458665.13</v>
      </c>
      <c r="N343" s="37">
        <v>0</v>
      </c>
      <c r="O343" s="37">
        <v>0</v>
      </c>
      <c r="P343" s="37">
        <v>0</v>
      </c>
      <c r="Q343" s="39">
        <f>'Таблица 3 '!C333</f>
        <v>458665.13</v>
      </c>
      <c r="R343" s="37">
        <f t="shared" si="60"/>
        <v>458665.13</v>
      </c>
      <c r="S343" s="40">
        <v>0</v>
      </c>
      <c r="T343" s="37">
        <f t="shared" si="61"/>
        <v>618.98128205128205</v>
      </c>
      <c r="U343" s="37">
        <f t="shared" si="62"/>
        <v>618.98128205128205</v>
      </c>
      <c r="V343" s="41" t="s">
        <v>45</v>
      </c>
      <c r="W343" s="60"/>
    </row>
    <row r="344" s="60" customFormat="1" ht="24" customHeight="1">
      <c r="A344" s="25" t="s">
        <v>435</v>
      </c>
      <c r="B344" s="25"/>
      <c r="C344" s="26" t="s">
        <v>39</v>
      </c>
      <c r="D344" s="26" t="s">
        <v>39</v>
      </c>
      <c r="E344" s="27" t="s">
        <v>39</v>
      </c>
      <c r="F344" s="26" t="s">
        <v>39</v>
      </c>
      <c r="G344" s="28" t="s">
        <v>39</v>
      </c>
      <c r="H344" s="28" t="s">
        <v>39</v>
      </c>
      <c r="I344" s="64">
        <f>SUM(I345:I358)</f>
        <v>59411.900000000009</v>
      </c>
      <c r="J344" s="64">
        <f>SUM(J345:J358)</f>
        <v>46097.599999999999</v>
      </c>
      <c r="K344" s="64">
        <f>SUM(K345:K358)</f>
        <v>31623.300000000003</v>
      </c>
      <c r="L344" s="65">
        <f>SUM(L345:L358)</f>
        <v>1866</v>
      </c>
      <c r="M344" s="64">
        <f>SUM(M345:M358)</f>
        <v>52497090.729999997</v>
      </c>
      <c r="N344" s="64">
        <f>SUM(N345:N358)</f>
        <v>0</v>
      </c>
      <c r="O344" s="64">
        <f>SUM(O345:O358)</f>
        <v>0</v>
      </c>
      <c r="P344" s="64">
        <f>SUM(P345:P358)</f>
        <v>0</v>
      </c>
      <c r="Q344" s="64">
        <f>SUM(Q345:Q358)</f>
        <v>52497090.729999997</v>
      </c>
      <c r="R344" s="64">
        <f>SUM(R345:R358)</f>
        <v>52497090.729999997</v>
      </c>
      <c r="S344" s="64">
        <f>SUM(S345:S358)</f>
        <v>0</v>
      </c>
      <c r="T344" s="32" t="s">
        <v>39</v>
      </c>
      <c r="U344" s="32" t="s">
        <v>39</v>
      </c>
      <c r="V344" s="28" t="s">
        <v>39</v>
      </c>
      <c r="W344" s="60"/>
    </row>
    <row r="345" s="60" customFormat="1" ht="42.75">
      <c r="A345" s="33">
        <v>1</v>
      </c>
      <c r="B345" s="75" t="s">
        <v>436</v>
      </c>
      <c r="C345" s="33" t="s">
        <v>43</v>
      </c>
      <c r="D345" s="36">
        <v>1979</v>
      </c>
      <c r="E345" s="67">
        <v>2024</v>
      </c>
      <c r="F345" s="33" t="s">
        <v>77</v>
      </c>
      <c r="G345" s="36">
        <v>2</v>
      </c>
      <c r="H345" s="36">
        <v>2</v>
      </c>
      <c r="I345" s="37">
        <v>637.5</v>
      </c>
      <c r="J345" s="37">
        <v>637.5</v>
      </c>
      <c r="K345" s="37">
        <v>637.5</v>
      </c>
      <c r="L345" s="38">
        <v>29</v>
      </c>
      <c r="M345" s="37">
        <f t="shared" ref="M345:M358" si="63">SUM(N345:Q345)</f>
        <v>307799.5</v>
      </c>
      <c r="N345" s="37">
        <v>0</v>
      </c>
      <c r="O345" s="37">
        <v>0</v>
      </c>
      <c r="P345" s="37">
        <v>0</v>
      </c>
      <c r="Q345" s="37">
        <f>'Таблица 3 '!C335</f>
        <v>307799.5</v>
      </c>
      <c r="R345" s="37">
        <f t="shared" ref="R345:R358" si="64">Q345</f>
        <v>307799.5</v>
      </c>
      <c r="S345" s="37">
        <v>0</v>
      </c>
      <c r="T345" s="37">
        <f t="shared" si="61"/>
        <v>482.82274509803921</v>
      </c>
      <c r="U345" s="37">
        <f t="shared" si="62"/>
        <v>482.82274509803921</v>
      </c>
      <c r="V345" s="41" t="s">
        <v>45</v>
      </c>
      <c r="W345" s="60"/>
    </row>
    <row r="346" s="60" customFormat="1" ht="42.75">
      <c r="A346" s="36">
        <v>2</v>
      </c>
      <c r="B346" s="75" t="s">
        <v>437</v>
      </c>
      <c r="C346" s="33" t="s">
        <v>43</v>
      </c>
      <c r="D346" s="36">
        <v>1986</v>
      </c>
      <c r="E346" s="67" t="s">
        <v>39</v>
      </c>
      <c r="F346" s="33" t="s">
        <v>77</v>
      </c>
      <c r="G346" s="36">
        <v>2</v>
      </c>
      <c r="H346" s="36">
        <v>3</v>
      </c>
      <c r="I346" s="37">
        <v>921.29999999999995</v>
      </c>
      <c r="J346" s="37">
        <v>527.39999999999998</v>
      </c>
      <c r="K346" s="37">
        <v>527.39999999999998</v>
      </c>
      <c r="L346" s="38">
        <v>44</v>
      </c>
      <c r="M346" s="37">
        <f t="shared" si="63"/>
        <v>7334555.8899999997</v>
      </c>
      <c r="N346" s="37">
        <v>0</v>
      </c>
      <c r="O346" s="37">
        <v>0</v>
      </c>
      <c r="P346" s="37">
        <v>0</v>
      </c>
      <c r="Q346" s="37">
        <f>'Таблица 3 '!C336</f>
        <v>7334555.8899999997</v>
      </c>
      <c r="R346" s="37">
        <f t="shared" si="64"/>
        <v>7334555.8899999997</v>
      </c>
      <c r="S346" s="37">
        <v>0</v>
      </c>
      <c r="T346" s="37">
        <f t="shared" si="61"/>
        <v>13907.00775502465</v>
      </c>
      <c r="U346" s="37">
        <f t="shared" si="62"/>
        <v>13907.00775502465</v>
      </c>
      <c r="V346" s="41" t="s">
        <v>45</v>
      </c>
      <c r="W346" s="60"/>
    </row>
    <row r="347" s="60" customFormat="1" ht="42.75">
      <c r="A347" s="33">
        <v>3</v>
      </c>
      <c r="B347" s="75" t="s">
        <v>438</v>
      </c>
      <c r="C347" s="33" t="s">
        <v>43</v>
      </c>
      <c r="D347" s="36">
        <v>1984</v>
      </c>
      <c r="E347" s="67" t="s">
        <v>39</v>
      </c>
      <c r="F347" s="36" t="s">
        <v>439</v>
      </c>
      <c r="G347" s="36">
        <v>2</v>
      </c>
      <c r="H347" s="36">
        <v>2</v>
      </c>
      <c r="I347" s="37">
        <v>536.89999999999998</v>
      </c>
      <c r="J347" s="37">
        <v>536.89999999999998</v>
      </c>
      <c r="K347" s="37">
        <v>536.89999999999998</v>
      </c>
      <c r="L347" s="38">
        <v>15</v>
      </c>
      <c r="M347" s="37">
        <f t="shared" si="63"/>
        <v>232502.31</v>
      </c>
      <c r="N347" s="37">
        <v>0</v>
      </c>
      <c r="O347" s="37">
        <v>0</v>
      </c>
      <c r="P347" s="37">
        <v>0</v>
      </c>
      <c r="Q347" s="37">
        <f>'Таблица 3 '!C337</f>
        <v>232502.31</v>
      </c>
      <c r="R347" s="37">
        <f t="shared" si="64"/>
        <v>232502.31</v>
      </c>
      <c r="S347" s="37">
        <v>0</v>
      </c>
      <c r="T347" s="37">
        <f t="shared" si="61"/>
        <v>433.04583721363383</v>
      </c>
      <c r="U347" s="37">
        <f t="shared" si="62"/>
        <v>433.04583721363383</v>
      </c>
      <c r="V347" s="41" t="s">
        <v>45</v>
      </c>
      <c r="W347" s="60"/>
    </row>
    <row r="348" s="60" customFormat="1" ht="42.75">
      <c r="A348" s="33">
        <v>4</v>
      </c>
      <c r="B348" s="50" t="s">
        <v>440</v>
      </c>
      <c r="C348" s="33" t="s">
        <v>43</v>
      </c>
      <c r="D348" s="33">
        <v>1993</v>
      </c>
      <c r="E348" s="35" t="s">
        <v>39</v>
      </c>
      <c r="F348" s="33" t="s">
        <v>48</v>
      </c>
      <c r="G348" s="36">
        <v>9</v>
      </c>
      <c r="H348" s="36">
        <v>2</v>
      </c>
      <c r="I348" s="56">
        <v>7222.8999999999996</v>
      </c>
      <c r="J348" s="37">
        <v>5523</v>
      </c>
      <c r="K348" s="37">
        <v>4622.6000000000004</v>
      </c>
      <c r="L348" s="38">
        <v>283</v>
      </c>
      <c r="M348" s="37">
        <f t="shared" si="63"/>
        <v>354405.65999999997</v>
      </c>
      <c r="N348" s="37">
        <v>0</v>
      </c>
      <c r="O348" s="37">
        <v>0</v>
      </c>
      <c r="P348" s="37">
        <v>0</v>
      </c>
      <c r="Q348" s="37">
        <f>'Таблица 3 '!C338</f>
        <v>354405.65999999997</v>
      </c>
      <c r="R348" s="37">
        <f t="shared" si="64"/>
        <v>354405.65999999997</v>
      </c>
      <c r="S348" s="37">
        <v>0</v>
      </c>
      <c r="T348" s="37">
        <f t="shared" si="61"/>
        <v>64.16904942965779</v>
      </c>
      <c r="U348" s="37">
        <f t="shared" si="62"/>
        <v>64.16904942965779</v>
      </c>
      <c r="V348" s="41" t="s">
        <v>45</v>
      </c>
      <c r="W348" s="60"/>
    </row>
    <row r="349" s="60" customFormat="1" ht="42.75">
      <c r="A349" s="36">
        <v>5</v>
      </c>
      <c r="B349" s="50" t="s">
        <v>441</v>
      </c>
      <c r="C349" s="33" t="s">
        <v>43</v>
      </c>
      <c r="D349" s="33">
        <v>1986</v>
      </c>
      <c r="E349" s="35" t="s">
        <v>39</v>
      </c>
      <c r="F349" s="33" t="s">
        <v>48</v>
      </c>
      <c r="G349" s="36">
        <v>5</v>
      </c>
      <c r="H349" s="36">
        <v>3</v>
      </c>
      <c r="I349" s="56">
        <v>4477</v>
      </c>
      <c r="J349" s="37">
        <v>3800</v>
      </c>
      <c r="K349" s="37">
        <v>3034.4000000000001</v>
      </c>
      <c r="L349" s="38">
        <v>141</v>
      </c>
      <c r="M349" s="37">
        <f t="shared" si="63"/>
        <v>869285.34000000008</v>
      </c>
      <c r="N349" s="37">
        <v>0</v>
      </c>
      <c r="O349" s="37">
        <v>0</v>
      </c>
      <c r="P349" s="37">
        <v>0</v>
      </c>
      <c r="Q349" s="37">
        <f>'Таблица 3 '!C339</f>
        <v>869285.34000000008</v>
      </c>
      <c r="R349" s="37">
        <f t="shared" si="64"/>
        <v>869285.34000000008</v>
      </c>
      <c r="S349" s="37">
        <v>0</v>
      </c>
      <c r="T349" s="37">
        <f t="shared" si="61"/>
        <v>228.75930000000002</v>
      </c>
      <c r="U349" s="37">
        <f t="shared" si="62"/>
        <v>228.75930000000002</v>
      </c>
      <c r="V349" s="41" t="s">
        <v>45</v>
      </c>
      <c r="W349" s="60"/>
    </row>
    <row r="350" s="60" customFormat="1" ht="45" customHeight="1">
      <c r="A350" s="33">
        <v>6</v>
      </c>
      <c r="B350" s="50" t="s">
        <v>442</v>
      </c>
      <c r="C350" s="33" t="s">
        <v>43</v>
      </c>
      <c r="D350" s="33">
        <v>1992</v>
      </c>
      <c r="E350" s="35" t="s">
        <v>39</v>
      </c>
      <c r="F350" s="33" t="s">
        <v>48</v>
      </c>
      <c r="G350" s="36">
        <v>5</v>
      </c>
      <c r="H350" s="36">
        <v>3</v>
      </c>
      <c r="I350" s="37">
        <v>4309</v>
      </c>
      <c r="J350" s="37">
        <v>3416.0999999999999</v>
      </c>
      <c r="K350" s="37">
        <v>3118</v>
      </c>
      <c r="L350" s="38">
        <v>143</v>
      </c>
      <c r="M350" s="37">
        <f t="shared" si="63"/>
        <v>10142197.380000001</v>
      </c>
      <c r="N350" s="37">
        <v>0</v>
      </c>
      <c r="O350" s="37">
        <v>0</v>
      </c>
      <c r="P350" s="37">
        <v>0</v>
      </c>
      <c r="Q350" s="37">
        <f>'Таблица 3 '!C340</f>
        <v>10142197.380000001</v>
      </c>
      <c r="R350" s="37">
        <f t="shared" si="64"/>
        <v>10142197.380000001</v>
      </c>
      <c r="S350" s="37">
        <v>0</v>
      </c>
      <c r="T350" s="37">
        <f t="shared" si="61"/>
        <v>2968.9404232897168</v>
      </c>
      <c r="U350" s="37">
        <f t="shared" si="62"/>
        <v>2968.9404232897168</v>
      </c>
      <c r="V350" s="41" t="s">
        <v>45</v>
      </c>
      <c r="W350" s="60"/>
    </row>
    <row r="351" s="60" customFormat="1" ht="45" customHeight="1">
      <c r="A351" s="33">
        <v>7</v>
      </c>
      <c r="B351" s="50" t="s">
        <v>443</v>
      </c>
      <c r="C351" s="33" t="s">
        <v>43</v>
      </c>
      <c r="D351" s="33">
        <v>1986</v>
      </c>
      <c r="E351" s="35" t="s">
        <v>39</v>
      </c>
      <c r="F351" s="33" t="s">
        <v>48</v>
      </c>
      <c r="G351" s="36">
        <v>5</v>
      </c>
      <c r="H351" s="36">
        <v>3</v>
      </c>
      <c r="I351" s="56">
        <v>4687.6000000000004</v>
      </c>
      <c r="J351" s="37">
        <v>3249.5999999999999</v>
      </c>
      <c r="K351" s="37">
        <v>3249.5999999999999</v>
      </c>
      <c r="L351" s="38">
        <v>130</v>
      </c>
      <c r="M351" s="37">
        <f t="shared" si="63"/>
        <v>528380.62</v>
      </c>
      <c r="N351" s="37">
        <v>0</v>
      </c>
      <c r="O351" s="37">
        <v>0</v>
      </c>
      <c r="P351" s="37">
        <v>0</v>
      </c>
      <c r="Q351" s="37">
        <f>'Таблица 3 '!C341</f>
        <v>528380.62</v>
      </c>
      <c r="R351" s="37">
        <f t="shared" si="64"/>
        <v>528380.62</v>
      </c>
      <c r="S351" s="37">
        <v>0</v>
      </c>
      <c r="T351" s="37">
        <f t="shared" si="61"/>
        <v>162.59866445100937</v>
      </c>
      <c r="U351" s="37">
        <f t="shared" si="62"/>
        <v>162.59866445100937</v>
      </c>
      <c r="V351" s="41" t="s">
        <v>45</v>
      </c>
      <c r="W351" s="60"/>
    </row>
    <row r="352" s="60" customFormat="1" ht="45" customHeight="1">
      <c r="A352" s="36">
        <v>8</v>
      </c>
      <c r="B352" s="50" t="s">
        <v>444</v>
      </c>
      <c r="C352" s="33" t="s">
        <v>43</v>
      </c>
      <c r="D352" s="33">
        <v>1990</v>
      </c>
      <c r="E352" s="35" t="s">
        <v>39</v>
      </c>
      <c r="F352" s="33" t="s">
        <v>44</v>
      </c>
      <c r="G352" s="36">
        <v>5</v>
      </c>
      <c r="H352" s="36">
        <v>6</v>
      </c>
      <c r="I352" s="37">
        <v>5641.3999999999996</v>
      </c>
      <c r="J352" s="37">
        <v>4175.6999999999998</v>
      </c>
      <c r="K352" s="37">
        <v>4086.9000000000001</v>
      </c>
      <c r="L352" s="38">
        <v>188</v>
      </c>
      <c r="M352" s="37">
        <f t="shared" si="63"/>
        <v>773066.46999999997</v>
      </c>
      <c r="N352" s="37">
        <v>0</v>
      </c>
      <c r="O352" s="37">
        <v>0</v>
      </c>
      <c r="P352" s="37">
        <v>0</v>
      </c>
      <c r="Q352" s="37">
        <f>'Таблица 3 '!C342</f>
        <v>773066.46999999997</v>
      </c>
      <c r="R352" s="37">
        <f t="shared" si="64"/>
        <v>773066.46999999997</v>
      </c>
      <c r="S352" s="37">
        <v>0</v>
      </c>
      <c r="T352" s="37">
        <f t="shared" si="61"/>
        <v>185.13458102833059</v>
      </c>
      <c r="U352" s="37">
        <f t="shared" si="62"/>
        <v>185.13458102833059</v>
      </c>
      <c r="V352" s="41" t="s">
        <v>45</v>
      </c>
      <c r="W352" s="60"/>
    </row>
    <row r="353" s="60" customFormat="1" ht="45" customHeight="1">
      <c r="A353" s="33">
        <v>9</v>
      </c>
      <c r="B353" s="50" t="s">
        <v>445</v>
      </c>
      <c r="C353" s="33" t="s">
        <v>43</v>
      </c>
      <c r="D353" s="33">
        <v>1995</v>
      </c>
      <c r="E353" s="35" t="s">
        <v>39</v>
      </c>
      <c r="F353" s="33" t="s">
        <v>48</v>
      </c>
      <c r="G353" s="36">
        <v>9</v>
      </c>
      <c r="H353" s="36">
        <v>3</v>
      </c>
      <c r="I353" s="37">
        <v>8055</v>
      </c>
      <c r="J353" s="37">
        <v>6345.8000000000002</v>
      </c>
      <c r="K353" s="37">
        <v>5909.5</v>
      </c>
      <c r="L353" s="38">
        <v>260</v>
      </c>
      <c r="M353" s="37">
        <f t="shared" si="63"/>
        <v>212907.76999999999</v>
      </c>
      <c r="N353" s="37">
        <v>0</v>
      </c>
      <c r="O353" s="37">
        <v>0</v>
      </c>
      <c r="P353" s="37">
        <v>0</v>
      </c>
      <c r="Q353" s="37">
        <f>'Таблица 3 '!C343</f>
        <v>212907.76999999999</v>
      </c>
      <c r="R353" s="37">
        <f t="shared" si="64"/>
        <v>212907.76999999999</v>
      </c>
      <c r="S353" s="37">
        <v>0</v>
      </c>
      <c r="T353" s="37">
        <f t="shared" si="61"/>
        <v>33.550973872482587</v>
      </c>
      <c r="U353" s="37">
        <f t="shared" si="62"/>
        <v>33.550973872482587</v>
      </c>
      <c r="V353" s="41" t="s">
        <v>45</v>
      </c>
      <c r="W353" s="60"/>
    </row>
    <row r="354" s="60" customFormat="1" ht="45" customHeight="1">
      <c r="A354" s="33">
        <v>10</v>
      </c>
      <c r="B354" s="50" t="s">
        <v>446</v>
      </c>
      <c r="C354" s="33" t="s">
        <v>43</v>
      </c>
      <c r="D354" s="33">
        <v>1979</v>
      </c>
      <c r="E354" s="35" t="s">
        <v>39</v>
      </c>
      <c r="F354" s="33" t="s">
        <v>44</v>
      </c>
      <c r="G354" s="36">
        <v>5</v>
      </c>
      <c r="H354" s="36">
        <v>2</v>
      </c>
      <c r="I354" s="37">
        <v>4765</v>
      </c>
      <c r="J354" s="37">
        <v>3518.8000000000002</v>
      </c>
      <c r="K354" s="37">
        <v>2715.6999999999998</v>
      </c>
      <c r="L354" s="38">
        <v>138</v>
      </c>
      <c r="M354" s="37">
        <f t="shared" si="63"/>
        <v>15442094.1</v>
      </c>
      <c r="N354" s="37">
        <v>0</v>
      </c>
      <c r="O354" s="37">
        <v>0</v>
      </c>
      <c r="P354" s="37">
        <v>0</v>
      </c>
      <c r="Q354" s="37">
        <f>'Таблица 3 '!C344</f>
        <v>15442094.1</v>
      </c>
      <c r="R354" s="37">
        <f t="shared" si="64"/>
        <v>15442094.1</v>
      </c>
      <c r="S354" s="37">
        <v>0</v>
      </c>
      <c r="T354" s="37">
        <f t="shared" si="61"/>
        <v>4388.45461520973</v>
      </c>
      <c r="U354" s="37">
        <f t="shared" si="62"/>
        <v>4388.45461520973</v>
      </c>
      <c r="V354" s="41" t="s">
        <v>45</v>
      </c>
      <c r="W354" s="60"/>
    </row>
    <row r="355" s="60" customFormat="1" ht="45" customHeight="1">
      <c r="A355" s="36">
        <v>11</v>
      </c>
      <c r="B355" s="50" t="s">
        <v>447</v>
      </c>
      <c r="C355" s="33" t="s">
        <v>43</v>
      </c>
      <c r="D355" s="33">
        <v>1979</v>
      </c>
      <c r="E355" s="35" t="s">
        <v>39</v>
      </c>
      <c r="F355" s="33" t="s">
        <v>44</v>
      </c>
      <c r="G355" s="36">
        <v>5</v>
      </c>
      <c r="H355" s="36">
        <v>2</v>
      </c>
      <c r="I355" s="37">
        <v>4792.8999999999996</v>
      </c>
      <c r="J355" s="37">
        <v>3492.6999999999998</v>
      </c>
      <c r="K355" s="37">
        <v>3140.5999999999999</v>
      </c>
      <c r="L355" s="38">
        <v>144</v>
      </c>
      <c r="M355" s="37">
        <f t="shared" si="63"/>
        <v>15507487.17</v>
      </c>
      <c r="N355" s="37">
        <v>0</v>
      </c>
      <c r="O355" s="37">
        <v>0</v>
      </c>
      <c r="P355" s="37">
        <v>0</v>
      </c>
      <c r="Q355" s="37">
        <f>'Таблица 3 '!C345</f>
        <v>15507487.17</v>
      </c>
      <c r="R355" s="37">
        <f t="shared" si="64"/>
        <v>15507487.17</v>
      </c>
      <c r="S355" s="37">
        <v>0</v>
      </c>
      <c r="T355" s="37">
        <f t="shared" si="61"/>
        <v>4439.9711312165373</v>
      </c>
      <c r="U355" s="37">
        <f t="shared" si="62"/>
        <v>4439.9711312165373</v>
      </c>
      <c r="V355" s="41" t="s">
        <v>45</v>
      </c>
      <c r="W355" s="60"/>
    </row>
    <row r="356" s="60" customFormat="1" ht="45" customHeight="1">
      <c r="A356" s="33">
        <v>12</v>
      </c>
      <c r="B356" s="50" t="s">
        <v>448</v>
      </c>
      <c r="C356" s="33" t="s">
        <v>43</v>
      </c>
      <c r="D356" s="33">
        <v>1986</v>
      </c>
      <c r="E356" s="35" t="s">
        <v>39</v>
      </c>
      <c r="F356" s="33" t="s">
        <v>44</v>
      </c>
      <c r="G356" s="36">
        <v>4</v>
      </c>
      <c r="H356" s="36">
        <v>4</v>
      </c>
      <c r="I356" s="93">
        <v>4555.1599999999999</v>
      </c>
      <c r="J356" s="94">
        <v>3598.0999999999999</v>
      </c>
      <c r="K356" s="94">
        <v>0</v>
      </c>
      <c r="L356" s="95">
        <v>102</v>
      </c>
      <c r="M356" s="37">
        <f t="shared" si="63"/>
        <v>267012.94</v>
      </c>
      <c r="N356" s="37">
        <v>0</v>
      </c>
      <c r="O356" s="37">
        <v>0</v>
      </c>
      <c r="P356" s="37">
        <v>0</v>
      </c>
      <c r="Q356" s="37">
        <f>'Таблица 3 '!C346</f>
        <v>267012.94</v>
      </c>
      <c r="R356" s="37">
        <f t="shared" si="64"/>
        <v>267012.94</v>
      </c>
      <c r="S356" s="37">
        <v>0</v>
      </c>
      <c r="T356" s="37">
        <f t="shared" si="61"/>
        <v>74.209427197687674</v>
      </c>
      <c r="U356" s="37">
        <f t="shared" si="62"/>
        <v>74.209427197687674</v>
      </c>
      <c r="V356" s="41" t="s">
        <v>45</v>
      </c>
      <c r="W356" s="60"/>
    </row>
    <row r="357" s="60" customFormat="1" ht="45" customHeight="1">
      <c r="A357" s="33">
        <v>13</v>
      </c>
      <c r="B357" s="50" t="s">
        <v>449</v>
      </c>
      <c r="C357" s="33" t="s">
        <v>43</v>
      </c>
      <c r="D357" s="33">
        <v>1966</v>
      </c>
      <c r="E357" s="35" t="s">
        <v>39</v>
      </c>
      <c r="F357" s="33" t="s">
        <v>44</v>
      </c>
      <c r="G357" s="36">
        <v>4</v>
      </c>
      <c r="H357" s="36">
        <v>4</v>
      </c>
      <c r="I357" s="93">
        <v>4405.1199999999999</v>
      </c>
      <c r="J357" s="94">
        <v>3637</v>
      </c>
      <c r="K357" s="94">
        <v>0</v>
      </c>
      <c r="L357" s="95">
        <v>131</v>
      </c>
      <c r="M357" s="37">
        <f t="shared" si="63"/>
        <v>262697.78999999998</v>
      </c>
      <c r="N357" s="37">
        <v>0</v>
      </c>
      <c r="O357" s="37">
        <v>0</v>
      </c>
      <c r="P357" s="37">
        <v>0</v>
      </c>
      <c r="Q357" s="37">
        <f>'Таблица 3 '!C347</f>
        <v>262697.78999999998</v>
      </c>
      <c r="R357" s="37">
        <f t="shared" si="64"/>
        <v>262697.78999999998</v>
      </c>
      <c r="S357" s="37">
        <v>0</v>
      </c>
      <c r="T357" s="37">
        <f t="shared" si="61"/>
        <v>72.229252130877086</v>
      </c>
      <c r="U357" s="37">
        <f t="shared" si="62"/>
        <v>72.229252130877086</v>
      </c>
      <c r="V357" s="41" t="s">
        <v>45</v>
      </c>
      <c r="W357" s="60"/>
    </row>
    <row r="358" s="60" customFormat="1" ht="45" customHeight="1">
      <c r="A358" s="36">
        <v>14</v>
      </c>
      <c r="B358" s="50" t="s">
        <v>450</v>
      </c>
      <c r="C358" s="33" t="s">
        <v>43</v>
      </c>
      <c r="D358" s="33">
        <v>1966</v>
      </c>
      <c r="E358" s="35" t="s">
        <v>39</v>
      </c>
      <c r="F358" s="33" t="s">
        <v>44</v>
      </c>
      <c r="G358" s="36">
        <v>4</v>
      </c>
      <c r="H358" s="36">
        <v>4</v>
      </c>
      <c r="I358" s="93">
        <v>4405.1199999999999</v>
      </c>
      <c r="J358" s="94">
        <v>3639</v>
      </c>
      <c r="K358" s="94">
        <v>44.200000000000003</v>
      </c>
      <c r="L358" s="95">
        <v>118</v>
      </c>
      <c r="M358" s="37">
        <f t="shared" si="63"/>
        <v>262697.78999999998</v>
      </c>
      <c r="N358" s="37">
        <v>0</v>
      </c>
      <c r="O358" s="37">
        <v>0</v>
      </c>
      <c r="P358" s="37">
        <v>0</v>
      </c>
      <c r="Q358" s="37">
        <f>'Таблица 3 '!C348</f>
        <v>262697.78999999998</v>
      </c>
      <c r="R358" s="37">
        <f t="shared" si="64"/>
        <v>262697.78999999998</v>
      </c>
      <c r="S358" s="37">
        <v>0</v>
      </c>
      <c r="T358" s="37">
        <f t="shared" si="61"/>
        <v>72.189554822753493</v>
      </c>
      <c r="U358" s="37">
        <f t="shared" si="62"/>
        <v>72.189554822753493</v>
      </c>
      <c r="V358" s="41" t="s">
        <v>45</v>
      </c>
      <c r="W358" s="60"/>
    </row>
    <row r="359" s="60" customFormat="1" ht="30" customHeight="1">
      <c r="A359" s="25" t="s">
        <v>451</v>
      </c>
      <c r="B359" s="25"/>
      <c r="C359" s="26" t="s">
        <v>39</v>
      </c>
      <c r="D359" s="26" t="s">
        <v>39</v>
      </c>
      <c r="E359" s="27" t="s">
        <v>39</v>
      </c>
      <c r="F359" s="26" t="s">
        <v>39</v>
      </c>
      <c r="G359" s="28" t="s">
        <v>39</v>
      </c>
      <c r="H359" s="28" t="s">
        <v>39</v>
      </c>
      <c r="I359" s="29">
        <f>SUM(I360:I369)</f>
        <v>23559.41</v>
      </c>
      <c r="J359" s="29">
        <f>SUM(J360:J369)</f>
        <v>16715.739999999998</v>
      </c>
      <c r="K359" s="29">
        <f>SUM(K360:K369)</f>
        <v>16068.639999999998</v>
      </c>
      <c r="L359" s="30">
        <f>SUM(L360:L369)</f>
        <v>572</v>
      </c>
      <c r="M359" s="29">
        <f>SUM(M360:M369)</f>
        <v>50131385.139999993</v>
      </c>
      <c r="N359" s="29">
        <f>SUM(N360:N369)</f>
        <v>0</v>
      </c>
      <c r="O359" s="29">
        <f>SUM(O360:O369)</f>
        <v>0</v>
      </c>
      <c r="P359" s="29">
        <f>SUM(P360:P369)</f>
        <v>0</v>
      </c>
      <c r="Q359" s="29">
        <f>SUM(Q360:Q369)</f>
        <v>50131385.139999993</v>
      </c>
      <c r="R359" s="29">
        <f>SUM(R360:R369)</f>
        <v>50131385.139999993</v>
      </c>
      <c r="S359" s="29">
        <f>SUM(S360:S369)</f>
        <v>0</v>
      </c>
      <c r="T359" s="32" t="s">
        <v>40</v>
      </c>
      <c r="U359" s="32" t="s">
        <v>40</v>
      </c>
      <c r="V359" s="28" t="s">
        <v>40</v>
      </c>
      <c r="W359" s="60"/>
    </row>
    <row r="360" s="60" customFormat="1" ht="45.75" customHeight="1">
      <c r="A360" s="33">
        <v>1</v>
      </c>
      <c r="B360" s="34" t="s">
        <v>452</v>
      </c>
      <c r="C360" s="33" t="s">
        <v>43</v>
      </c>
      <c r="D360" s="96">
        <v>1990</v>
      </c>
      <c r="E360" s="35" t="s">
        <v>39</v>
      </c>
      <c r="F360" s="33" t="s">
        <v>77</v>
      </c>
      <c r="G360" s="36">
        <v>4</v>
      </c>
      <c r="H360" s="36">
        <v>3</v>
      </c>
      <c r="I360" s="37">
        <v>3173.5999999999999</v>
      </c>
      <c r="J360" s="37">
        <v>2323.4000000000001</v>
      </c>
      <c r="K360" s="37">
        <v>2323.4000000000001</v>
      </c>
      <c r="L360" s="38">
        <v>76</v>
      </c>
      <c r="M360" s="39">
        <f t="shared" ref="M360:M369" si="65">SUM(N360:Q360)</f>
        <v>4971031.1399999997</v>
      </c>
      <c r="N360" s="37">
        <v>0</v>
      </c>
      <c r="O360" s="37">
        <v>0</v>
      </c>
      <c r="P360" s="37">
        <v>0</v>
      </c>
      <c r="Q360" s="37">
        <f>'Таблица 3 '!C350</f>
        <v>4971031.1399999997</v>
      </c>
      <c r="R360" s="37">
        <f t="shared" ref="R360:R369" si="66">Q360</f>
        <v>4971031.1399999997</v>
      </c>
      <c r="S360" s="37">
        <v>0</v>
      </c>
      <c r="T360" s="37">
        <f t="shared" si="61"/>
        <v>2139.5502883704912</v>
      </c>
      <c r="U360" s="39">
        <f t="shared" si="62"/>
        <v>2139.5502883704912</v>
      </c>
      <c r="V360" s="41" t="s">
        <v>45</v>
      </c>
      <c r="W360" s="60"/>
    </row>
    <row r="361" s="60" customFormat="1" ht="45.75" customHeight="1">
      <c r="A361" s="33">
        <v>2</v>
      </c>
      <c r="B361" s="34" t="s">
        <v>453</v>
      </c>
      <c r="C361" s="33" t="s">
        <v>43</v>
      </c>
      <c r="D361" s="96">
        <v>1974</v>
      </c>
      <c r="E361" s="35" t="s">
        <v>39</v>
      </c>
      <c r="F361" s="33" t="s">
        <v>77</v>
      </c>
      <c r="G361" s="36" t="s">
        <v>421</v>
      </c>
      <c r="H361" s="36" t="s">
        <v>414</v>
      </c>
      <c r="I361" s="37">
        <v>4252</v>
      </c>
      <c r="J361" s="37">
        <v>3654.0500000000002</v>
      </c>
      <c r="K361" s="56">
        <v>3382.1500000000001</v>
      </c>
      <c r="L361" s="38">
        <v>140</v>
      </c>
      <c r="M361" s="39">
        <f t="shared" si="65"/>
        <v>5165490.9800000004</v>
      </c>
      <c r="N361" s="56">
        <v>0</v>
      </c>
      <c r="O361" s="56">
        <v>0</v>
      </c>
      <c r="P361" s="56">
        <v>0</v>
      </c>
      <c r="Q361" s="37">
        <f>'Таблица 3 '!C351</f>
        <v>5165490.9800000004</v>
      </c>
      <c r="R361" s="56">
        <f t="shared" si="66"/>
        <v>5165490.9800000004</v>
      </c>
      <c r="S361" s="56">
        <v>0</v>
      </c>
      <c r="T361" s="37">
        <f t="shared" si="61"/>
        <v>1413.6344549198834</v>
      </c>
      <c r="U361" s="39">
        <f t="shared" si="62"/>
        <v>1413.6344549198834</v>
      </c>
      <c r="V361" s="41" t="s">
        <v>45</v>
      </c>
      <c r="W361" s="60"/>
    </row>
    <row r="362" s="60" customFormat="1" ht="42.75">
      <c r="A362" s="33">
        <v>3</v>
      </c>
      <c r="B362" s="34" t="s">
        <v>454</v>
      </c>
      <c r="C362" s="33" t="s">
        <v>43</v>
      </c>
      <c r="D362" s="96">
        <v>1947</v>
      </c>
      <c r="E362" s="35" t="s">
        <v>39</v>
      </c>
      <c r="F362" s="33" t="s">
        <v>455</v>
      </c>
      <c r="G362" s="36" t="s">
        <v>419</v>
      </c>
      <c r="H362" s="36">
        <v>2</v>
      </c>
      <c r="I362" s="37">
        <v>1221</v>
      </c>
      <c r="J362" s="37">
        <v>542.79999999999995</v>
      </c>
      <c r="K362" s="37">
        <v>542.79999999999995</v>
      </c>
      <c r="L362" s="38">
        <v>15</v>
      </c>
      <c r="M362" s="39">
        <f t="shared" si="65"/>
        <v>8183947.8200000003</v>
      </c>
      <c r="N362" s="37">
        <v>0</v>
      </c>
      <c r="O362" s="37">
        <v>0</v>
      </c>
      <c r="P362" s="37">
        <v>0</v>
      </c>
      <c r="Q362" s="37">
        <f>'Таблица 3 '!C352</f>
        <v>8183947.8200000003</v>
      </c>
      <c r="R362" s="37">
        <f t="shared" si="66"/>
        <v>8183947.8200000003</v>
      </c>
      <c r="S362" s="37">
        <v>0</v>
      </c>
      <c r="T362" s="37">
        <f t="shared" si="61"/>
        <v>15077.280434782611</v>
      </c>
      <c r="U362" s="39">
        <f t="shared" si="62"/>
        <v>15077.280434782611</v>
      </c>
      <c r="V362" s="41" t="s">
        <v>45</v>
      </c>
      <c r="W362" s="60"/>
    </row>
    <row r="363" s="60" customFormat="1" ht="42.75">
      <c r="A363" s="33">
        <v>4</v>
      </c>
      <c r="B363" s="34" t="s">
        <v>456</v>
      </c>
      <c r="C363" s="33" t="s">
        <v>43</v>
      </c>
      <c r="D363" s="96">
        <v>1947</v>
      </c>
      <c r="E363" s="35" t="s">
        <v>39</v>
      </c>
      <c r="F363" s="33" t="s">
        <v>455</v>
      </c>
      <c r="G363" s="36" t="s">
        <v>419</v>
      </c>
      <c r="H363" s="36" t="s">
        <v>419</v>
      </c>
      <c r="I363" s="37">
        <v>1360.8</v>
      </c>
      <c r="J363" s="37">
        <v>542.39999999999998</v>
      </c>
      <c r="K363" s="37">
        <v>542.39999999999998</v>
      </c>
      <c r="L363" s="38">
        <v>14</v>
      </c>
      <c r="M363" s="39">
        <f t="shared" si="65"/>
        <v>2774766.6499999999</v>
      </c>
      <c r="N363" s="37">
        <v>0</v>
      </c>
      <c r="O363" s="37">
        <v>0</v>
      </c>
      <c r="P363" s="37">
        <v>0</v>
      </c>
      <c r="Q363" s="37">
        <f>'Таблица 3 '!C353</f>
        <v>2774766.6499999999</v>
      </c>
      <c r="R363" s="37">
        <f t="shared" si="66"/>
        <v>2774766.6499999999</v>
      </c>
      <c r="S363" s="37">
        <v>0</v>
      </c>
      <c r="T363" s="37">
        <f t="shared" si="61"/>
        <v>5115.7202249262536</v>
      </c>
      <c r="U363" s="39">
        <f t="shared" si="62"/>
        <v>5115.7202249262536</v>
      </c>
      <c r="V363" s="41" t="s">
        <v>45</v>
      </c>
      <c r="W363" s="60"/>
    </row>
    <row r="364" s="60" customFormat="1" ht="42.75">
      <c r="A364" s="33">
        <v>5</v>
      </c>
      <c r="B364" s="34" t="s">
        <v>457</v>
      </c>
      <c r="C364" s="33" t="s">
        <v>43</v>
      </c>
      <c r="D364" s="96">
        <v>1975</v>
      </c>
      <c r="E364" s="35" t="s">
        <v>39</v>
      </c>
      <c r="F364" s="33" t="s">
        <v>77</v>
      </c>
      <c r="G364" s="36">
        <v>5</v>
      </c>
      <c r="H364" s="36">
        <v>4</v>
      </c>
      <c r="I364" s="40">
        <v>4072.6100000000001</v>
      </c>
      <c r="J364" s="40">
        <v>3487.4499999999998</v>
      </c>
      <c r="K364" s="40">
        <v>3460.0500000000002</v>
      </c>
      <c r="L364" s="48">
        <v>129</v>
      </c>
      <c r="M364" s="40">
        <f t="shared" si="65"/>
        <v>6231085.7400000002</v>
      </c>
      <c r="N364" s="40">
        <v>0</v>
      </c>
      <c r="O364" s="40">
        <v>0</v>
      </c>
      <c r="P364" s="40">
        <v>0</v>
      </c>
      <c r="Q364" s="37">
        <f>'Таблица 3 '!C354</f>
        <v>6231085.7400000002</v>
      </c>
      <c r="R364" s="40">
        <f t="shared" si="66"/>
        <v>6231085.7400000002</v>
      </c>
      <c r="S364" s="40">
        <v>0</v>
      </c>
      <c r="T364" s="39">
        <f t="shared" si="61"/>
        <v>1786.7168676253425</v>
      </c>
      <c r="U364" s="39">
        <f t="shared" si="62"/>
        <v>1786.7168676253425</v>
      </c>
      <c r="V364" s="41" t="s">
        <v>45</v>
      </c>
      <c r="W364" s="60"/>
    </row>
    <row r="365" s="60" customFormat="1" ht="42.75">
      <c r="A365" s="33">
        <v>6</v>
      </c>
      <c r="B365" s="34" t="s">
        <v>458</v>
      </c>
      <c r="C365" s="33" t="s">
        <v>43</v>
      </c>
      <c r="D365" s="96">
        <v>1973</v>
      </c>
      <c r="E365" s="35" t="s">
        <v>39</v>
      </c>
      <c r="F365" s="33" t="s">
        <v>77</v>
      </c>
      <c r="G365" s="36">
        <v>5</v>
      </c>
      <c r="H365" s="36">
        <v>4</v>
      </c>
      <c r="I365" s="40">
        <v>3918.6999999999998</v>
      </c>
      <c r="J365" s="40">
        <v>2883.2399999999998</v>
      </c>
      <c r="K365" s="40">
        <v>2821.6399999999999</v>
      </c>
      <c r="L365" s="48">
        <v>96</v>
      </c>
      <c r="M365" s="40">
        <f t="shared" si="65"/>
        <v>6100174.3899999997</v>
      </c>
      <c r="N365" s="40">
        <v>0</v>
      </c>
      <c r="O365" s="40">
        <v>0</v>
      </c>
      <c r="P365" s="40">
        <v>0</v>
      </c>
      <c r="Q365" s="37">
        <f>'Таблица 3 '!C355</f>
        <v>6100174.3899999997</v>
      </c>
      <c r="R365" s="40">
        <f t="shared" si="66"/>
        <v>6100174.3899999997</v>
      </c>
      <c r="S365" s="40">
        <v>0</v>
      </c>
      <c r="T365" s="39">
        <f t="shared" si="61"/>
        <v>2115.7359047460495</v>
      </c>
      <c r="U365" s="39">
        <f t="shared" si="62"/>
        <v>2115.7359047460495</v>
      </c>
      <c r="V365" s="41" t="s">
        <v>45</v>
      </c>
      <c r="W365" s="60"/>
    </row>
    <row r="366" s="60" customFormat="1" ht="42.75">
      <c r="A366" s="33">
        <v>7</v>
      </c>
      <c r="B366" s="34" t="s">
        <v>459</v>
      </c>
      <c r="C366" s="33" t="s">
        <v>43</v>
      </c>
      <c r="D366" s="96">
        <v>1997</v>
      </c>
      <c r="E366" s="35" t="s">
        <v>39</v>
      </c>
      <c r="F366" s="33" t="s">
        <v>77</v>
      </c>
      <c r="G366" s="36" t="s">
        <v>460</v>
      </c>
      <c r="H366" s="36" t="s">
        <v>460</v>
      </c>
      <c r="I366" s="37">
        <v>2792.4000000000001</v>
      </c>
      <c r="J366" s="37">
        <v>1735.9000000000001</v>
      </c>
      <c r="K366" s="37">
        <v>1510.5999999999999</v>
      </c>
      <c r="L366" s="38">
        <v>48</v>
      </c>
      <c r="M366" s="39">
        <f t="shared" si="65"/>
        <v>5077022.4100000001</v>
      </c>
      <c r="N366" s="37">
        <v>0</v>
      </c>
      <c r="O366" s="37">
        <v>0</v>
      </c>
      <c r="P366" s="37">
        <v>0</v>
      </c>
      <c r="Q366" s="37">
        <f>'Таблица 3 '!C356</f>
        <v>5077022.4100000001</v>
      </c>
      <c r="R366" s="37">
        <f t="shared" si="66"/>
        <v>5077022.4100000001</v>
      </c>
      <c r="S366" s="37">
        <v>0</v>
      </c>
      <c r="T366" s="37">
        <f t="shared" si="61"/>
        <v>2924.7205541793883</v>
      </c>
      <c r="U366" s="39">
        <f t="shared" si="62"/>
        <v>2924.7205541793883</v>
      </c>
      <c r="V366" s="41" t="s">
        <v>45</v>
      </c>
      <c r="W366" s="60"/>
    </row>
    <row r="367" s="60" customFormat="1" ht="42.75">
      <c r="A367" s="33">
        <v>8</v>
      </c>
      <c r="B367" s="34" t="s">
        <v>461</v>
      </c>
      <c r="C367" s="33" t="s">
        <v>43</v>
      </c>
      <c r="D367" s="96">
        <v>1955</v>
      </c>
      <c r="E367" s="35">
        <v>2019</v>
      </c>
      <c r="F367" s="33" t="s">
        <v>77</v>
      </c>
      <c r="G367" s="36" t="s">
        <v>419</v>
      </c>
      <c r="H367" s="36" t="s">
        <v>419</v>
      </c>
      <c r="I367" s="37">
        <v>715.70000000000005</v>
      </c>
      <c r="J367" s="37">
        <v>678.79999999999995</v>
      </c>
      <c r="K367" s="37">
        <v>678.79999999999995</v>
      </c>
      <c r="L367" s="38">
        <v>22</v>
      </c>
      <c r="M367" s="39">
        <f t="shared" si="65"/>
        <v>4878003.46</v>
      </c>
      <c r="N367" s="56">
        <v>0</v>
      </c>
      <c r="O367" s="56">
        <v>0</v>
      </c>
      <c r="P367" s="56">
        <v>0</v>
      </c>
      <c r="Q367" s="37">
        <f>'Таблица 3 '!C357</f>
        <v>4878003.46</v>
      </c>
      <c r="R367" s="56">
        <f t="shared" si="66"/>
        <v>4878003.46</v>
      </c>
      <c r="S367" s="56">
        <v>0</v>
      </c>
      <c r="T367" s="37">
        <f t="shared" si="61"/>
        <v>7186.2160577489694</v>
      </c>
      <c r="U367" s="39">
        <f t="shared" si="62"/>
        <v>7186.2160577489694</v>
      </c>
      <c r="V367" s="41" t="s">
        <v>45</v>
      </c>
      <c r="W367" s="60"/>
    </row>
    <row r="368" s="60" customFormat="1" ht="42.75">
      <c r="A368" s="33">
        <v>9</v>
      </c>
      <c r="B368" s="34" t="s">
        <v>462</v>
      </c>
      <c r="C368" s="33" t="s">
        <v>43</v>
      </c>
      <c r="D368" s="96">
        <v>1953</v>
      </c>
      <c r="E368" s="35" t="s">
        <v>140</v>
      </c>
      <c r="F368" s="33" t="s">
        <v>455</v>
      </c>
      <c r="G368" s="36">
        <v>2</v>
      </c>
      <c r="H368" s="36">
        <v>1</v>
      </c>
      <c r="I368" s="37">
        <v>341.10000000000002</v>
      </c>
      <c r="J368" s="37">
        <v>228.80000000000001</v>
      </c>
      <c r="K368" s="37">
        <v>228.80000000000001</v>
      </c>
      <c r="L368" s="38">
        <v>5</v>
      </c>
      <c r="M368" s="39">
        <f t="shared" si="65"/>
        <v>4477590.5499999998</v>
      </c>
      <c r="N368" s="37">
        <v>0</v>
      </c>
      <c r="O368" s="37">
        <v>0</v>
      </c>
      <c r="P368" s="37">
        <v>0</v>
      </c>
      <c r="Q368" s="37">
        <f>'Таблица 3 '!C358</f>
        <v>4477590.5499999998</v>
      </c>
      <c r="R368" s="37">
        <f t="shared" si="66"/>
        <v>4477590.5499999998</v>
      </c>
      <c r="S368" s="37">
        <v>0</v>
      </c>
      <c r="T368" s="37">
        <f t="shared" si="61"/>
        <v>19569.888767482516</v>
      </c>
      <c r="U368" s="39">
        <f t="shared" si="62"/>
        <v>19569.888767482516</v>
      </c>
      <c r="V368" s="41" t="s">
        <v>45</v>
      </c>
      <c r="W368" s="60"/>
    </row>
    <row r="369" s="60" customFormat="1" ht="42.75">
      <c r="A369" s="33">
        <v>10</v>
      </c>
      <c r="B369" s="34" t="s">
        <v>463</v>
      </c>
      <c r="C369" s="33" t="s">
        <v>43</v>
      </c>
      <c r="D369" s="96">
        <v>1952</v>
      </c>
      <c r="E369" s="35" t="s">
        <v>39</v>
      </c>
      <c r="F369" s="33" t="s">
        <v>455</v>
      </c>
      <c r="G369" s="36">
        <v>2</v>
      </c>
      <c r="H369" s="36">
        <v>2</v>
      </c>
      <c r="I369" s="37">
        <v>1711.5</v>
      </c>
      <c r="J369" s="37">
        <v>638.89999999999998</v>
      </c>
      <c r="K369" s="37">
        <v>578</v>
      </c>
      <c r="L369" s="38">
        <v>27</v>
      </c>
      <c r="M369" s="39">
        <f t="shared" si="65"/>
        <v>2272272</v>
      </c>
      <c r="N369" s="37">
        <v>0</v>
      </c>
      <c r="O369" s="37">
        <v>0</v>
      </c>
      <c r="P369" s="37">
        <v>0</v>
      </c>
      <c r="Q369" s="37">
        <f>'Таблица 3 '!C359</f>
        <v>2272272</v>
      </c>
      <c r="R369" s="37">
        <f t="shared" si="66"/>
        <v>2272272</v>
      </c>
      <c r="S369" s="37">
        <v>0</v>
      </c>
      <c r="T369" s="37">
        <f t="shared" si="61"/>
        <v>3556.5377993426205</v>
      </c>
      <c r="U369" s="39">
        <f t="shared" si="62"/>
        <v>3556.5377993426205</v>
      </c>
      <c r="V369" s="41" t="s">
        <v>45</v>
      </c>
      <c r="W369" s="60"/>
    </row>
    <row r="370" s="31" customFormat="1" ht="26.399999999999999" customHeight="1">
      <c r="A370" s="61" t="s">
        <v>464</v>
      </c>
      <c r="B370" s="61"/>
      <c r="C370" s="28" t="s">
        <v>39</v>
      </c>
      <c r="D370" s="28" t="s">
        <v>39</v>
      </c>
      <c r="E370" s="66" t="s">
        <v>39</v>
      </c>
      <c r="F370" s="28" t="s">
        <v>39</v>
      </c>
      <c r="G370" s="28" t="s">
        <v>39</v>
      </c>
      <c r="H370" s="28" t="s">
        <v>39</v>
      </c>
      <c r="I370" s="64">
        <f>SUM(I371:I379)</f>
        <v>7035.5499999999993</v>
      </c>
      <c r="J370" s="64">
        <f>SUM(J371:J379)</f>
        <v>6045.8099999999995</v>
      </c>
      <c r="K370" s="64">
        <f>SUM(K371:K379)</f>
        <v>2645.6100000000001</v>
      </c>
      <c r="L370" s="65">
        <f>SUM(L371:L379)</f>
        <v>234</v>
      </c>
      <c r="M370" s="64">
        <f>SUM(M371:M379)</f>
        <v>14154042</v>
      </c>
      <c r="N370" s="64">
        <f>SUM(N371:N379)</f>
        <v>0</v>
      </c>
      <c r="O370" s="64">
        <f>SUM(O371:O379)</f>
        <v>0</v>
      </c>
      <c r="P370" s="64">
        <f>SUM(P371:P379)</f>
        <v>0</v>
      </c>
      <c r="Q370" s="64">
        <f>SUM(Q371:Q379)</f>
        <v>14154042</v>
      </c>
      <c r="R370" s="64">
        <f>SUM(R371:R379)</f>
        <v>14154042</v>
      </c>
      <c r="S370" s="64">
        <f>SUM(S371:S379)</f>
        <v>0</v>
      </c>
      <c r="T370" s="32" t="s">
        <v>39</v>
      </c>
      <c r="U370" s="32" t="s">
        <v>39</v>
      </c>
      <c r="V370" s="28" t="s">
        <v>39</v>
      </c>
      <c r="W370" s="31"/>
    </row>
    <row r="371" s="60" customFormat="1" ht="42.75">
      <c r="A371" s="33">
        <v>1</v>
      </c>
      <c r="B371" s="75" t="s">
        <v>465</v>
      </c>
      <c r="C371" s="33" t="s">
        <v>43</v>
      </c>
      <c r="D371" s="36">
        <v>1988</v>
      </c>
      <c r="E371" s="67" t="s">
        <v>39</v>
      </c>
      <c r="F371" s="33" t="s">
        <v>242</v>
      </c>
      <c r="G371" s="36">
        <v>3</v>
      </c>
      <c r="H371" s="36">
        <v>2</v>
      </c>
      <c r="I371" s="37">
        <v>959</v>
      </c>
      <c r="J371" s="37">
        <v>569</v>
      </c>
      <c r="K371" s="37">
        <v>261</v>
      </c>
      <c r="L371" s="38">
        <v>12</v>
      </c>
      <c r="M371" s="37">
        <f t="shared" ref="M371:M379" si="67">SUM(N371:Q371)</f>
        <v>3095482.1699999999</v>
      </c>
      <c r="N371" s="37">
        <v>0</v>
      </c>
      <c r="O371" s="37">
        <v>0</v>
      </c>
      <c r="P371" s="37">
        <v>0</v>
      </c>
      <c r="Q371" s="37">
        <f>'Таблица 3 '!C361</f>
        <v>3095482.1699999999</v>
      </c>
      <c r="R371" s="37">
        <f t="shared" ref="R371:R379" si="68">Q371</f>
        <v>3095482.1699999999</v>
      </c>
      <c r="S371" s="37">
        <v>0</v>
      </c>
      <c r="T371" s="37">
        <f t="shared" si="61"/>
        <v>5440.2147100175744</v>
      </c>
      <c r="U371" s="37">
        <f t="shared" si="62"/>
        <v>5440.2147100175744</v>
      </c>
      <c r="V371" s="41" t="s">
        <v>45</v>
      </c>
      <c r="W371" s="60"/>
    </row>
    <row r="372" s="60" customFormat="1" ht="42.75">
      <c r="A372" s="33">
        <v>2</v>
      </c>
      <c r="B372" s="52" t="s">
        <v>466</v>
      </c>
      <c r="C372" s="33" t="s">
        <v>43</v>
      </c>
      <c r="D372" s="36">
        <v>1994</v>
      </c>
      <c r="E372" s="67" t="s">
        <v>39</v>
      </c>
      <c r="F372" s="33" t="s">
        <v>77</v>
      </c>
      <c r="G372" s="36">
        <v>2</v>
      </c>
      <c r="H372" s="36">
        <v>3</v>
      </c>
      <c r="I372" s="37">
        <v>1266</v>
      </c>
      <c r="J372" s="37">
        <v>732.54999999999995</v>
      </c>
      <c r="K372" s="37">
        <v>732.54999999999995</v>
      </c>
      <c r="L372" s="38">
        <v>29</v>
      </c>
      <c r="M372" s="37">
        <f t="shared" si="67"/>
        <v>701311.69999999995</v>
      </c>
      <c r="N372" s="37">
        <v>0</v>
      </c>
      <c r="O372" s="37">
        <v>0</v>
      </c>
      <c r="P372" s="37">
        <v>0</v>
      </c>
      <c r="Q372" s="37">
        <f>'Таблица 3 '!C362</f>
        <v>701311.69999999995</v>
      </c>
      <c r="R372" s="37">
        <f t="shared" si="68"/>
        <v>701311.69999999995</v>
      </c>
      <c r="S372" s="56">
        <v>0</v>
      </c>
      <c r="T372" s="37">
        <f t="shared" si="61"/>
        <v>957.35676745614637</v>
      </c>
      <c r="U372" s="37">
        <f t="shared" si="62"/>
        <v>957.35676745614637</v>
      </c>
      <c r="V372" s="41" t="s">
        <v>45</v>
      </c>
      <c r="W372" s="60"/>
    </row>
    <row r="373" s="60" customFormat="1" ht="42.75">
      <c r="A373" s="36">
        <v>3</v>
      </c>
      <c r="B373" s="75" t="s">
        <v>467</v>
      </c>
      <c r="C373" s="33" t="s">
        <v>43</v>
      </c>
      <c r="D373" s="36">
        <v>1988</v>
      </c>
      <c r="E373" s="67" t="s">
        <v>39</v>
      </c>
      <c r="F373" s="33" t="s">
        <v>77</v>
      </c>
      <c r="G373" s="36">
        <v>3</v>
      </c>
      <c r="H373" s="36">
        <v>3</v>
      </c>
      <c r="I373" s="37">
        <v>721.5</v>
      </c>
      <c r="J373" s="37">
        <v>721.5</v>
      </c>
      <c r="K373" s="37">
        <v>0</v>
      </c>
      <c r="L373" s="38">
        <v>12</v>
      </c>
      <c r="M373" s="37">
        <f t="shared" si="67"/>
        <v>210123.73000000001</v>
      </c>
      <c r="N373" s="37">
        <v>0</v>
      </c>
      <c r="O373" s="37">
        <v>0</v>
      </c>
      <c r="P373" s="37">
        <v>0</v>
      </c>
      <c r="Q373" s="37">
        <f>'Таблица 3 '!C363</f>
        <v>210123.73000000001</v>
      </c>
      <c r="R373" s="37">
        <f t="shared" si="68"/>
        <v>210123.73000000001</v>
      </c>
      <c r="S373" s="37">
        <v>0</v>
      </c>
      <c r="T373" s="37">
        <f t="shared" si="61"/>
        <v>291.23178101178104</v>
      </c>
      <c r="U373" s="37">
        <f t="shared" si="62"/>
        <v>291.23178101178104</v>
      </c>
      <c r="V373" s="41" t="s">
        <v>45</v>
      </c>
      <c r="W373" s="60"/>
    </row>
    <row r="374" s="60" customFormat="1" ht="42.75">
      <c r="A374" s="33">
        <v>4</v>
      </c>
      <c r="B374" s="52" t="s">
        <v>468</v>
      </c>
      <c r="C374" s="33" t="s">
        <v>43</v>
      </c>
      <c r="D374" s="36">
        <v>1961</v>
      </c>
      <c r="E374" s="67" t="s">
        <v>39</v>
      </c>
      <c r="F374" s="33" t="s">
        <v>77</v>
      </c>
      <c r="G374" s="36">
        <v>2</v>
      </c>
      <c r="H374" s="36">
        <v>1</v>
      </c>
      <c r="I374" s="37">
        <v>1143.5</v>
      </c>
      <c r="J374" s="37">
        <v>1143.5</v>
      </c>
      <c r="K374" s="37">
        <v>84.700000000000003</v>
      </c>
      <c r="L374" s="38">
        <v>73</v>
      </c>
      <c r="M374" s="37">
        <f t="shared" si="67"/>
        <v>216008.39000000001</v>
      </c>
      <c r="N374" s="37">
        <v>0</v>
      </c>
      <c r="O374" s="37">
        <v>0</v>
      </c>
      <c r="P374" s="37">
        <v>0</v>
      </c>
      <c r="Q374" s="37">
        <f>'Таблица 3 '!C364</f>
        <v>216008.39000000001</v>
      </c>
      <c r="R374" s="37">
        <f t="shared" si="68"/>
        <v>216008.39000000001</v>
      </c>
      <c r="S374" s="37">
        <v>0</v>
      </c>
      <c r="T374" s="37">
        <f t="shared" si="61"/>
        <v>188.90108439003063</v>
      </c>
      <c r="U374" s="37">
        <f t="shared" si="62"/>
        <v>188.90108439003063</v>
      </c>
      <c r="V374" s="41" t="s">
        <v>45</v>
      </c>
      <c r="W374" s="60"/>
    </row>
    <row r="375" s="60" customFormat="1" ht="42.75">
      <c r="A375" s="33">
        <v>5</v>
      </c>
      <c r="B375" s="52" t="s">
        <v>469</v>
      </c>
      <c r="C375" s="33" t="s">
        <v>43</v>
      </c>
      <c r="D375" s="36">
        <v>1971</v>
      </c>
      <c r="E375" s="67">
        <v>2024</v>
      </c>
      <c r="F375" s="33" t="s">
        <v>77</v>
      </c>
      <c r="G375" s="36">
        <v>2</v>
      </c>
      <c r="H375" s="36">
        <v>2</v>
      </c>
      <c r="I375" s="37">
        <v>671</v>
      </c>
      <c r="J375" s="37">
        <v>618.61000000000001</v>
      </c>
      <c r="K375" s="37">
        <v>574.11000000000001</v>
      </c>
      <c r="L375" s="38">
        <v>25</v>
      </c>
      <c r="M375" s="37">
        <f t="shared" si="67"/>
        <v>1380679.2</v>
      </c>
      <c r="N375" s="37">
        <v>0</v>
      </c>
      <c r="O375" s="37">
        <v>0</v>
      </c>
      <c r="P375" s="37">
        <v>0</v>
      </c>
      <c r="Q375" s="37">
        <f>'Таблица 3 '!C365</f>
        <v>1380679.2</v>
      </c>
      <c r="R375" s="37">
        <f t="shared" si="68"/>
        <v>1380679.2</v>
      </c>
      <c r="S375" s="37">
        <v>0</v>
      </c>
      <c r="T375" s="37">
        <f t="shared" si="61"/>
        <v>2231.9057241234377</v>
      </c>
      <c r="U375" s="37">
        <f t="shared" si="62"/>
        <v>2231.9057241234377</v>
      </c>
      <c r="V375" s="41" t="s">
        <v>45</v>
      </c>
      <c r="W375" s="60"/>
    </row>
    <row r="376" s="60" customFormat="1" ht="42.75">
      <c r="A376" s="36">
        <v>6</v>
      </c>
      <c r="B376" s="75" t="s">
        <v>470</v>
      </c>
      <c r="C376" s="33" t="s">
        <v>43</v>
      </c>
      <c r="D376" s="36">
        <v>1963</v>
      </c>
      <c r="E376" s="67" t="s">
        <v>39</v>
      </c>
      <c r="F376" s="33" t="s">
        <v>77</v>
      </c>
      <c r="G376" s="36">
        <v>2</v>
      </c>
      <c r="H376" s="36">
        <v>4</v>
      </c>
      <c r="I376" s="37">
        <v>316</v>
      </c>
      <c r="J376" s="37">
        <v>302.10000000000002</v>
      </c>
      <c r="K376" s="37">
        <v>302.10000000000002</v>
      </c>
      <c r="L376" s="38">
        <v>17</v>
      </c>
      <c r="M376" s="37">
        <f t="shared" si="67"/>
        <v>2421323.9200000004</v>
      </c>
      <c r="N376" s="37">
        <v>0</v>
      </c>
      <c r="O376" s="37">
        <v>0</v>
      </c>
      <c r="P376" s="37">
        <v>0</v>
      </c>
      <c r="Q376" s="37">
        <f>'Таблица 3 '!C366</f>
        <v>2421323.9200000004</v>
      </c>
      <c r="R376" s="37">
        <f t="shared" si="68"/>
        <v>2421323.9200000004</v>
      </c>
      <c r="S376" s="37">
        <v>0</v>
      </c>
      <c r="T376" s="37">
        <f t="shared" si="61"/>
        <v>8014.9749089705401</v>
      </c>
      <c r="U376" s="37">
        <f t="shared" si="62"/>
        <v>8014.9749089705401</v>
      </c>
      <c r="V376" s="41" t="s">
        <v>45</v>
      </c>
      <c r="W376" s="60"/>
    </row>
    <row r="377" s="60" customFormat="1" ht="42.75">
      <c r="A377" s="33">
        <v>7</v>
      </c>
      <c r="B377" s="75" t="s">
        <v>471</v>
      </c>
      <c r="C377" s="33" t="s">
        <v>43</v>
      </c>
      <c r="D377" s="36">
        <v>1974</v>
      </c>
      <c r="E377" s="67" t="s">
        <v>39</v>
      </c>
      <c r="F377" s="33" t="s">
        <v>77</v>
      </c>
      <c r="G377" s="36">
        <v>2</v>
      </c>
      <c r="H377" s="36">
        <v>2</v>
      </c>
      <c r="I377" s="37">
        <v>691.14999999999998</v>
      </c>
      <c r="J377" s="37">
        <v>691.14999999999998</v>
      </c>
      <c r="K377" s="37">
        <v>691.14999999999998</v>
      </c>
      <c r="L377" s="38">
        <v>24</v>
      </c>
      <c r="M377" s="37">
        <f t="shared" si="67"/>
        <v>4612309.21</v>
      </c>
      <c r="N377" s="37">
        <v>0</v>
      </c>
      <c r="O377" s="37">
        <v>0</v>
      </c>
      <c r="P377" s="37">
        <v>0</v>
      </c>
      <c r="Q377" s="37">
        <f>'Таблица 3 '!C367</f>
        <v>4612309.21</v>
      </c>
      <c r="R377" s="37">
        <f t="shared" si="68"/>
        <v>4612309.21</v>
      </c>
      <c r="S377" s="37">
        <v>0</v>
      </c>
      <c r="T377" s="37">
        <f t="shared" si="61"/>
        <v>6673.3837951240685</v>
      </c>
      <c r="U377" s="37">
        <f t="shared" si="62"/>
        <v>6673.3837951240685</v>
      </c>
      <c r="V377" s="41" t="s">
        <v>45</v>
      </c>
      <c r="W377" s="60"/>
    </row>
    <row r="378" s="60" customFormat="1" ht="42.75">
      <c r="A378" s="33">
        <v>8</v>
      </c>
      <c r="B378" s="75" t="s">
        <v>472</v>
      </c>
      <c r="C378" s="33" t="s">
        <v>43</v>
      </c>
      <c r="D378" s="36">
        <v>1973</v>
      </c>
      <c r="E378" s="67" t="s">
        <v>39</v>
      </c>
      <c r="F378" s="33" t="s">
        <v>77</v>
      </c>
      <c r="G378" s="36">
        <v>2</v>
      </c>
      <c r="H378" s="36">
        <v>2</v>
      </c>
      <c r="I378" s="37">
        <v>631.80999999999995</v>
      </c>
      <c r="J378" s="37">
        <v>631.80999999999995</v>
      </c>
      <c r="K378" s="37">
        <v>0</v>
      </c>
      <c r="L378" s="38">
        <v>20</v>
      </c>
      <c r="M378" s="37">
        <f t="shared" si="67"/>
        <v>778401.83999999997</v>
      </c>
      <c r="N378" s="37">
        <v>0</v>
      </c>
      <c r="O378" s="37">
        <v>0</v>
      </c>
      <c r="P378" s="37">
        <v>0</v>
      </c>
      <c r="Q378" s="37">
        <f>'Таблица 3 '!C368</f>
        <v>778401.83999999997</v>
      </c>
      <c r="R378" s="37">
        <f t="shared" si="68"/>
        <v>778401.83999999997</v>
      </c>
      <c r="S378" s="37">
        <v>0</v>
      </c>
      <c r="T378" s="37">
        <f t="shared" si="61"/>
        <v>1232.0188664313639</v>
      </c>
      <c r="U378" s="37">
        <f t="shared" si="62"/>
        <v>1232.0188664313639</v>
      </c>
      <c r="V378" s="41" t="s">
        <v>45</v>
      </c>
      <c r="W378" s="60"/>
    </row>
    <row r="379" s="60" customFormat="1" ht="42.75">
      <c r="A379" s="36">
        <v>9</v>
      </c>
      <c r="B379" s="75" t="s">
        <v>473</v>
      </c>
      <c r="C379" s="33" t="s">
        <v>43</v>
      </c>
      <c r="D379" s="36">
        <v>1973</v>
      </c>
      <c r="E379" s="67" t="s">
        <v>39</v>
      </c>
      <c r="F379" s="33" t="s">
        <v>77</v>
      </c>
      <c r="G379" s="36">
        <v>2</v>
      </c>
      <c r="H379" s="36">
        <v>2</v>
      </c>
      <c r="I379" s="37">
        <v>635.59000000000003</v>
      </c>
      <c r="J379" s="37">
        <v>635.59000000000003</v>
      </c>
      <c r="K379" s="37">
        <v>0</v>
      </c>
      <c r="L379" s="38">
        <v>22</v>
      </c>
      <c r="M379" s="37">
        <f t="shared" si="67"/>
        <v>738401.83999999997</v>
      </c>
      <c r="N379" s="37">
        <v>0</v>
      </c>
      <c r="O379" s="37">
        <v>0</v>
      </c>
      <c r="P379" s="37">
        <v>0</v>
      </c>
      <c r="Q379" s="37">
        <f>'Таблица 3 '!C369</f>
        <v>738401.83999999997</v>
      </c>
      <c r="R379" s="37">
        <f t="shared" si="68"/>
        <v>738401.83999999997</v>
      </c>
      <c r="S379" s="37">
        <v>0</v>
      </c>
      <c r="T379" s="37">
        <f t="shared" si="61"/>
        <v>1161.75811450778</v>
      </c>
      <c r="U379" s="37">
        <f t="shared" si="62"/>
        <v>1161.75811450778</v>
      </c>
      <c r="V379" s="41" t="s">
        <v>45</v>
      </c>
      <c r="W379" s="60"/>
    </row>
    <row r="380" s="54" customFormat="1" ht="25.5" customHeight="1">
      <c r="A380" s="25" t="s">
        <v>474</v>
      </c>
      <c r="B380" s="25"/>
      <c r="C380" s="26" t="s">
        <v>39</v>
      </c>
      <c r="D380" s="26" t="s">
        <v>39</v>
      </c>
      <c r="E380" s="27" t="s">
        <v>39</v>
      </c>
      <c r="F380" s="26" t="s">
        <v>39</v>
      </c>
      <c r="G380" s="28" t="s">
        <v>39</v>
      </c>
      <c r="H380" s="28" t="s">
        <v>39</v>
      </c>
      <c r="I380" s="29">
        <f>I381+I383+I386</f>
        <v>8247.1000000000004</v>
      </c>
      <c r="J380" s="29">
        <f>J381+J383+J386</f>
        <v>6165.1999999999998</v>
      </c>
      <c r="K380" s="29">
        <f>K381+K383+K386</f>
        <v>8381.3999999999996</v>
      </c>
      <c r="L380" s="30">
        <f>L381+L383+L386</f>
        <v>272</v>
      </c>
      <c r="M380" s="29">
        <f>M381+M383+M386</f>
        <v>5138679.2799999993</v>
      </c>
      <c r="N380" s="29">
        <f>N381+N383+N386</f>
        <v>0</v>
      </c>
      <c r="O380" s="29">
        <f>O381+O383+O386</f>
        <v>0</v>
      </c>
      <c r="P380" s="29">
        <f>P381+P383+P386</f>
        <v>0</v>
      </c>
      <c r="Q380" s="29">
        <f>Q381+Q383+Q386</f>
        <v>5138679.2799999993</v>
      </c>
      <c r="R380" s="29">
        <f>R381+R383+R386</f>
        <v>5138679.2799999993</v>
      </c>
      <c r="S380" s="29">
        <f>S381+S383+S386</f>
        <v>0</v>
      </c>
      <c r="T380" s="32" t="s">
        <v>40</v>
      </c>
      <c r="U380" s="32" t="s">
        <v>40</v>
      </c>
      <c r="V380" s="28" t="s">
        <v>40</v>
      </c>
      <c r="W380" s="54"/>
    </row>
    <row r="381" s="54" customFormat="1" ht="25.5" customHeight="1">
      <c r="A381" s="61" t="s">
        <v>475</v>
      </c>
      <c r="B381" s="61"/>
      <c r="C381" s="26" t="s">
        <v>39</v>
      </c>
      <c r="D381" s="26" t="s">
        <v>39</v>
      </c>
      <c r="E381" s="27" t="s">
        <v>39</v>
      </c>
      <c r="F381" s="26" t="s">
        <v>39</v>
      </c>
      <c r="G381" s="28" t="s">
        <v>39</v>
      </c>
      <c r="H381" s="28" t="s">
        <v>39</v>
      </c>
      <c r="I381" s="29">
        <f>I382</f>
        <v>4824</v>
      </c>
      <c r="J381" s="29">
        <f>J382</f>
        <v>2945.5999999999999</v>
      </c>
      <c r="K381" s="29">
        <f>K382</f>
        <v>5945.6000000000004</v>
      </c>
      <c r="L381" s="30">
        <f>L382</f>
        <v>158</v>
      </c>
      <c r="M381" s="29">
        <f>M382</f>
        <v>1938929.04</v>
      </c>
      <c r="N381" s="29">
        <f>N382</f>
        <v>0</v>
      </c>
      <c r="O381" s="29">
        <f>O382</f>
        <v>0</v>
      </c>
      <c r="P381" s="29">
        <f>P382</f>
        <v>0</v>
      </c>
      <c r="Q381" s="29">
        <f>Q382</f>
        <v>1938929.04</v>
      </c>
      <c r="R381" s="29">
        <f>R382</f>
        <v>1938929.04</v>
      </c>
      <c r="S381" s="29">
        <f>S382</f>
        <v>0</v>
      </c>
      <c r="T381" s="32" t="s">
        <v>40</v>
      </c>
      <c r="U381" s="32" t="s">
        <v>40</v>
      </c>
      <c r="V381" s="28" t="s">
        <v>40</v>
      </c>
      <c r="W381" s="54"/>
    </row>
    <row r="382" s="54" customFormat="1" ht="42.75">
      <c r="A382" s="33">
        <v>1</v>
      </c>
      <c r="B382" s="34" t="s">
        <v>476</v>
      </c>
      <c r="C382" s="33" t="s">
        <v>43</v>
      </c>
      <c r="D382" s="35" t="s">
        <v>477</v>
      </c>
      <c r="E382" s="35" t="s">
        <v>39</v>
      </c>
      <c r="F382" s="33" t="s">
        <v>48</v>
      </c>
      <c r="G382" s="36">
        <v>4</v>
      </c>
      <c r="H382" s="36">
        <v>4</v>
      </c>
      <c r="I382" s="37">
        <v>4824</v>
      </c>
      <c r="J382" s="37">
        <v>2945.5999999999999</v>
      </c>
      <c r="K382" s="37">
        <v>5945.6000000000004</v>
      </c>
      <c r="L382" s="38">
        <v>158</v>
      </c>
      <c r="M382" s="39">
        <f t="shared" ref="M382:M388" si="69">SUM(N382:Q382)</f>
        <v>1938929.04</v>
      </c>
      <c r="N382" s="37">
        <v>0</v>
      </c>
      <c r="O382" s="37">
        <v>0</v>
      </c>
      <c r="P382" s="37">
        <v>0</v>
      </c>
      <c r="Q382" s="37">
        <f>'Таблица 3 '!C372</f>
        <v>1938929.04</v>
      </c>
      <c r="R382" s="37">
        <f t="shared" ref="R382:R388" si="70">Q382</f>
        <v>1938929.04</v>
      </c>
      <c r="S382" s="37">
        <v>0</v>
      </c>
      <c r="T382" s="37">
        <f t="shared" si="61"/>
        <v>658.24587180879962</v>
      </c>
      <c r="U382" s="39">
        <f t="shared" si="62"/>
        <v>658.24587180879962</v>
      </c>
      <c r="V382" s="97" t="s">
        <v>45</v>
      </c>
      <c r="W382" s="54"/>
      <c r="X382" s="54"/>
      <c r="Y382" s="54"/>
      <c r="Z382" s="54"/>
      <c r="AA382" s="54"/>
      <c r="AB382" s="54"/>
      <c r="AC382" s="54"/>
      <c r="AD382" s="54"/>
      <c r="AE382" s="54"/>
      <c r="AF382" s="54"/>
      <c r="AG382" s="54"/>
      <c r="AH382" s="54"/>
      <c r="AI382" s="54"/>
      <c r="AJ382" s="54"/>
      <c r="AK382" s="54"/>
      <c r="AL382" s="54"/>
      <c r="AM382" s="54"/>
      <c r="AN382" s="54"/>
      <c r="AO382" s="54"/>
      <c r="AP382" s="54"/>
      <c r="AQ382" s="54"/>
      <c r="AR382" s="54"/>
      <c r="AS382" s="54"/>
      <c r="AT382" s="54"/>
      <c r="AU382" s="54"/>
      <c r="AV382" s="54"/>
      <c r="AW382" s="54"/>
      <c r="AX382" s="54"/>
      <c r="AY382" s="54"/>
      <c r="AZ382" s="54"/>
      <c r="BA382" s="54"/>
      <c r="BB382" s="54"/>
      <c r="BC382" s="54"/>
      <c r="BD382" s="54"/>
      <c r="BE382" s="54"/>
      <c r="BF382" s="54"/>
      <c r="BG382" s="54"/>
      <c r="BH382" s="54"/>
      <c r="BI382" s="54"/>
      <c r="BJ382" s="54"/>
      <c r="BK382" s="54"/>
      <c r="BL382" s="54"/>
      <c r="BM382" s="54"/>
      <c r="BN382" s="54"/>
      <c r="BO382" s="54"/>
      <c r="BP382" s="54"/>
      <c r="BQ382" s="54"/>
      <c r="BR382" s="54"/>
      <c r="BS382" s="54"/>
      <c r="BT382" s="54"/>
      <c r="BU382" s="54"/>
      <c r="BV382" s="54"/>
      <c r="BW382" s="54"/>
      <c r="BX382" s="54"/>
      <c r="BY382" s="54"/>
      <c r="BZ382" s="54"/>
      <c r="CA382" s="54"/>
      <c r="CB382" s="54"/>
      <c r="CC382" s="54"/>
      <c r="CD382" s="54"/>
      <c r="CE382" s="54"/>
      <c r="CF382" s="54"/>
      <c r="CG382" s="54"/>
      <c r="CH382" s="54"/>
      <c r="CI382" s="54"/>
      <c r="CJ382" s="54"/>
      <c r="CK382" s="54"/>
      <c r="CL382" s="54"/>
      <c r="CM382" s="54"/>
      <c r="CN382" s="54"/>
      <c r="CO382" s="54"/>
      <c r="CP382" s="54"/>
      <c r="CQ382" s="54"/>
    </row>
    <row r="383" s="54" customFormat="1" ht="25.5" customHeight="1">
      <c r="A383" s="61" t="s">
        <v>478</v>
      </c>
      <c r="B383" s="61"/>
      <c r="C383" s="26" t="s">
        <v>39</v>
      </c>
      <c r="D383" s="26" t="s">
        <v>39</v>
      </c>
      <c r="E383" s="27" t="s">
        <v>39</v>
      </c>
      <c r="F383" s="26" t="s">
        <v>39</v>
      </c>
      <c r="G383" s="28" t="s">
        <v>39</v>
      </c>
      <c r="H383" s="28" t="s">
        <v>39</v>
      </c>
      <c r="I383" s="29">
        <f>SUM(I384:I385)</f>
        <v>1963.7</v>
      </c>
      <c r="J383" s="29">
        <f>SUM(J384:J385)</f>
        <v>1773.3000000000002</v>
      </c>
      <c r="K383" s="29">
        <f>SUM(K384:K385)</f>
        <v>1639.9000000000001</v>
      </c>
      <c r="L383" s="30">
        <f>SUM(L384:L385)</f>
        <v>50</v>
      </c>
      <c r="M383" s="29">
        <f>SUM(M384:M385)</f>
        <v>1696097.6499999999</v>
      </c>
      <c r="N383" s="29">
        <f>SUM(N384:N385)</f>
        <v>0</v>
      </c>
      <c r="O383" s="29">
        <f>SUM(O384:O385)</f>
        <v>0</v>
      </c>
      <c r="P383" s="29">
        <f>SUM(P384:P385)</f>
        <v>0</v>
      </c>
      <c r="Q383" s="29">
        <f>SUM(Q384:Q385)</f>
        <v>1696097.6499999999</v>
      </c>
      <c r="R383" s="29">
        <f>SUM(R384:R385)</f>
        <v>1696097.6499999999</v>
      </c>
      <c r="S383" s="29">
        <f>SUM(S384:S385)</f>
        <v>0</v>
      </c>
      <c r="T383" s="32" t="s">
        <v>40</v>
      </c>
      <c r="U383" s="32" t="s">
        <v>40</v>
      </c>
      <c r="V383" s="28" t="s">
        <v>40</v>
      </c>
      <c r="W383" s="54"/>
    </row>
    <row r="384" s="54" customFormat="1" ht="43.5" customHeight="1">
      <c r="A384" s="33">
        <v>1</v>
      </c>
      <c r="B384" s="52" t="s">
        <v>479</v>
      </c>
      <c r="C384" s="33" t="s">
        <v>43</v>
      </c>
      <c r="D384" s="33">
        <v>1953</v>
      </c>
      <c r="E384" s="35" t="s">
        <v>39</v>
      </c>
      <c r="F384" s="33" t="s">
        <v>77</v>
      </c>
      <c r="G384" s="36">
        <v>2</v>
      </c>
      <c r="H384" s="36">
        <v>2</v>
      </c>
      <c r="I384" s="37">
        <v>979</v>
      </c>
      <c r="J384" s="37">
        <v>887.20000000000005</v>
      </c>
      <c r="K384" s="37">
        <v>887.20000000000005</v>
      </c>
      <c r="L384" s="38">
        <v>33</v>
      </c>
      <c r="M384" s="39">
        <f>SUM(N384:Q384)</f>
        <v>830748.84999999998</v>
      </c>
      <c r="N384" s="37">
        <v>0</v>
      </c>
      <c r="O384" s="37">
        <v>0</v>
      </c>
      <c r="P384" s="37">
        <v>0</v>
      </c>
      <c r="Q384" s="37">
        <f>'Таблица 3 '!C374</f>
        <v>830748.84999999998</v>
      </c>
      <c r="R384" s="37">
        <f>Q384</f>
        <v>830748.84999999998</v>
      </c>
      <c r="S384" s="37">
        <v>0</v>
      </c>
      <c r="T384" s="37">
        <f t="shared" si="61"/>
        <v>936.37156221821454</v>
      </c>
      <c r="U384" s="39">
        <f t="shared" si="62"/>
        <v>936.37156221821454</v>
      </c>
      <c r="V384" s="41" t="s">
        <v>45</v>
      </c>
      <c r="W384" s="60"/>
    </row>
    <row r="385" s="54" customFormat="1" ht="42.75">
      <c r="A385" s="33">
        <v>2</v>
      </c>
      <c r="B385" s="50" t="s">
        <v>480</v>
      </c>
      <c r="C385" s="33" t="s">
        <v>43</v>
      </c>
      <c r="D385" s="33">
        <v>1952</v>
      </c>
      <c r="E385" s="35" t="s">
        <v>39</v>
      </c>
      <c r="F385" s="33" t="s">
        <v>455</v>
      </c>
      <c r="G385" s="36">
        <v>2</v>
      </c>
      <c r="H385" s="36">
        <v>2</v>
      </c>
      <c r="I385" s="37">
        <v>984.70000000000005</v>
      </c>
      <c r="J385" s="37">
        <v>886.10000000000002</v>
      </c>
      <c r="K385" s="37">
        <v>752.70000000000005</v>
      </c>
      <c r="L385" s="38">
        <v>17</v>
      </c>
      <c r="M385" s="39">
        <f t="shared" si="69"/>
        <v>865348.80000000005</v>
      </c>
      <c r="N385" s="37">
        <v>0</v>
      </c>
      <c r="O385" s="37">
        <v>0</v>
      </c>
      <c r="P385" s="37">
        <v>0</v>
      </c>
      <c r="Q385" s="37">
        <f>'Таблица 3 '!C375</f>
        <v>865348.80000000005</v>
      </c>
      <c r="R385" s="37">
        <f t="shared" si="70"/>
        <v>865348.80000000005</v>
      </c>
      <c r="S385" s="37">
        <v>0</v>
      </c>
      <c r="T385" s="37">
        <f t="shared" si="61"/>
        <v>976.58142421848549</v>
      </c>
      <c r="U385" s="39">
        <f t="shared" si="62"/>
        <v>976.58142421848549</v>
      </c>
      <c r="V385" s="97" t="s">
        <v>45</v>
      </c>
      <c r="W385" s="54"/>
    </row>
    <row r="386" s="54" customFormat="1" ht="25.5" customHeight="1">
      <c r="A386" s="61" t="s">
        <v>481</v>
      </c>
      <c r="B386" s="61"/>
      <c r="C386" s="26" t="s">
        <v>39</v>
      </c>
      <c r="D386" s="26" t="s">
        <v>39</v>
      </c>
      <c r="E386" s="27" t="s">
        <v>39</v>
      </c>
      <c r="F386" s="26" t="s">
        <v>39</v>
      </c>
      <c r="G386" s="28" t="s">
        <v>39</v>
      </c>
      <c r="H386" s="28" t="s">
        <v>39</v>
      </c>
      <c r="I386" s="29">
        <f>SUM(I387:I388)</f>
        <v>1459.4000000000001</v>
      </c>
      <c r="J386" s="29">
        <f>SUM(J387:J388)</f>
        <v>1446.3</v>
      </c>
      <c r="K386" s="29">
        <f>SUM(K387:K388)</f>
        <v>795.90000000000009</v>
      </c>
      <c r="L386" s="30">
        <f>SUM(L387:L388)</f>
        <v>64</v>
      </c>
      <c r="M386" s="29">
        <f>SUM(M387:M388)</f>
        <v>1503652.5899999999</v>
      </c>
      <c r="N386" s="29">
        <f>SUM(N387:N388)</f>
        <v>0</v>
      </c>
      <c r="O386" s="29">
        <f>SUM(O387:O388)</f>
        <v>0</v>
      </c>
      <c r="P386" s="29">
        <f>SUM(P387:P388)</f>
        <v>0</v>
      </c>
      <c r="Q386" s="29">
        <f>SUM(Q387:Q388)</f>
        <v>1503652.5899999999</v>
      </c>
      <c r="R386" s="29">
        <f>SUM(R387:R388)</f>
        <v>1503652.5899999999</v>
      </c>
      <c r="S386" s="29">
        <f>SUM(S387:S388)</f>
        <v>0</v>
      </c>
      <c r="T386" s="32" t="s">
        <v>40</v>
      </c>
      <c r="U386" s="32" t="s">
        <v>40</v>
      </c>
      <c r="V386" s="28" t="s">
        <v>40</v>
      </c>
      <c r="W386" s="54"/>
    </row>
    <row r="387" s="54" customFormat="1" ht="42.75">
      <c r="A387" s="33">
        <v>1</v>
      </c>
      <c r="B387" s="98" t="s">
        <v>482</v>
      </c>
      <c r="C387" s="33" t="s">
        <v>43</v>
      </c>
      <c r="D387" s="33" t="s">
        <v>286</v>
      </c>
      <c r="E387" s="35">
        <v>2019</v>
      </c>
      <c r="F387" s="33" t="s">
        <v>48</v>
      </c>
      <c r="G387" s="36">
        <v>2</v>
      </c>
      <c r="H387" s="36">
        <v>2</v>
      </c>
      <c r="I387" s="40">
        <v>611.39999999999998</v>
      </c>
      <c r="J387" s="40">
        <v>611.39999999999998</v>
      </c>
      <c r="K387" s="40">
        <v>251.19999999999999</v>
      </c>
      <c r="L387" s="48">
        <v>31</v>
      </c>
      <c r="M387" s="39">
        <f t="shared" si="69"/>
        <v>143785.20000000001</v>
      </c>
      <c r="N387" s="37">
        <v>0</v>
      </c>
      <c r="O387" s="37">
        <v>0</v>
      </c>
      <c r="P387" s="37">
        <v>0</v>
      </c>
      <c r="Q387" s="37">
        <f>'Таблица 3 '!C377</f>
        <v>143785.20000000001</v>
      </c>
      <c r="R387" s="37">
        <f t="shared" si="70"/>
        <v>143785.20000000001</v>
      </c>
      <c r="S387" s="37">
        <v>0</v>
      </c>
      <c r="T387" s="37">
        <f t="shared" si="61"/>
        <v>235.17369970559375</v>
      </c>
      <c r="U387" s="39">
        <f t="shared" si="62"/>
        <v>235.17369970559375</v>
      </c>
      <c r="V387" s="97" t="s">
        <v>45</v>
      </c>
      <c r="W387" s="54"/>
    </row>
    <row r="388" s="54" customFormat="1" ht="42.75">
      <c r="A388" s="33">
        <v>2</v>
      </c>
      <c r="B388" s="50" t="s">
        <v>483</v>
      </c>
      <c r="C388" s="33" t="s">
        <v>43</v>
      </c>
      <c r="D388" s="33">
        <v>1989</v>
      </c>
      <c r="E388" s="35" t="s">
        <v>39</v>
      </c>
      <c r="F388" s="33" t="s">
        <v>77</v>
      </c>
      <c r="G388" s="36">
        <v>3</v>
      </c>
      <c r="H388" s="36">
        <v>2</v>
      </c>
      <c r="I388" s="37">
        <v>848</v>
      </c>
      <c r="J388" s="37">
        <v>834.89999999999998</v>
      </c>
      <c r="K388" s="37">
        <v>544.70000000000005</v>
      </c>
      <c r="L388" s="38">
        <v>33</v>
      </c>
      <c r="M388" s="37">
        <f t="shared" si="69"/>
        <v>1359867.3899999999</v>
      </c>
      <c r="N388" s="37">
        <v>0</v>
      </c>
      <c r="O388" s="37">
        <v>0</v>
      </c>
      <c r="P388" s="37">
        <v>0</v>
      </c>
      <c r="Q388" s="37">
        <f>'Таблица 3 '!C378</f>
        <v>1359867.3899999999</v>
      </c>
      <c r="R388" s="37">
        <f t="shared" si="70"/>
        <v>1359867.3899999999</v>
      </c>
      <c r="S388" s="37">
        <v>0</v>
      </c>
      <c r="T388" s="37">
        <f t="shared" si="61"/>
        <v>1628.7787639238231</v>
      </c>
      <c r="U388" s="37">
        <f t="shared" si="62"/>
        <v>1628.7787639238231</v>
      </c>
      <c r="V388" s="41" t="s">
        <v>45</v>
      </c>
      <c r="W388" s="60"/>
    </row>
    <row r="389" s="31" customFormat="1" ht="25.5" customHeight="1">
      <c r="A389" s="25" t="s">
        <v>484</v>
      </c>
      <c r="B389" s="25"/>
      <c r="C389" s="26" t="s">
        <v>39</v>
      </c>
      <c r="D389" s="26" t="s">
        <v>39</v>
      </c>
      <c r="E389" s="27" t="s">
        <v>39</v>
      </c>
      <c r="F389" s="26" t="s">
        <v>39</v>
      </c>
      <c r="G389" s="28" t="s">
        <v>39</v>
      </c>
      <c r="H389" s="28" t="s">
        <v>39</v>
      </c>
      <c r="I389" s="64">
        <f>SUM(I390:I391)</f>
        <v>2895.3899999999999</v>
      </c>
      <c r="J389" s="64">
        <f>SUM(J390:J391)</f>
        <v>2315.1700000000001</v>
      </c>
      <c r="K389" s="64">
        <f>SUM(K390:K391)</f>
        <v>2013.8699999999999</v>
      </c>
      <c r="L389" s="65">
        <f>SUM(L390:L391)</f>
        <v>83</v>
      </c>
      <c r="M389" s="64">
        <f>SUM(M390:M391)</f>
        <v>1845810.1700000002</v>
      </c>
      <c r="N389" s="64">
        <f>SUM(N390:N391)</f>
        <v>0</v>
      </c>
      <c r="O389" s="64">
        <f>SUM(O390:O391)</f>
        <v>0</v>
      </c>
      <c r="P389" s="64">
        <f>SUM(P390:P391)</f>
        <v>0</v>
      </c>
      <c r="Q389" s="64">
        <f>SUM(Q390:Q391)</f>
        <v>1845810.1700000002</v>
      </c>
      <c r="R389" s="64">
        <f>SUM(R390:R391)</f>
        <v>1845810.1700000002</v>
      </c>
      <c r="S389" s="64">
        <f>SUM(S390:S391)</f>
        <v>0</v>
      </c>
      <c r="T389" s="32" t="s">
        <v>39</v>
      </c>
      <c r="U389" s="32" t="s">
        <v>39</v>
      </c>
      <c r="V389" s="63" t="s">
        <v>39</v>
      </c>
      <c r="W389" s="31"/>
    </row>
    <row r="390" s="60" customFormat="1" ht="45.75" customHeight="1">
      <c r="A390" s="33">
        <v>1</v>
      </c>
      <c r="B390" s="52" t="s">
        <v>485</v>
      </c>
      <c r="C390" s="33" t="s">
        <v>43</v>
      </c>
      <c r="D390" s="33">
        <v>1987</v>
      </c>
      <c r="E390" s="35" t="s">
        <v>39</v>
      </c>
      <c r="F390" s="33" t="s">
        <v>77</v>
      </c>
      <c r="G390" s="36">
        <v>3</v>
      </c>
      <c r="H390" s="36">
        <v>3</v>
      </c>
      <c r="I390" s="37">
        <v>2264.3899999999999</v>
      </c>
      <c r="J390" s="37">
        <v>1717.8</v>
      </c>
      <c r="K390" s="37">
        <v>1524</v>
      </c>
      <c r="L390" s="38">
        <v>63</v>
      </c>
      <c r="M390" s="37">
        <f t="shared" ref="M390:M391" si="71">SUM(N390:Q390)</f>
        <v>256410.23999999999</v>
      </c>
      <c r="N390" s="37">
        <v>0</v>
      </c>
      <c r="O390" s="37">
        <v>0</v>
      </c>
      <c r="P390" s="37">
        <v>0</v>
      </c>
      <c r="Q390" s="37">
        <f>'Таблица 3 '!C380</f>
        <v>256410.23999999999</v>
      </c>
      <c r="R390" s="37">
        <f t="shared" ref="R390:R391" si="72">Q390</f>
        <v>256410.23999999999</v>
      </c>
      <c r="S390" s="37">
        <v>0</v>
      </c>
      <c r="T390" s="37">
        <f t="shared" si="61"/>
        <v>149.2666433810688</v>
      </c>
      <c r="U390" s="37">
        <f t="shared" si="62"/>
        <v>149.2666433810688</v>
      </c>
      <c r="V390" s="41" t="s">
        <v>45</v>
      </c>
      <c r="W390" s="60"/>
    </row>
    <row r="391" s="60" customFormat="1" ht="42.75">
      <c r="A391" s="33">
        <v>2</v>
      </c>
      <c r="B391" s="52" t="s">
        <v>486</v>
      </c>
      <c r="C391" s="33" t="s">
        <v>43</v>
      </c>
      <c r="D391" s="33">
        <v>1977</v>
      </c>
      <c r="E391" s="35">
        <v>2022</v>
      </c>
      <c r="F391" s="33" t="s">
        <v>77</v>
      </c>
      <c r="G391" s="36">
        <v>2</v>
      </c>
      <c r="H391" s="36">
        <v>2</v>
      </c>
      <c r="I391" s="37">
        <v>631</v>
      </c>
      <c r="J391" s="37">
        <v>597.37</v>
      </c>
      <c r="K391" s="37">
        <v>489.87</v>
      </c>
      <c r="L391" s="38">
        <v>20</v>
      </c>
      <c r="M391" s="37">
        <f t="shared" si="71"/>
        <v>1589399.9300000002</v>
      </c>
      <c r="N391" s="37">
        <v>0</v>
      </c>
      <c r="O391" s="37">
        <v>0</v>
      </c>
      <c r="P391" s="37">
        <v>0</v>
      </c>
      <c r="Q391" s="37">
        <f>'Таблица 3 '!C381</f>
        <v>1589399.9300000002</v>
      </c>
      <c r="R391" s="37">
        <f t="shared" si="72"/>
        <v>1589399.9300000002</v>
      </c>
      <c r="S391" s="37">
        <v>0</v>
      </c>
      <c r="T391" s="37">
        <f t="shared" si="61"/>
        <v>2660.662453755629</v>
      </c>
      <c r="U391" s="37">
        <f t="shared" si="62"/>
        <v>2660.662453755629</v>
      </c>
      <c r="V391" s="41" t="s">
        <v>45</v>
      </c>
      <c r="W391" s="60"/>
    </row>
    <row r="392" s="31" customFormat="1" ht="30" customHeight="1">
      <c r="A392" s="61" t="s">
        <v>487</v>
      </c>
      <c r="B392" s="61"/>
      <c r="C392" s="26" t="s">
        <v>39</v>
      </c>
      <c r="D392" s="26" t="s">
        <v>39</v>
      </c>
      <c r="E392" s="27" t="s">
        <v>39</v>
      </c>
      <c r="F392" s="26" t="s">
        <v>39</v>
      </c>
      <c r="G392" s="28" t="s">
        <v>39</v>
      </c>
      <c r="H392" s="28" t="s">
        <v>39</v>
      </c>
      <c r="I392" s="64">
        <f>SUM(I393:I397)</f>
        <v>5352.2999999999993</v>
      </c>
      <c r="J392" s="64">
        <f>SUM(J393:J397)</f>
        <v>4564.0600000000004</v>
      </c>
      <c r="K392" s="64">
        <f>SUM(K393:K397)</f>
        <v>4463.1599999999999</v>
      </c>
      <c r="L392" s="65">
        <f>SUM(L393:L397)</f>
        <v>198</v>
      </c>
      <c r="M392" s="64">
        <f>SUM(M393:M397)</f>
        <v>7888827.0300000003</v>
      </c>
      <c r="N392" s="64">
        <f>SUM(N393:N397)</f>
        <v>0</v>
      </c>
      <c r="O392" s="64">
        <f>SUM(O393:O397)</f>
        <v>0</v>
      </c>
      <c r="P392" s="64">
        <f>SUM(P393:P397)</f>
        <v>0</v>
      </c>
      <c r="Q392" s="64">
        <f>SUM(Q393:Q397)</f>
        <v>7888827.0300000003</v>
      </c>
      <c r="R392" s="64">
        <f>SUM(R393:R397)</f>
        <v>7888827.0300000003</v>
      </c>
      <c r="S392" s="64">
        <f>SUM(S393:S397)</f>
        <v>0</v>
      </c>
      <c r="T392" s="32" t="s">
        <v>39</v>
      </c>
      <c r="U392" s="32" t="s">
        <v>39</v>
      </c>
      <c r="V392" s="63" t="s">
        <v>39</v>
      </c>
      <c r="W392" s="31"/>
    </row>
    <row r="393" s="60" customFormat="1" ht="42.75" customHeight="1">
      <c r="A393" s="33">
        <v>1</v>
      </c>
      <c r="B393" s="50" t="s">
        <v>488</v>
      </c>
      <c r="C393" s="33" t="s">
        <v>43</v>
      </c>
      <c r="D393" s="33">
        <v>1983</v>
      </c>
      <c r="E393" s="35" t="s">
        <v>39</v>
      </c>
      <c r="F393" s="33" t="s">
        <v>77</v>
      </c>
      <c r="G393" s="33">
        <v>3</v>
      </c>
      <c r="H393" s="36">
        <v>3</v>
      </c>
      <c r="I393" s="77">
        <v>1741.0999999999999</v>
      </c>
      <c r="J393" s="37">
        <v>1544.5</v>
      </c>
      <c r="K393" s="37">
        <v>1544.5</v>
      </c>
      <c r="L393" s="38">
        <v>39</v>
      </c>
      <c r="M393" s="37">
        <f t="shared" ref="M393:M397" si="73">SUM(N393:Q393)</f>
        <v>6802541.4699999997</v>
      </c>
      <c r="N393" s="37">
        <v>0</v>
      </c>
      <c r="O393" s="37">
        <v>0</v>
      </c>
      <c r="P393" s="37">
        <v>0</v>
      </c>
      <c r="Q393" s="37">
        <f>'Таблица 3 '!C383</f>
        <v>6802541.4699999997</v>
      </c>
      <c r="R393" s="37">
        <f t="shared" ref="R393:R397" si="74">Q393</f>
        <v>6802541.4699999997</v>
      </c>
      <c r="S393" s="37">
        <v>0</v>
      </c>
      <c r="T393" s="37">
        <f t="shared" si="61"/>
        <v>4404.3648235674973</v>
      </c>
      <c r="U393" s="37">
        <f t="shared" si="62"/>
        <v>4404.3648235674973</v>
      </c>
      <c r="V393" s="41" t="s">
        <v>45</v>
      </c>
      <c r="W393" s="60"/>
    </row>
    <row r="394" s="60" customFormat="1" ht="42.75" customHeight="1">
      <c r="A394" s="33">
        <v>2</v>
      </c>
      <c r="B394" s="50" t="s">
        <v>489</v>
      </c>
      <c r="C394" s="33" t="s">
        <v>43</v>
      </c>
      <c r="D394" s="33">
        <v>1977</v>
      </c>
      <c r="E394" s="35" t="s">
        <v>39</v>
      </c>
      <c r="F394" s="33" t="s">
        <v>77</v>
      </c>
      <c r="G394" s="36">
        <v>2</v>
      </c>
      <c r="H394" s="36">
        <v>3</v>
      </c>
      <c r="I394" s="37">
        <v>875.5</v>
      </c>
      <c r="J394" s="37">
        <v>872.75</v>
      </c>
      <c r="K394" s="37">
        <v>872.75</v>
      </c>
      <c r="L394" s="38">
        <v>44</v>
      </c>
      <c r="M394" s="37">
        <f t="shared" si="73"/>
        <v>358384.53999999998</v>
      </c>
      <c r="N394" s="37">
        <v>0</v>
      </c>
      <c r="O394" s="37">
        <v>0</v>
      </c>
      <c r="P394" s="37">
        <v>0</v>
      </c>
      <c r="Q394" s="37">
        <f>'Таблица 3 '!C384</f>
        <v>358384.53999999998</v>
      </c>
      <c r="R394" s="37">
        <f t="shared" si="74"/>
        <v>358384.53999999998</v>
      </c>
      <c r="S394" s="37">
        <v>0</v>
      </c>
      <c r="T394" s="37">
        <f t="shared" si="61"/>
        <v>410.63825837868802</v>
      </c>
      <c r="U394" s="37">
        <f t="shared" si="62"/>
        <v>410.63825837868802</v>
      </c>
      <c r="V394" s="41" t="s">
        <v>45</v>
      </c>
      <c r="W394" s="60"/>
    </row>
    <row r="395" s="60" customFormat="1" ht="42.75" customHeight="1">
      <c r="A395" s="33">
        <v>3</v>
      </c>
      <c r="B395" s="50" t="s">
        <v>490</v>
      </c>
      <c r="C395" s="33" t="s">
        <v>43</v>
      </c>
      <c r="D395" s="33">
        <v>1976</v>
      </c>
      <c r="E395" s="35" t="s">
        <v>39</v>
      </c>
      <c r="F395" s="33" t="s">
        <v>77</v>
      </c>
      <c r="G395" s="36">
        <v>2</v>
      </c>
      <c r="H395" s="36">
        <v>2</v>
      </c>
      <c r="I395" s="37">
        <v>1055.4000000000001</v>
      </c>
      <c r="J395" s="37">
        <v>719</v>
      </c>
      <c r="K395" s="37">
        <v>661.10000000000002</v>
      </c>
      <c r="L395" s="38">
        <v>37</v>
      </c>
      <c r="M395" s="37">
        <f t="shared" si="73"/>
        <v>208075.54000000001</v>
      </c>
      <c r="N395" s="37">
        <v>0</v>
      </c>
      <c r="O395" s="37">
        <v>0</v>
      </c>
      <c r="P395" s="37">
        <v>0</v>
      </c>
      <c r="Q395" s="37">
        <f>'Таблица 3 '!C385</f>
        <v>208075.54000000001</v>
      </c>
      <c r="R395" s="37">
        <f t="shared" si="74"/>
        <v>208075.54000000001</v>
      </c>
      <c r="S395" s="37">
        <v>0</v>
      </c>
      <c r="T395" s="37">
        <f t="shared" si="61"/>
        <v>289.39574408901251</v>
      </c>
      <c r="U395" s="37">
        <f t="shared" si="62"/>
        <v>289.39574408901251</v>
      </c>
      <c r="V395" s="41" t="s">
        <v>45</v>
      </c>
      <c r="W395" s="60"/>
    </row>
    <row r="396" s="60" customFormat="1" ht="42.75" customHeight="1">
      <c r="A396" s="33">
        <v>4</v>
      </c>
      <c r="B396" s="50" t="s">
        <v>491</v>
      </c>
      <c r="C396" s="33" t="s">
        <v>43</v>
      </c>
      <c r="D396" s="33">
        <v>1971</v>
      </c>
      <c r="E396" s="35" t="s">
        <v>39</v>
      </c>
      <c r="F396" s="33" t="s">
        <v>77</v>
      </c>
      <c r="G396" s="36">
        <v>2</v>
      </c>
      <c r="H396" s="36">
        <v>2</v>
      </c>
      <c r="I396" s="37">
        <v>839.39999999999998</v>
      </c>
      <c r="J396" s="37">
        <v>695.00999999999999</v>
      </c>
      <c r="K396" s="37">
        <v>694.50999999999999</v>
      </c>
      <c r="L396" s="38">
        <v>40</v>
      </c>
      <c r="M396" s="37">
        <f t="shared" si="73"/>
        <v>259912.73999999999</v>
      </c>
      <c r="N396" s="37">
        <v>0</v>
      </c>
      <c r="O396" s="37">
        <v>0</v>
      </c>
      <c r="P396" s="37">
        <v>0</v>
      </c>
      <c r="Q396" s="37">
        <f>'Таблица 3 '!C386</f>
        <v>259912.73999999999</v>
      </c>
      <c r="R396" s="37">
        <f t="shared" si="74"/>
        <v>259912.73999999999</v>
      </c>
      <c r="S396" s="37">
        <v>0</v>
      </c>
      <c r="T396" s="37">
        <f t="shared" si="61"/>
        <v>373.9697846074157</v>
      </c>
      <c r="U396" s="37">
        <f t="shared" si="62"/>
        <v>373.9697846074157</v>
      </c>
      <c r="V396" s="41" t="s">
        <v>45</v>
      </c>
      <c r="W396" s="60"/>
    </row>
    <row r="397" s="60" customFormat="1" ht="42.75" customHeight="1">
      <c r="A397" s="33">
        <v>5</v>
      </c>
      <c r="B397" s="50" t="s">
        <v>492</v>
      </c>
      <c r="C397" s="33" t="s">
        <v>43</v>
      </c>
      <c r="D397" s="33">
        <v>1972</v>
      </c>
      <c r="E397" s="35" t="s">
        <v>39</v>
      </c>
      <c r="F397" s="33" t="s">
        <v>77</v>
      </c>
      <c r="G397" s="36">
        <v>2</v>
      </c>
      <c r="H397" s="36">
        <v>2</v>
      </c>
      <c r="I397" s="37">
        <v>840.89999999999998</v>
      </c>
      <c r="J397" s="37">
        <v>732.79999999999995</v>
      </c>
      <c r="K397" s="37">
        <v>690.29999999999995</v>
      </c>
      <c r="L397" s="38">
        <v>38</v>
      </c>
      <c r="M397" s="37">
        <f t="shared" si="73"/>
        <v>259912.73999999999</v>
      </c>
      <c r="N397" s="37">
        <v>0</v>
      </c>
      <c r="O397" s="37">
        <v>0</v>
      </c>
      <c r="P397" s="37">
        <v>0</v>
      </c>
      <c r="Q397" s="37">
        <f>'Таблица 3 '!C387</f>
        <v>259912.73999999999</v>
      </c>
      <c r="R397" s="37">
        <f t="shared" si="74"/>
        <v>259912.73999999999</v>
      </c>
      <c r="S397" s="37">
        <v>0</v>
      </c>
      <c r="T397" s="37">
        <f t="shared" si="61"/>
        <v>354.68441593886462</v>
      </c>
      <c r="U397" s="37">
        <f t="shared" si="62"/>
        <v>354.68441593886462</v>
      </c>
      <c r="V397" s="41" t="s">
        <v>45</v>
      </c>
      <c r="W397" s="60"/>
    </row>
    <row r="398" s="31" customFormat="1" ht="28.5" customHeight="1">
      <c r="A398" s="61" t="s">
        <v>493</v>
      </c>
      <c r="B398" s="61"/>
      <c r="C398" s="28" t="s">
        <v>39</v>
      </c>
      <c r="D398" s="28" t="s">
        <v>39</v>
      </c>
      <c r="E398" s="66" t="s">
        <v>39</v>
      </c>
      <c r="F398" s="28" t="s">
        <v>39</v>
      </c>
      <c r="G398" s="28" t="s">
        <v>39</v>
      </c>
      <c r="H398" s="28" t="s">
        <v>39</v>
      </c>
      <c r="I398" s="64">
        <f>SUM(I399:I405)</f>
        <v>9279.5200000000004</v>
      </c>
      <c r="J398" s="64">
        <f>SUM(J399:J405)</f>
        <v>8456.1899999999987</v>
      </c>
      <c r="K398" s="64">
        <f>SUM(K399:K405)</f>
        <v>7999.3899999999994</v>
      </c>
      <c r="L398" s="65">
        <f>SUM(L399:L405)</f>
        <v>287</v>
      </c>
      <c r="M398" s="64">
        <f>SUM(M399:M405)</f>
        <v>28605241.139999997</v>
      </c>
      <c r="N398" s="64">
        <f>SUM(N399:N405)</f>
        <v>0</v>
      </c>
      <c r="O398" s="64">
        <f>SUM(O399:O405)</f>
        <v>0</v>
      </c>
      <c r="P398" s="64">
        <f>SUM(P399:P405)</f>
        <v>0</v>
      </c>
      <c r="Q398" s="64">
        <f>SUM(Q399:Q405)</f>
        <v>28605241.139999997</v>
      </c>
      <c r="R398" s="64">
        <f>SUM(R399:R405)</f>
        <v>28605241.139999997</v>
      </c>
      <c r="S398" s="64">
        <f>SUM(S399:S405)</f>
        <v>0</v>
      </c>
      <c r="T398" s="32" t="s">
        <v>39</v>
      </c>
      <c r="U398" s="32" t="s">
        <v>39</v>
      </c>
      <c r="V398" s="28" t="s">
        <v>39</v>
      </c>
      <c r="W398" s="31"/>
    </row>
    <row r="399" s="60" customFormat="1" ht="42.75">
      <c r="A399" s="33">
        <v>1</v>
      </c>
      <c r="B399" s="75" t="s">
        <v>494</v>
      </c>
      <c r="C399" s="33" t="s">
        <v>43</v>
      </c>
      <c r="D399" s="36">
        <v>1978</v>
      </c>
      <c r="E399" s="67" t="s">
        <v>39</v>
      </c>
      <c r="F399" s="33" t="s">
        <v>77</v>
      </c>
      <c r="G399" s="36">
        <v>5</v>
      </c>
      <c r="H399" s="36">
        <v>4</v>
      </c>
      <c r="I399" s="37">
        <v>3234</v>
      </c>
      <c r="J399" s="37">
        <v>3143.3899999999999</v>
      </c>
      <c r="K399" s="37">
        <v>2880.0900000000001</v>
      </c>
      <c r="L399" s="38">
        <v>88</v>
      </c>
      <c r="M399" s="37">
        <f t="shared" ref="M399:M405" si="75">SUM(N399:Q399)</f>
        <v>298930.79999999999</v>
      </c>
      <c r="N399" s="37">
        <v>0</v>
      </c>
      <c r="O399" s="37">
        <v>0</v>
      </c>
      <c r="P399" s="37">
        <v>0</v>
      </c>
      <c r="Q399" s="37">
        <f>'Таблица 3 '!C389</f>
        <v>298930.79999999999</v>
      </c>
      <c r="R399" s="37">
        <f t="shared" ref="R399:R405" si="76">Q399</f>
        <v>298930.79999999999</v>
      </c>
      <c r="S399" s="37">
        <v>0</v>
      </c>
      <c r="T399" s="37">
        <f t="shared" si="61"/>
        <v>95.098221983272836</v>
      </c>
      <c r="U399" s="37">
        <f t="shared" si="62"/>
        <v>95.098221983272836</v>
      </c>
      <c r="V399" s="41" t="s">
        <v>45</v>
      </c>
      <c r="W399" s="60"/>
    </row>
    <row r="400" s="60" customFormat="1" ht="42.75">
      <c r="A400" s="36">
        <v>2</v>
      </c>
      <c r="B400" s="75" t="s">
        <v>495</v>
      </c>
      <c r="C400" s="33" t="s">
        <v>43</v>
      </c>
      <c r="D400" s="36">
        <v>2002</v>
      </c>
      <c r="E400" s="67" t="s">
        <v>39</v>
      </c>
      <c r="F400" s="33" t="s">
        <v>77</v>
      </c>
      <c r="G400" s="36">
        <v>5</v>
      </c>
      <c r="H400" s="36">
        <v>2</v>
      </c>
      <c r="I400" s="37">
        <v>2118.1999999999998</v>
      </c>
      <c r="J400" s="37">
        <v>2068.1999999999998</v>
      </c>
      <c r="K400" s="37">
        <v>1874.7</v>
      </c>
      <c r="L400" s="38">
        <v>71</v>
      </c>
      <c r="M400" s="37">
        <f t="shared" si="75"/>
        <v>862596.01000000001</v>
      </c>
      <c r="N400" s="37">
        <v>0</v>
      </c>
      <c r="O400" s="37">
        <v>0</v>
      </c>
      <c r="P400" s="37">
        <v>0</v>
      </c>
      <c r="Q400" s="37">
        <f>'Таблица 3 '!C390</f>
        <v>862596.01000000001</v>
      </c>
      <c r="R400" s="37">
        <f t="shared" si="76"/>
        <v>862596.01000000001</v>
      </c>
      <c r="S400" s="37">
        <v>0</v>
      </c>
      <c r="T400" s="37">
        <f t="shared" si="61"/>
        <v>417.07572285078817</v>
      </c>
      <c r="U400" s="37">
        <f t="shared" si="62"/>
        <v>417.07572285078817</v>
      </c>
      <c r="V400" s="41" t="s">
        <v>45</v>
      </c>
      <c r="W400" s="60"/>
    </row>
    <row r="401" s="60" customFormat="1" ht="42.75">
      <c r="A401" s="33">
        <v>3</v>
      </c>
      <c r="B401" s="75" t="s">
        <v>496</v>
      </c>
      <c r="C401" s="33" t="s">
        <v>43</v>
      </c>
      <c r="D401" s="36">
        <v>1973</v>
      </c>
      <c r="E401" s="67" t="s">
        <v>39</v>
      </c>
      <c r="F401" s="33" t="s">
        <v>77</v>
      </c>
      <c r="G401" s="36">
        <v>2</v>
      </c>
      <c r="H401" s="36">
        <v>2</v>
      </c>
      <c r="I401" s="37">
        <v>791.29999999999995</v>
      </c>
      <c r="J401" s="37">
        <v>672.88</v>
      </c>
      <c r="K401" s="37">
        <v>672.88</v>
      </c>
      <c r="L401" s="38">
        <v>18</v>
      </c>
      <c r="M401" s="37">
        <f t="shared" si="75"/>
        <v>725902.80000000005</v>
      </c>
      <c r="N401" s="37">
        <v>0</v>
      </c>
      <c r="O401" s="37">
        <v>0</v>
      </c>
      <c r="P401" s="37">
        <v>0</v>
      </c>
      <c r="Q401" s="37">
        <f>'Таблица 3 '!C391</f>
        <v>725902.80000000005</v>
      </c>
      <c r="R401" s="37">
        <f t="shared" si="76"/>
        <v>725902.80000000005</v>
      </c>
      <c r="S401" s="37">
        <v>0</v>
      </c>
      <c r="T401" s="37">
        <f t="shared" si="61"/>
        <v>1078.799785994531</v>
      </c>
      <c r="U401" s="37">
        <f t="shared" si="62"/>
        <v>1078.799785994531</v>
      </c>
      <c r="V401" s="41" t="s">
        <v>45</v>
      </c>
      <c r="W401" s="60"/>
      <c r="X401" s="60"/>
      <c r="Y401" s="60"/>
      <c r="Z401" s="60"/>
      <c r="AA401" s="60"/>
      <c r="AB401" s="60"/>
      <c r="AC401" s="60"/>
      <c r="AD401" s="60"/>
      <c r="AE401" s="60"/>
      <c r="AF401" s="60"/>
      <c r="AG401" s="60"/>
      <c r="AH401" s="60"/>
      <c r="AI401" s="60"/>
      <c r="AJ401" s="60"/>
      <c r="AK401" s="60"/>
      <c r="AL401" s="60"/>
      <c r="AM401" s="60"/>
      <c r="AN401" s="60"/>
      <c r="AO401" s="60"/>
      <c r="AP401" s="60"/>
      <c r="AQ401" s="60"/>
      <c r="AR401" s="60"/>
      <c r="AS401" s="60"/>
      <c r="AT401" s="60"/>
      <c r="AU401" s="60"/>
      <c r="AV401" s="60"/>
      <c r="AW401" s="60"/>
      <c r="AX401" s="60"/>
      <c r="AY401" s="60"/>
      <c r="AZ401" s="60"/>
      <c r="BA401" s="60"/>
      <c r="BB401" s="60"/>
      <c r="BC401" s="60"/>
      <c r="BD401" s="60"/>
      <c r="BE401" s="60"/>
      <c r="BF401" s="60"/>
      <c r="BG401" s="60"/>
      <c r="BH401" s="60"/>
      <c r="BI401" s="60"/>
      <c r="BJ401" s="60"/>
      <c r="BK401" s="60"/>
      <c r="BL401" s="60"/>
      <c r="BM401" s="60"/>
      <c r="BN401" s="60"/>
      <c r="BO401" s="60"/>
      <c r="BP401" s="60"/>
      <c r="BQ401" s="60"/>
      <c r="BR401" s="60"/>
      <c r="BS401" s="60"/>
      <c r="BT401" s="60"/>
      <c r="BU401" s="60"/>
      <c r="BV401" s="60"/>
      <c r="BW401" s="60"/>
      <c r="BX401" s="60"/>
      <c r="BY401" s="60"/>
      <c r="BZ401" s="60"/>
      <c r="CA401" s="60"/>
      <c r="CB401" s="60"/>
      <c r="CC401" s="60"/>
      <c r="CD401" s="60"/>
      <c r="CE401" s="60"/>
      <c r="CF401" s="60"/>
      <c r="CG401" s="60"/>
      <c r="CH401" s="60"/>
      <c r="CI401" s="60"/>
      <c r="CJ401" s="60"/>
      <c r="CK401" s="60"/>
      <c r="CL401" s="60"/>
      <c r="CM401" s="60"/>
      <c r="CN401" s="60"/>
      <c r="CO401" s="60"/>
      <c r="CP401" s="60"/>
      <c r="CQ401" s="60"/>
    </row>
    <row r="402" s="60" customFormat="1" ht="42.75">
      <c r="A402" s="33">
        <v>4</v>
      </c>
      <c r="B402" s="75" t="s">
        <v>497</v>
      </c>
      <c r="C402" s="33" t="s">
        <v>43</v>
      </c>
      <c r="D402" s="36">
        <v>1964</v>
      </c>
      <c r="E402" s="67" t="s">
        <v>39</v>
      </c>
      <c r="F402" s="33" t="s">
        <v>77</v>
      </c>
      <c r="G402" s="36">
        <v>2</v>
      </c>
      <c r="H402" s="36">
        <v>2</v>
      </c>
      <c r="I402" s="37">
        <v>397</v>
      </c>
      <c r="J402" s="37">
        <v>353.39999999999998</v>
      </c>
      <c r="K402" s="37">
        <v>353.39999999999998</v>
      </c>
      <c r="L402" s="38">
        <v>13</v>
      </c>
      <c r="M402" s="37">
        <f t="shared" si="75"/>
        <v>2717917.8899999997</v>
      </c>
      <c r="N402" s="37">
        <v>0</v>
      </c>
      <c r="O402" s="37">
        <v>0</v>
      </c>
      <c r="P402" s="37">
        <v>0</v>
      </c>
      <c r="Q402" s="37">
        <f>'Таблица 3 '!C392</f>
        <v>2717917.8899999997</v>
      </c>
      <c r="R402" s="37">
        <f t="shared" si="76"/>
        <v>2717917.8899999997</v>
      </c>
      <c r="S402" s="37">
        <v>0</v>
      </c>
      <c r="T402" s="37">
        <f t="shared" si="61"/>
        <v>7690.7693548387097</v>
      </c>
      <c r="U402" s="37">
        <f t="shared" si="62"/>
        <v>7690.7693548387097</v>
      </c>
      <c r="V402" s="41" t="s">
        <v>45</v>
      </c>
      <c r="W402" s="60"/>
    </row>
    <row r="403" s="60" customFormat="1" ht="42.75">
      <c r="A403" s="36">
        <v>5</v>
      </c>
      <c r="B403" s="75" t="s">
        <v>498</v>
      </c>
      <c r="C403" s="33" t="s">
        <v>43</v>
      </c>
      <c r="D403" s="36">
        <v>1968</v>
      </c>
      <c r="E403" s="67" t="s">
        <v>39</v>
      </c>
      <c r="F403" s="33" t="s">
        <v>77</v>
      </c>
      <c r="G403" s="36">
        <v>2</v>
      </c>
      <c r="H403" s="36">
        <v>2</v>
      </c>
      <c r="I403" s="37">
        <v>754.79999999999995</v>
      </c>
      <c r="J403" s="37">
        <v>700.39999999999998</v>
      </c>
      <c r="K403" s="37">
        <v>700.39999999999998</v>
      </c>
      <c r="L403" s="38">
        <v>36</v>
      </c>
      <c r="M403" s="37">
        <f t="shared" si="75"/>
        <v>976898.39999999991</v>
      </c>
      <c r="N403" s="37">
        <v>0</v>
      </c>
      <c r="O403" s="37">
        <v>0</v>
      </c>
      <c r="P403" s="37">
        <v>0</v>
      </c>
      <c r="Q403" s="37">
        <f>'Таблица 3 '!C393</f>
        <v>976898.39999999991</v>
      </c>
      <c r="R403" s="37">
        <f t="shared" si="76"/>
        <v>976898.39999999991</v>
      </c>
      <c r="S403" s="37">
        <v>0</v>
      </c>
      <c r="T403" s="37">
        <f t="shared" si="61"/>
        <v>1394.7721302113077</v>
      </c>
      <c r="U403" s="37">
        <f t="shared" si="62"/>
        <v>1394.7721302113077</v>
      </c>
      <c r="V403" s="41" t="s">
        <v>45</v>
      </c>
      <c r="W403" s="60"/>
    </row>
    <row r="404" s="60" customFormat="1" ht="42.75">
      <c r="A404" s="33">
        <v>6</v>
      </c>
      <c r="B404" s="52" t="s">
        <v>499</v>
      </c>
      <c r="C404" s="33" t="s">
        <v>43</v>
      </c>
      <c r="D404" s="36">
        <v>1968</v>
      </c>
      <c r="E404" s="67" t="s">
        <v>39</v>
      </c>
      <c r="F404" s="33" t="s">
        <v>77</v>
      </c>
      <c r="G404" s="36">
        <v>2</v>
      </c>
      <c r="H404" s="36">
        <v>2</v>
      </c>
      <c r="I404" s="37">
        <v>725.62</v>
      </c>
      <c r="J404" s="37">
        <v>713.41999999999996</v>
      </c>
      <c r="K404" s="37">
        <v>713.41999999999996</v>
      </c>
      <c r="L404" s="38">
        <v>45</v>
      </c>
      <c r="M404" s="37">
        <f t="shared" si="75"/>
        <v>1333408.8</v>
      </c>
      <c r="N404" s="37">
        <v>0</v>
      </c>
      <c r="O404" s="37">
        <v>0</v>
      </c>
      <c r="P404" s="37">
        <v>0</v>
      </c>
      <c r="Q404" s="37">
        <f>'Таблица 3 '!C394</f>
        <v>1333408.8</v>
      </c>
      <c r="R404" s="37">
        <f t="shared" si="76"/>
        <v>1333408.8</v>
      </c>
      <c r="S404" s="37">
        <v>0</v>
      </c>
      <c r="T404" s="37">
        <f t="shared" si="61"/>
        <v>1869.037593563399</v>
      </c>
      <c r="U404" s="37">
        <f t="shared" si="62"/>
        <v>1869.037593563399</v>
      </c>
      <c r="V404" s="41" t="s">
        <v>45</v>
      </c>
      <c r="W404" s="60"/>
    </row>
    <row r="405" s="60" customFormat="1" ht="42.75">
      <c r="A405" s="33">
        <v>7</v>
      </c>
      <c r="B405" s="75" t="s">
        <v>500</v>
      </c>
      <c r="C405" s="33" t="s">
        <v>43</v>
      </c>
      <c r="D405" s="36">
        <v>1974</v>
      </c>
      <c r="E405" s="67" t="s">
        <v>39</v>
      </c>
      <c r="F405" s="33" t="s">
        <v>77</v>
      </c>
      <c r="G405" s="36">
        <v>2</v>
      </c>
      <c r="H405" s="36">
        <v>2</v>
      </c>
      <c r="I405" s="37">
        <v>1258.5999999999999</v>
      </c>
      <c r="J405" s="37">
        <v>804.5</v>
      </c>
      <c r="K405" s="37">
        <v>804.5</v>
      </c>
      <c r="L405" s="38">
        <v>16</v>
      </c>
      <c r="M405" s="37">
        <f t="shared" si="75"/>
        <v>21689586.439999998</v>
      </c>
      <c r="N405" s="37">
        <v>0</v>
      </c>
      <c r="O405" s="37">
        <v>0</v>
      </c>
      <c r="P405" s="37">
        <v>0</v>
      </c>
      <c r="Q405" s="37">
        <f>'Таблица 3 '!C395</f>
        <v>21689586.439999998</v>
      </c>
      <c r="R405" s="37">
        <f t="shared" si="76"/>
        <v>21689586.439999998</v>
      </c>
      <c r="S405" s="37">
        <v>0</v>
      </c>
      <c r="T405" s="37">
        <f t="shared" ref="T405:T468" si="77">M405/J405</f>
        <v>26960.331187072712</v>
      </c>
      <c r="U405" s="37">
        <f t="shared" ref="U405:U468" si="78">T405</f>
        <v>26960.331187072712</v>
      </c>
      <c r="V405" s="41" t="s">
        <v>45</v>
      </c>
      <c r="W405" s="60"/>
    </row>
    <row r="406" s="54" customFormat="1" ht="25.5" customHeight="1">
      <c r="A406" s="61" t="s">
        <v>501</v>
      </c>
      <c r="B406" s="61"/>
      <c r="C406" s="82" t="s">
        <v>39</v>
      </c>
      <c r="D406" s="83" t="s">
        <v>39</v>
      </c>
      <c r="E406" s="84" t="s">
        <v>39</v>
      </c>
      <c r="F406" s="82" t="s">
        <v>39</v>
      </c>
      <c r="G406" s="85" t="s">
        <v>39</v>
      </c>
      <c r="H406" s="85" t="s">
        <v>39</v>
      </c>
      <c r="I406" s="88">
        <f>SUM(I407:I410)</f>
        <v>4318.8000000000002</v>
      </c>
      <c r="J406" s="88">
        <f>SUM(J407:J410)</f>
        <v>3947.7000000000003</v>
      </c>
      <c r="K406" s="88">
        <f>SUM(K407:K410)</f>
        <v>3902.9999999999995</v>
      </c>
      <c r="L406" s="89">
        <f>SUM(L407:L410)</f>
        <v>144</v>
      </c>
      <c r="M406" s="88">
        <f>SUM(M407:M410)</f>
        <v>21689586.439999998</v>
      </c>
      <c r="N406" s="88">
        <f>SUM(N407:N410)</f>
        <v>0</v>
      </c>
      <c r="O406" s="88">
        <f>SUM(O407:O410)</f>
        <v>0</v>
      </c>
      <c r="P406" s="88">
        <f>SUM(P407:P410)</f>
        <v>0</v>
      </c>
      <c r="Q406" s="88">
        <f>SUM(Q407:Q410)</f>
        <v>21689586.439999998</v>
      </c>
      <c r="R406" s="88">
        <f>SUM(R407:R410)</f>
        <v>21689586.439999998</v>
      </c>
      <c r="S406" s="88">
        <f>SUM(S407:S410)</f>
        <v>0</v>
      </c>
      <c r="T406" s="32" t="s">
        <v>39</v>
      </c>
      <c r="U406" s="32" t="s">
        <v>39</v>
      </c>
      <c r="V406" s="28" t="s">
        <v>39</v>
      </c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31"/>
      <c r="AV406" s="31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31"/>
      <c r="BH406" s="31"/>
      <c r="BI406" s="31"/>
      <c r="BJ406" s="31"/>
      <c r="BK406" s="31"/>
      <c r="BL406" s="31"/>
      <c r="BM406" s="31"/>
      <c r="BN406" s="31"/>
      <c r="BO406" s="31"/>
      <c r="BP406" s="31"/>
      <c r="BQ406" s="31"/>
      <c r="BR406" s="31"/>
      <c r="BS406" s="31"/>
      <c r="BT406" s="31"/>
      <c r="BU406" s="31"/>
      <c r="BV406" s="31"/>
      <c r="BW406" s="31"/>
      <c r="BX406" s="31"/>
      <c r="BY406" s="31"/>
      <c r="BZ406" s="31"/>
      <c r="CA406" s="31"/>
      <c r="CB406" s="31"/>
      <c r="CC406" s="31"/>
      <c r="CD406" s="31"/>
      <c r="CE406" s="31"/>
      <c r="CF406" s="31"/>
      <c r="CG406" s="31"/>
      <c r="CH406" s="31"/>
      <c r="CI406" s="31"/>
      <c r="CJ406" s="31"/>
      <c r="CK406" s="31"/>
      <c r="CL406" s="31"/>
      <c r="CM406" s="31"/>
      <c r="CN406" s="31"/>
      <c r="CO406" s="31"/>
      <c r="CP406" s="31"/>
      <c r="CQ406" s="31"/>
    </row>
    <row r="407" s="54" customFormat="1" ht="42.75">
      <c r="A407" s="33">
        <v>1</v>
      </c>
      <c r="B407" s="52" t="s">
        <v>502</v>
      </c>
      <c r="C407" s="33" t="s">
        <v>43</v>
      </c>
      <c r="D407" s="33">
        <v>1960</v>
      </c>
      <c r="E407" s="35">
        <v>2019</v>
      </c>
      <c r="F407" s="33" t="s">
        <v>77</v>
      </c>
      <c r="G407" s="36">
        <v>2</v>
      </c>
      <c r="H407" s="36">
        <v>2</v>
      </c>
      <c r="I407" s="37">
        <v>683.60000000000002</v>
      </c>
      <c r="J407" s="37">
        <v>630.60000000000002</v>
      </c>
      <c r="K407" s="37">
        <v>585.89999999999998</v>
      </c>
      <c r="L407" s="38">
        <v>21</v>
      </c>
      <c r="M407" s="37">
        <f t="shared" ref="M407:M410" si="79">SUM(N407:Q407)</f>
        <v>200803.34</v>
      </c>
      <c r="N407" s="37">
        <v>0</v>
      </c>
      <c r="O407" s="37">
        <v>0</v>
      </c>
      <c r="P407" s="37">
        <v>0</v>
      </c>
      <c r="Q407" s="37">
        <f>'Таблица 3 '!C396</f>
        <v>200803.34</v>
      </c>
      <c r="R407" s="37">
        <f t="shared" ref="R407:R410" si="80">Q407</f>
        <v>200803.34</v>
      </c>
      <c r="S407" s="37">
        <v>0</v>
      </c>
      <c r="T407" s="37">
        <f t="shared" si="77"/>
        <v>318.43219156359021</v>
      </c>
      <c r="U407" s="37">
        <f t="shared" si="78"/>
        <v>318.43219156359021</v>
      </c>
      <c r="V407" s="41" t="s">
        <v>45</v>
      </c>
      <c r="W407" s="54"/>
    </row>
    <row r="408" s="54" customFormat="1" ht="42.75">
      <c r="A408" s="33">
        <v>2</v>
      </c>
      <c r="B408" s="52" t="s">
        <v>503</v>
      </c>
      <c r="C408" s="33" t="s">
        <v>43</v>
      </c>
      <c r="D408" s="33">
        <v>1993</v>
      </c>
      <c r="E408" s="35" t="s">
        <v>40</v>
      </c>
      <c r="F408" s="33" t="s">
        <v>77</v>
      </c>
      <c r="G408" s="36">
        <v>3</v>
      </c>
      <c r="H408" s="36">
        <v>3</v>
      </c>
      <c r="I408" s="37">
        <v>1250.3</v>
      </c>
      <c r="J408" s="37">
        <v>1107.7</v>
      </c>
      <c r="K408" s="37">
        <v>1107.7</v>
      </c>
      <c r="L408" s="38">
        <v>37</v>
      </c>
      <c r="M408" s="37">
        <f t="shared" si="79"/>
        <v>7224280.8099999996</v>
      </c>
      <c r="N408" s="37">
        <v>0</v>
      </c>
      <c r="O408" s="37">
        <v>0</v>
      </c>
      <c r="P408" s="37">
        <v>0</v>
      </c>
      <c r="Q408" s="37">
        <f>'Таблица 3 '!C397</f>
        <v>7224280.8099999996</v>
      </c>
      <c r="R408" s="37">
        <f t="shared" si="80"/>
        <v>7224280.8099999996</v>
      </c>
      <c r="S408" s="37">
        <v>0</v>
      </c>
      <c r="T408" s="37">
        <f t="shared" si="77"/>
        <v>6521.8748848966325</v>
      </c>
      <c r="U408" s="37">
        <f t="shared" si="78"/>
        <v>6521.8748848966325</v>
      </c>
      <c r="V408" s="41" t="s">
        <v>45</v>
      </c>
      <c r="W408" s="54"/>
    </row>
    <row r="409" s="54" customFormat="1" ht="42.75">
      <c r="A409" s="33">
        <v>3</v>
      </c>
      <c r="B409" s="52" t="s">
        <v>504</v>
      </c>
      <c r="C409" s="33" t="s">
        <v>43</v>
      </c>
      <c r="D409" s="33" t="s">
        <v>163</v>
      </c>
      <c r="E409" s="35" t="s">
        <v>40</v>
      </c>
      <c r="F409" s="33" t="s">
        <v>77</v>
      </c>
      <c r="G409" s="36">
        <v>2</v>
      </c>
      <c r="H409" s="36">
        <v>2</v>
      </c>
      <c r="I409" s="37">
        <v>692.39999999999998</v>
      </c>
      <c r="J409" s="37">
        <v>641.29999999999995</v>
      </c>
      <c r="K409" s="37">
        <v>641.29999999999995</v>
      </c>
      <c r="L409" s="38">
        <v>32</v>
      </c>
      <c r="M409" s="37">
        <f t="shared" si="79"/>
        <v>4574639.0899999999</v>
      </c>
      <c r="N409" s="37">
        <v>0</v>
      </c>
      <c r="O409" s="37">
        <v>0</v>
      </c>
      <c r="P409" s="37">
        <v>0</v>
      </c>
      <c r="Q409" s="37">
        <f>'Таблица 3 '!C398</f>
        <v>4574639.0899999999</v>
      </c>
      <c r="R409" s="37">
        <f t="shared" si="80"/>
        <v>4574639.0899999999</v>
      </c>
      <c r="S409" s="37">
        <v>0</v>
      </c>
      <c r="T409" s="37">
        <f t="shared" si="77"/>
        <v>7133.3838920941844</v>
      </c>
      <c r="U409" s="37">
        <f t="shared" si="78"/>
        <v>7133.3838920941844</v>
      </c>
      <c r="V409" s="41" t="s">
        <v>45</v>
      </c>
      <c r="W409" s="60"/>
      <c r="X409" s="60"/>
      <c r="Y409" s="60"/>
      <c r="Z409" s="60"/>
      <c r="AA409" s="60"/>
      <c r="AB409" s="60"/>
      <c r="AC409" s="60"/>
      <c r="AD409" s="60"/>
      <c r="AE409" s="60"/>
      <c r="AF409" s="60"/>
      <c r="AG409" s="60"/>
      <c r="AH409" s="60"/>
      <c r="AI409" s="60"/>
      <c r="AJ409" s="60"/>
      <c r="AK409" s="60"/>
      <c r="AL409" s="60"/>
      <c r="AM409" s="60"/>
      <c r="AN409" s="60"/>
      <c r="AO409" s="60"/>
      <c r="AP409" s="60"/>
      <c r="AQ409" s="60"/>
      <c r="AR409" s="60"/>
      <c r="AS409" s="60"/>
      <c r="AT409" s="60"/>
      <c r="AU409" s="60"/>
      <c r="AV409" s="60"/>
      <c r="AW409" s="60"/>
      <c r="AX409" s="60"/>
      <c r="AY409" s="60"/>
      <c r="AZ409" s="60"/>
      <c r="BA409" s="60"/>
      <c r="BB409" s="60"/>
      <c r="BC409" s="60"/>
      <c r="BD409" s="60"/>
      <c r="BE409" s="60"/>
      <c r="BF409" s="60"/>
      <c r="BG409" s="60"/>
      <c r="BH409" s="60"/>
      <c r="BI409" s="60"/>
      <c r="BJ409" s="60"/>
      <c r="BK409" s="60"/>
      <c r="BL409" s="60"/>
      <c r="BM409" s="60"/>
      <c r="BN409" s="60"/>
      <c r="BO409" s="60"/>
      <c r="BP409" s="60"/>
      <c r="BQ409" s="60"/>
      <c r="BR409" s="60"/>
      <c r="BS409" s="60"/>
      <c r="BT409" s="60"/>
      <c r="BU409" s="60"/>
      <c r="BV409" s="60"/>
      <c r="BW409" s="60"/>
      <c r="BX409" s="60"/>
      <c r="BY409" s="60"/>
      <c r="BZ409" s="60"/>
      <c r="CA409" s="60"/>
      <c r="CB409" s="60"/>
      <c r="CC409" s="60"/>
      <c r="CD409" s="60"/>
      <c r="CE409" s="60"/>
      <c r="CF409" s="60"/>
      <c r="CG409" s="60"/>
      <c r="CH409" s="60"/>
      <c r="CI409" s="60"/>
      <c r="CJ409" s="60"/>
      <c r="CK409" s="60"/>
      <c r="CL409" s="60"/>
      <c r="CM409" s="60"/>
      <c r="CN409" s="60"/>
      <c r="CO409" s="60"/>
      <c r="CP409" s="60"/>
      <c r="CQ409" s="60"/>
    </row>
    <row r="410" s="54" customFormat="1" ht="42.75">
      <c r="A410" s="33">
        <v>4</v>
      </c>
      <c r="B410" s="52" t="s">
        <v>505</v>
      </c>
      <c r="C410" s="33" t="s">
        <v>43</v>
      </c>
      <c r="D410" s="33">
        <v>1993</v>
      </c>
      <c r="E410" s="35" t="s">
        <v>40</v>
      </c>
      <c r="F410" s="33" t="s">
        <v>77</v>
      </c>
      <c r="G410" s="36">
        <v>3</v>
      </c>
      <c r="H410" s="36">
        <v>3</v>
      </c>
      <c r="I410" s="37">
        <v>1692.5</v>
      </c>
      <c r="J410" s="37">
        <v>1568.0999999999999</v>
      </c>
      <c r="K410" s="37">
        <v>1568.0999999999999</v>
      </c>
      <c r="L410" s="38">
        <v>54</v>
      </c>
      <c r="M410" s="37">
        <f t="shared" si="79"/>
        <v>9689863.1999999993</v>
      </c>
      <c r="N410" s="37">
        <v>0</v>
      </c>
      <c r="O410" s="37">
        <v>0</v>
      </c>
      <c r="P410" s="37">
        <v>0</v>
      </c>
      <c r="Q410" s="37">
        <f>'Таблица 3 '!C399</f>
        <v>9689863.1999999993</v>
      </c>
      <c r="R410" s="37">
        <f t="shared" si="80"/>
        <v>9689863.1999999993</v>
      </c>
      <c r="S410" s="37">
        <v>0</v>
      </c>
      <c r="T410" s="37">
        <f t="shared" si="77"/>
        <v>6179.3656016835657</v>
      </c>
      <c r="U410" s="37">
        <f t="shared" si="78"/>
        <v>6179.3656016835657</v>
      </c>
      <c r="V410" s="41" t="s">
        <v>45</v>
      </c>
      <c r="W410" s="54"/>
      <c r="X410" s="54"/>
      <c r="Y410" s="54"/>
      <c r="Z410" s="54"/>
      <c r="AA410" s="54"/>
      <c r="AB410" s="54"/>
      <c r="AC410" s="54"/>
      <c r="AD410" s="54"/>
      <c r="AE410" s="54"/>
      <c r="AF410" s="54"/>
      <c r="AG410" s="54"/>
      <c r="AH410" s="54"/>
      <c r="AI410" s="54"/>
      <c r="AJ410" s="54"/>
      <c r="AK410" s="54"/>
      <c r="AL410" s="54"/>
      <c r="AM410" s="54"/>
      <c r="AN410" s="54"/>
      <c r="AO410" s="54"/>
      <c r="AP410" s="54"/>
      <c r="AQ410" s="54"/>
      <c r="AR410" s="54"/>
      <c r="AS410" s="54"/>
      <c r="AT410" s="54"/>
      <c r="AU410" s="54"/>
      <c r="AV410" s="54"/>
      <c r="AW410" s="54"/>
      <c r="AX410" s="54"/>
      <c r="AY410" s="54"/>
      <c r="AZ410" s="54"/>
      <c r="BA410" s="54"/>
      <c r="BB410" s="54"/>
      <c r="BC410" s="54"/>
      <c r="BD410" s="54"/>
      <c r="BE410" s="54"/>
      <c r="BF410" s="54"/>
      <c r="BG410" s="54"/>
      <c r="BH410" s="54"/>
      <c r="BI410" s="54"/>
      <c r="BJ410" s="54"/>
      <c r="BK410" s="54"/>
      <c r="BL410" s="54"/>
      <c r="BM410" s="54"/>
      <c r="BN410" s="54"/>
      <c r="BO410" s="54"/>
      <c r="BP410" s="54"/>
      <c r="BQ410" s="54"/>
      <c r="BR410" s="54"/>
      <c r="BS410" s="54"/>
      <c r="BT410" s="54"/>
      <c r="BU410" s="54"/>
      <c r="BV410" s="54"/>
      <c r="BW410" s="54"/>
      <c r="BX410" s="54"/>
      <c r="BY410" s="54"/>
      <c r="BZ410" s="54"/>
      <c r="CA410" s="54"/>
      <c r="CB410" s="54"/>
      <c r="CC410" s="54"/>
      <c r="CD410" s="54"/>
      <c r="CE410" s="54"/>
      <c r="CF410" s="54"/>
      <c r="CG410" s="54"/>
      <c r="CH410" s="54"/>
      <c r="CI410" s="54"/>
      <c r="CJ410" s="54"/>
      <c r="CK410" s="54"/>
      <c r="CL410" s="54"/>
      <c r="CM410" s="54"/>
      <c r="CN410" s="54"/>
      <c r="CO410" s="54"/>
      <c r="CP410" s="54"/>
      <c r="CQ410" s="54"/>
    </row>
    <row r="411" s="60" customFormat="1" ht="29.25" customHeight="1">
      <c r="A411" s="25" t="s">
        <v>506</v>
      </c>
      <c r="B411" s="25"/>
      <c r="C411" s="26" t="s">
        <v>39</v>
      </c>
      <c r="D411" s="26" t="s">
        <v>39</v>
      </c>
      <c r="E411" s="27" t="s">
        <v>39</v>
      </c>
      <c r="F411" s="26" t="s">
        <v>39</v>
      </c>
      <c r="G411" s="28" t="s">
        <v>39</v>
      </c>
      <c r="H411" s="28" t="s">
        <v>39</v>
      </c>
      <c r="I411" s="29">
        <f>SUM(I412:I422)</f>
        <v>31911.299999999999</v>
      </c>
      <c r="J411" s="29">
        <f>SUM(J412:J422)</f>
        <v>25161.700000000001</v>
      </c>
      <c r="K411" s="29">
        <f>SUM(K412:K422)</f>
        <v>22091.200000000004</v>
      </c>
      <c r="L411" s="30">
        <f>SUM(L412:L422)</f>
        <v>847</v>
      </c>
      <c r="M411" s="29">
        <f>SUM(M412:M422)</f>
        <v>54513546.969999991</v>
      </c>
      <c r="N411" s="29">
        <f>SUM(N412:N422)</f>
        <v>0</v>
      </c>
      <c r="O411" s="29">
        <f>SUM(O412:O422)</f>
        <v>0</v>
      </c>
      <c r="P411" s="29">
        <f>SUM(P412:P422)</f>
        <v>0</v>
      </c>
      <c r="Q411" s="29">
        <f>SUM(Q412:Q422)</f>
        <v>54513546.969999991</v>
      </c>
      <c r="R411" s="29">
        <f>SUM(R412:R422)</f>
        <v>54513546.969999991</v>
      </c>
      <c r="S411" s="29">
        <f>SUM(S412:S422)</f>
        <v>0</v>
      </c>
      <c r="T411" s="32" t="s">
        <v>40</v>
      </c>
      <c r="U411" s="32" t="s">
        <v>40</v>
      </c>
      <c r="V411" s="28" t="s">
        <v>40</v>
      </c>
      <c r="W411" s="60"/>
    </row>
    <row r="412" s="60" customFormat="1" ht="42.75">
      <c r="A412" s="33">
        <v>1</v>
      </c>
      <c r="B412" s="52" t="s">
        <v>507</v>
      </c>
      <c r="C412" s="33" t="s">
        <v>43</v>
      </c>
      <c r="D412" s="33">
        <v>1982</v>
      </c>
      <c r="E412" s="35" t="s">
        <v>39</v>
      </c>
      <c r="F412" s="33" t="s">
        <v>48</v>
      </c>
      <c r="G412" s="36">
        <v>5</v>
      </c>
      <c r="H412" s="36">
        <v>5</v>
      </c>
      <c r="I412" s="37">
        <v>4092.6999999999998</v>
      </c>
      <c r="J412" s="37">
        <v>3660.0999999999999</v>
      </c>
      <c r="K412" s="37">
        <v>3291.6999999999998</v>
      </c>
      <c r="L412" s="38">
        <v>178</v>
      </c>
      <c r="M412" s="37">
        <f t="shared" ref="M412:M422" si="81">SUM(N412:Q412)</f>
        <v>11570718.109999999</v>
      </c>
      <c r="N412" s="37">
        <v>0</v>
      </c>
      <c r="O412" s="37">
        <v>0</v>
      </c>
      <c r="P412" s="37">
        <v>0</v>
      </c>
      <c r="Q412" s="37">
        <f>'Таблица 3 '!C401</f>
        <v>11570718.109999999</v>
      </c>
      <c r="R412" s="37">
        <f t="shared" ref="R412:R422" si="82">Q412</f>
        <v>11570718.109999999</v>
      </c>
      <c r="S412" s="37">
        <v>0</v>
      </c>
      <c r="T412" s="37">
        <f t="shared" si="77"/>
        <v>3161.3120160651347</v>
      </c>
      <c r="U412" s="37">
        <f t="shared" si="78"/>
        <v>3161.3120160651347</v>
      </c>
      <c r="V412" s="41" t="s">
        <v>45</v>
      </c>
      <c r="W412" s="60"/>
    </row>
    <row r="413" s="60" customFormat="1" ht="42.75">
      <c r="A413" s="33">
        <v>2</v>
      </c>
      <c r="B413" s="52" t="s">
        <v>508</v>
      </c>
      <c r="C413" s="33" t="s">
        <v>43</v>
      </c>
      <c r="D413" s="33">
        <v>1986</v>
      </c>
      <c r="E413" s="35">
        <v>2018</v>
      </c>
      <c r="F413" s="33" t="s">
        <v>48</v>
      </c>
      <c r="G413" s="36">
        <v>5</v>
      </c>
      <c r="H413" s="36">
        <v>5</v>
      </c>
      <c r="I413" s="37">
        <v>4126.8000000000002</v>
      </c>
      <c r="J413" s="37">
        <v>3687.4000000000001</v>
      </c>
      <c r="K413" s="37">
        <v>3236.5</v>
      </c>
      <c r="L413" s="38">
        <v>110</v>
      </c>
      <c r="M413" s="37">
        <f t="shared" si="81"/>
        <v>10086729.859999999</v>
      </c>
      <c r="N413" s="37">
        <v>0</v>
      </c>
      <c r="O413" s="37">
        <v>0</v>
      </c>
      <c r="P413" s="37">
        <v>0</v>
      </c>
      <c r="Q413" s="37">
        <f>'Таблица 3 '!C402</f>
        <v>10086729.859999999</v>
      </c>
      <c r="R413" s="37">
        <f t="shared" si="82"/>
        <v>10086729.859999999</v>
      </c>
      <c r="S413" s="37">
        <v>0</v>
      </c>
      <c r="T413" s="37">
        <f t="shared" si="77"/>
        <v>2735.458550740359</v>
      </c>
      <c r="U413" s="37">
        <f t="shared" si="78"/>
        <v>2735.458550740359</v>
      </c>
      <c r="V413" s="41" t="s">
        <v>45</v>
      </c>
      <c r="W413" s="60"/>
    </row>
    <row r="414" s="60" customFormat="1" ht="42.75">
      <c r="A414" s="33">
        <v>3</v>
      </c>
      <c r="B414" s="52" t="s">
        <v>509</v>
      </c>
      <c r="C414" s="33" t="s">
        <v>43</v>
      </c>
      <c r="D414" s="33">
        <v>1972</v>
      </c>
      <c r="E414" s="35">
        <v>2023</v>
      </c>
      <c r="F414" s="33" t="s">
        <v>48</v>
      </c>
      <c r="G414" s="36">
        <v>5</v>
      </c>
      <c r="H414" s="36">
        <v>4</v>
      </c>
      <c r="I414" s="37">
        <v>3867.5</v>
      </c>
      <c r="J414" s="37">
        <v>3867.5</v>
      </c>
      <c r="K414" s="37">
        <v>3474.9000000000001</v>
      </c>
      <c r="L414" s="38">
        <v>100</v>
      </c>
      <c r="M414" s="37">
        <f t="shared" si="81"/>
        <v>7887942.04</v>
      </c>
      <c r="N414" s="37">
        <v>0</v>
      </c>
      <c r="O414" s="37">
        <v>0</v>
      </c>
      <c r="P414" s="37">
        <v>0</v>
      </c>
      <c r="Q414" s="37">
        <f>'Таблица 3 '!C403</f>
        <v>7887942.04</v>
      </c>
      <c r="R414" s="37">
        <f t="shared" si="82"/>
        <v>7887942.04</v>
      </c>
      <c r="S414" s="37">
        <v>0</v>
      </c>
      <c r="T414" s="37">
        <f t="shared" si="77"/>
        <v>2039.5454531351002</v>
      </c>
      <c r="U414" s="37">
        <f t="shared" si="78"/>
        <v>2039.5454531351002</v>
      </c>
      <c r="V414" s="41" t="s">
        <v>45</v>
      </c>
      <c r="W414" s="60"/>
    </row>
    <row r="415" s="60" customFormat="1" ht="42.75">
      <c r="A415" s="33">
        <v>4</v>
      </c>
      <c r="B415" s="52" t="s">
        <v>510</v>
      </c>
      <c r="C415" s="33" t="s">
        <v>43</v>
      </c>
      <c r="D415" s="33">
        <v>1992</v>
      </c>
      <c r="E415" s="35" t="s">
        <v>39</v>
      </c>
      <c r="F415" s="33" t="s">
        <v>48</v>
      </c>
      <c r="G415" s="36">
        <v>5</v>
      </c>
      <c r="H415" s="36">
        <v>4</v>
      </c>
      <c r="I415" s="37">
        <v>4184.1000000000004</v>
      </c>
      <c r="J415" s="37">
        <v>3028.0999999999999</v>
      </c>
      <c r="K415" s="37">
        <v>2722.0999999999999</v>
      </c>
      <c r="L415" s="38">
        <v>112</v>
      </c>
      <c r="M415" s="37">
        <f t="shared" si="81"/>
        <v>15968597.07</v>
      </c>
      <c r="N415" s="37">
        <v>0</v>
      </c>
      <c r="O415" s="37">
        <v>0</v>
      </c>
      <c r="P415" s="37">
        <v>0</v>
      </c>
      <c r="Q415" s="37">
        <f>'Таблица 3 '!C404</f>
        <v>15968597.07</v>
      </c>
      <c r="R415" s="37">
        <f t="shared" si="82"/>
        <v>15968597.07</v>
      </c>
      <c r="S415" s="37">
        <v>0</v>
      </c>
      <c r="T415" s="37">
        <f t="shared" si="77"/>
        <v>5273.4708464053365</v>
      </c>
      <c r="U415" s="37">
        <f t="shared" si="78"/>
        <v>5273.4708464053365</v>
      </c>
      <c r="V415" s="41" t="s">
        <v>45</v>
      </c>
      <c r="W415" s="60"/>
    </row>
    <row r="416" s="60" customFormat="1" ht="42.75">
      <c r="A416" s="33">
        <v>5</v>
      </c>
      <c r="B416" s="50" t="s">
        <v>511</v>
      </c>
      <c r="C416" s="33" t="s">
        <v>43</v>
      </c>
      <c r="D416" s="33">
        <v>1984</v>
      </c>
      <c r="E416" s="35" t="s">
        <v>39</v>
      </c>
      <c r="F416" s="33" t="s">
        <v>48</v>
      </c>
      <c r="G416" s="36">
        <v>5</v>
      </c>
      <c r="H416" s="36">
        <v>5</v>
      </c>
      <c r="I416" s="40">
        <v>3641</v>
      </c>
      <c r="J416" s="40">
        <v>3604.8000000000002</v>
      </c>
      <c r="K416" s="40">
        <v>3553.9000000000001</v>
      </c>
      <c r="L416" s="48">
        <v>138</v>
      </c>
      <c r="M416" s="37">
        <f t="shared" si="81"/>
        <v>280159.22999999998</v>
      </c>
      <c r="N416" s="37">
        <v>0</v>
      </c>
      <c r="O416" s="37">
        <v>0</v>
      </c>
      <c r="P416" s="37">
        <v>0</v>
      </c>
      <c r="Q416" s="37">
        <f>'Таблица 3 '!C405</f>
        <v>280159.22999999998</v>
      </c>
      <c r="R416" s="37">
        <f t="shared" si="82"/>
        <v>280159.22999999998</v>
      </c>
      <c r="S416" s="79">
        <v>0</v>
      </c>
      <c r="T416" s="37">
        <f t="shared" si="77"/>
        <v>77.718383821571223</v>
      </c>
      <c r="U416" s="37">
        <f t="shared" si="78"/>
        <v>77.718383821571223</v>
      </c>
      <c r="V416" s="41" t="s">
        <v>45</v>
      </c>
      <c r="W416" s="60"/>
    </row>
    <row r="417" s="60" customFormat="1" ht="42.75">
      <c r="A417" s="33">
        <v>6</v>
      </c>
      <c r="B417" s="52" t="s">
        <v>512</v>
      </c>
      <c r="C417" s="99" t="s">
        <v>43</v>
      </c>
      <c r="D417" s="33">
        <v>1984</v>
      </c>
      <c r="E417" s="35">
        <v>2022</v>
      </c>
      <c r="F417" s="33" t="s">
        <v>44</v>
      </c>
      <c r="G417" s="36">
        <v>2</v>
      </c>
      <c r="H417" s="36">
        <v>3</v>
      </c>
      <c r="I417" s="37">
        <v>1587.4000000000001</v>
      </c>
      <c r="J417" s="37">
        <v>861.10000000000002</v>
      </c>
      <c r="K417" s="37">
        <v>771.60000000000002</v>
      </c>
      <c r="L417" s="38">
        <v>18</v>
      </c>
      <c r="M417" s="39">
        <f t="shared" si="81"/>
        <v>961175.73999999999</v>
      </c>
      <c r="N417" s="37">
        <v>0</v>
      </c>
      <c r="O417" s="37">
        <v>0</v>
      </c>
      <c r="P417" s="37">
        <v>0</v>
      </c>
      <c r="Q417" s="37">
        <f>'Таблица 3 '!C406</f>
        <v>961175.73999999999</v>
      </c>
      <c r="R417" s="37">
        <f t="shared" si="82"/>
        <v>961175.73999999999</v>
      </c>
      <c r="S417" s="56">
        <v>0</v>
      </c>
      <c r="T417" s="37">
        <f t="shared" si="77"/>
        <v>1116.21848798049</v>
      </c>
      <c r="U417" s="37">
        <f t="shared" si="78"/>
        <v>1116.21848798049</v>
      </c>
      <c r="V417" s="41" t="s">
        <v>45</v>
      </c>
      <c r="W417" s="60"/>
    </row>
    <row r="418" s="60" customFormat="1" ht="42.75">
      <c r="A418" s="33">
        <v>7</v>
      </c>
      <c r="B418" s="52" t="s">
        <v>513</v>
      </c>
      <c r="C418" s="99" t="s">
        <v>43</v>
      </c>
      <c r="D418" s="33">
        <v>1971</v>
      </c>
      <c r="E418" s="35">
        <v>2021</v>
      </c>
      <c r="F418" s="33" t="s">
        <v>44</v>
      </c>
      <c r="G418" s="36">
        <v>2</v>
      </c>
      <c r="H418" s="36">
        <v>2</v>
      </c>
      <c r="I418" s="37">
        <v>1200.9000000000001</v>
      </c>
      <c r="J418" s="37">
        <v>321.60000000000002</v>
      </c>
      <c r="K418" s="37">
        <v>256.60000000000002</v>
      </c>
      <c r="L418" s="38">
        <v>18</v>
      </c>
      <c r="M418" s="37">
        <f t="shared" si="81"/>
        <v>171777.79000000001</v>
      </c>
      <c r="N418" s="37">
        <v>0</v>
      </c>
      <c r="O418" s="37">
        <v>0</v>
      </c>
      <c r="P418" s="37">
        <v>0</v>
      </c>
      <c r="Q418" s="37">
        <f>'Таблица 3 '!C407</f>
        <v>171777.79000000001</v>
      </c>
      <c r="R418" s="37">
        <f t="shared" si="82"/>
        <v>171777.79000000001</v>
      </c>
      <c r="S418" s="56">
        <v>0</v>
      </c>
      <c r="T418" s="37">
        <f t="shared" si="77"/>
        <v>534.1349191542289</v>
      </c>
      <c r="U418" s="37">
        <f t="shared" si="78"/>
        <v>534.1349191542289</v>
      </c>
      <c r="V418" s="41" t="s">
        <v>45</v>
      </c>
      <c r="W418" s="60"/>
    </row>
    <row r="419" s="60" customFormat="1" ht="42.75">
      <c r="A419" s="33">
        <v>8</v>
      </c>
      <c r="B419" s="52" t="s">
        <v>514</v>
      </c>
      <c r="C419" s="99" t="s">
        <v>43</v>
      </c>
      <c r="D419" s="33">
        <v>1970</v>
      </c>
      <c r="E419" s="35">
        <v>2023</v>
      </c>
      <c r="F419" s="33" t="s">
        <v>48</v>
      </c>
      <c r="G419" s="36">
        <v>5</v>
      </c>
      <c r="H419" s="36">
        <v>4</v>
      </c>
      <c r="I419" s="37">
        <v>4312.3000000000002</v>
      </c>
      <c r="J419" s="37">
        <v>3441.9000000000001</v>
      </c>
      <c r="K419" s="37">
        <v>2469.9000000000001</v>
      </c>
      <c r="L419" s="38">
        <v>75</v>
      </c>
      <c r="M419" s="37">
        <f t="shared" si="81"/>
        <v>2717269.3700000001</v>
      </c>
      <c r="N419" s="37">
        <v>0</v>
      </c>
      <c r="O419" s="37">
        <v>0</v>
      </c>
      <c r="P419" s="37">
        <v>0</v>
      </c>
      <c r="Q419" s="37">
        <f>'Таблица 3 '!C408</f>
        <v>2717269.3700000001</v>
      </c>
      <c r="R419" s="37">
        <f t="shared" si="82"/>
        <v>2717269.3700000001</v>
      </c>
      <c r="S419" s="37">
        <v>0</v>
      </c>
      <c r="T419" s="37">
        <v>2085</v>
      </c>
      <c r="U419" s="37">
        <v>2085</v>
      </c>
      <c r="V419" s="41" t="s">
        <v>45</v>
      </c>
      <c r="W419" s="60"/>
    </row>
    <row r="420" s="60" customFormat="1" ht="41.399999999999999">
      <c r="A420" s="33">
        <v>9</v>
      </c>
      <c r="B420" s="52" t="s">
        <v>515</v>
      </c>
      <c r="C420" s="33" t="s">
        <v>43</v>
      </c>
      <c r="D420" s="33">
        <v>1980</v>
      </c>
      <c r="E420" s="35">
        <v>2025</v>
      </c>
      <c r="F420" s="33" t="s">
        <v>44</v>
      </c>
      <c r="G420" s="36">
        <v>2</v>
      </c>
      <c r="H420" s="36">
        <v>3</v>
      </c>
      <c r="I420" s="37">
        <v>3959</v>
      </c>
      <c r="J420" s="37">
        <v>1802.4000000000001</v>
      </c>
      <c r="K420" s="37">
        <v>1802.4000000000001</v>
      </c>
      <c r="L420" s="38">
        <v>51</v>
      </c>
      <c r="M420" s="37">
        <f t="shared" si="81"/>
        <v>2309685.8300000001</v>
      </c>
      <c r="N420" s="37">
        <v>0</v>
      </c>
      <c r="O420" s="37">
        <v>0</v>
      </c>
      <c r="P420" s="37">
        <v>0</v>
      </c>
      <c r="Q420" s="37">
        <f>'Таблица 3 '!C409</f>
        <v>2309685.8300000001</v>
      </c>
      <c r="R420" s="37">
        <f t="shared" si="82"/>
        <v>2309685.8300000001</v>
      </c>
      <c r="S420" s="56">
        <v>0</v>
      </c>
      <c r="T420" s="37">
        <f t="shared" si="77"/>
        <v>1281.4501941855303</v>
      </c>
      <c r="U420" s="37">
        <f t="shared" si="78"/>
        <v>1281.4501941855303</v>
      </c>
      <c r="V420" s="41" t="s">
        <v>45</v>
      </c>
      <c r="W420" s="60"/>
    </row>
    <row r="421" s="60" customFormat="1" ht="41.399999999999999">
      <c r="A421" s="33">
        <v>10</v>
      </c>
      <c r="B421" s="52" t="s">
        <v>516</v>
      </c>
      <c r="C421" s="33" t="s">
        <v>43</v>
      </c>
      <c r="D421" s="33">
        <v>1969</v>
      </c>
      <c r="E421" s="35" t="s">
        <v>39</v>
      </c>
      <c r="F421" s="33" t="s">
        <v>517</v>
      </c>
      <c r="G421" s="36">
        <v>2</v>
      </c>
      <c r="H421" s="36">
        <v>2</v>
      </c>
      <c r="I421" s="40">
        <v>563</v>
      </c>
      <c r="J421" s="40">
        <v>510.19999999999999</v>
      </c>
      <c r="K421" s="40">
        <v>179.19999999999999</v>
      </c>
      <c r="L421" s="48">
        <v>31</v>
      </c>
      <c r="M421" s="39">
        <f t="shared" si="81"/>
        <v>2189196.4100000001</v>
      </c>
      <c r="N421" s="37">
        <v>0</v>
      </c>
      <c r="O421" s="37">
        <v>0</v>
      </c>
      <c r="P421" s="37">
        <v>0</v>
      </c>
      <c r="Q421" s="37">
        <f>'Таблица 3 '!C410</f>
        <v>2189196.4100000001</v>
      </c>
      <c r="R421" s="37">
        <f t="shared" si="82"/>
        <v>2189196.4100000001</v>
      </c>
      <c r="S421" s="79">
        <v>0</v>
      </c>
      <c r="T421" s="37">
        <f t="shared" si="77"/>
        <v>4290.8592904743246</v>
      </c>
      <c r="U421" s="37">
        <f t="shared" si="78"/>
        <v>4290.8592904743246</v>
      </c>
      <c r="V421" s="41" t="s">
        <v>45</v>
      </c>
      <c r="W421" s="60"/>
    </row>
    <row r="422" s="60" customFormat="1" ht="41.399999999999999">
      <c r="A422" s="33">
        <v>11</v>
      </c>
      <c r="B422" s="52" t="s">
        <v>518</v>
      </c>
      <c r="C422" s="33" t="s">
        <v>43</v>
      </c>
      <c r="D422" s="33">
        <v>1975</v>
      </c>
      <c r="E422" s="35">
        <v>2018</v>
      </c>
      <c r="F422" s="33" t="s">
        <v>44</v>
      </c>
      <c r="G422" s="36">
        <v>2</v>
      </c>
      <c r="H422" s="36">
        <v>1</v>
      </c>
      <c r="I422" s="40">
        <v>376.60000000000002</v>
      </c>
      <c r="J422" s="40">
        <v>376.60000000000002</v>
      </c>
      <c r="K422" s="40">
        <v>332.39999999999998</v>
      </c>
      <c r="L422" s="48">
        <v>16</v>
      </c>
      <c r="M422" s="39">
        <f t="shared" si="81"/>
        <v>370295.52000000002</v>
      </c>
      <c r="N422" s="37">
        <v>0</v>
      </c>
      <c r="O422" s="37">
        <v>0</v>
      </c>
      <c r="P422" s="37">
        <v>0</v>
      </c>
      <c r="Q422" s="37">
        <f>'Таблица 3 '!C411</f>
        <v>370295.52000000002</v>
      </c>
      <c r="R422" s="37">
        <f t="shared" si="82"/>
        <v>370295.52000000002</v>
      </c>
      <c r="S422" s="79">
        <v>0</v>
      </c>
      <c r="T422" s="37">
        <f t="shared" si="77"/>
        <v>983.25947955390336</v>
      </c>
      <c r="U422" s="37">
        <f t="shared" si="78"/>
        <v>983.25947955390336</v>
      </c>
      <c r="V422" s="41" t="s">
        <v>45</v>
      </c>
      <c r="W422" s="60"/>
    </row>
    <row r="423" s="60" customFormat="1" ht="22.199999999999999" customHeight="1">
      <c r="A423" s="25" t="s">
        <v>519</v>
      </c>
      <c r="B423" s="25"/>
      <c r="C423" s="82" t="s">
        <v>39</v>
      </c>
      <c r="D423" s="83" t="s">
        <v>39</v>
      </c>
      <c r="E423" s="84" t="s">
        <v>39</v>
      </c>
      <c r="F423" s="82" t="s">
        <v>39</v>
      </c>
      <c r="G423" s="85" t="s">
        <v>39</v>
      </c>
      <c r="H423" s="85" t="s">
        <v>39</v>
      </c>
      <c r="I423" s="29">
        <f>I424+I442+I460+I464</f>
        <v>59701.660000000011</v>
      </c>
      <c r="J423" s="29">
        <f>J424+J442+J460+J464</f>
        <v>52725.93</v>
      </c>
      <c r="K423" s="29">
        <f>K424+K442+K460+K464</f>
        <v>47890.030000000006</v>
      </c>
      <c r="L423" s="30">
        <f>L424+L442+L460+L464</f>
        <v>2321</v>
      </c>
      <c r="M423" s="29">
        <f>M424+M442+M460+M464</f>
        <v>69542225.150000006</v>
      </c>
      <c r="N423" s="29">
        <f>N424+N442+N460+N464</f>
        <v>0</v>
      </c>
      <c r="O423" s="29">
        <f>O424+O442+O460+O464</f>
        <v>0</v>
      </c>
      <c r="P423" s="29">
        <f>P424+P442+P460+P464</f>
        <v>0</v>
      </c>
      <c r="Q423" s="29">
        <f>Q424+Q442+Q460+Q464</f>
        <v>69542225.150000006</v>
      </c>
      <c r="R423" s="29">
        <f>R424+R442+R460+R464</f>
        <v>69542225.150000006</v>
      </c>
      <c r="S423" s="29">
        <f>S424+S442+S460+S464</f>
        <v>0</v>
      </c>
      <c r="T423" s="32" t="s">
        <v>39</v>
      </c>
      <c r="U423" s="32" t="s">
        <v>39</v>
      </c>
      <c r="V423" s="28" t="s">
        <v>39</v>
      </c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31"/>
      <c r="AV423" s="3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31"/>
      <c r="BH423" s="31"/>
      <c r="BI423" s="31"/>
      <c r="BJ423" s="31"/>
      <c r="BK423" s="31"/>
      <c r="BL423" s="31"/>
      <c r="BM423" s="31"/>
      <c r="BN423" s="31"/>
      <c r="BO423" s="31"/>
      <c r="BP423" s="31"/>
      <c r="BQ423" s="31"/>
      <c r="BR423" s="31"/>
      <c r="BS423" s="31"/>
      <c r="BT423" s="31"/>
      <c r="BU423" s="31"/>
      <c r="BV423" s="31"/>
      <c r="BW423" s="31"/>
      <c r="BX423" s="31"/>
      <c r="BY423" s="31"/>
      <c r="BZ423" s="31"/>
      <c r="CA423" s="31"/>
      <c r="CB423" s="31"/>
      <c r="CC423" s="31"/>
      <c r="CD423" s="31"/>
      <c r="CE423" s="31"/>
      <c r="CF423" s="31"/>
      <c r="CG423" s="31"/>
      <c r="CH423" s="31"/>
      <c r="CI423" s="31"/>
      <c r="CJ423" s="31"/>
      <c r="CK423" s="31"/>
      <c r="CL423" s="31"/>
      <c r="CM423" s="31"/>
      <c r="CN423" s="31"/>
      <c r="CO423" s="31"/>
      <c r="CP423" s="31"/>
      <c r="CQ423" s="100"/>
    </row>
    <row r="424" s="60" customFormat="1" ht="24.75" customHeight="1">
      <c r="A424" s="25" t="s">
        <v>520</v>
      </c>
      <c r="B424" s="25"/>
      <c r="C424" s="82" t="s">
        <v>39</v>
      </c>
      <c r="D424" s="83" t="s">
        <v>39</v>
      </c>
      <c r="E424" s="84" t="s">
        <v>39</v>
      </c>
      <c r="F424" s="82" t="s">
        <v>39</v>
      </c>
      <c r="G424" s="85" t="s">
        <v>39</v>
      </c>
      <c r="H424" s="85" t="s">
        <v>39</v>
      </c>
      <c r="I424" s="29">
        <f>SUM(I425:I441)</f>
        <v>32944.700000000004</v>
      </c>
      <c r="J424" s="29">
        <f>SUM(J425:J441)</f>
        <v>28886.599999999999</v>
      </c>
      <c r="K424" s="29">
        <f>SUM(K425:K441)</f>
        <v>25892.200000000001</v>
      </c>
      <c r="L424" s="30">
        <f>SUM(L425:L441)</f>
        <v>1289</v>
      </c>
      <c r="M424" s="29">
        <f>SUM(M425:M441)</f>
        <v>21333310.550000004</v>
      </c>
      <c r="N424" s="29">
        <f>SUM(N425:N441)</f>
        <v>0</v>
      </c>
      <c r="O424" s="29">
        <f>SUM(O425:O441)</f>
        <v>0</v>
      </c>
      <c r="P424" s="29">
        <f>SUM(P425:P441)</f>
        <v>0</v>
      </c>
      <c r="Q424" s="29">
        <f>SUM(Q425:Q441)</f>
        <v>21333310.550000004</v>
      </c>
      <c r="R424" s="29">
        <f>SUM(R425:R441)</f>
        <v>21333310.550000004</v>
      </c>
      <c r="S424" s="29">
        <f>SUM(S425:S441)</f>
        <v>0</v>
      </c>
      <c r="T424" s="32" t="s">
        <v>39</v>
      </c>
      <c r="U424" s="32" t="s">
        <v>39</v>
      </c>
      <c r="V424" s="28" t="s">
        <v>39</v>
      </c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31"/>
      <c r="AV424" s="31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31"/>
      <c r="BH424" s="31"/>
      <c r="BI424" s="31"/>
      <c r="BJ424" s="31"/>
      <c r="BK424" s="31"/>
      <c r="BL424" s="31"/>
      <c r="BM424" s="31"/>
      <c r="BN424" s="31"/>
      <c r="BO424" s="31"/>
      <c r="BP424" s="31"/>
      <c r="BQ424" s="31"/>
      <c r="BR424" s="31"/>
      <c r="BS424" s="31"/>
      <c r="BT424" s="31"/>
      <c r="BU424" s="31"/>
      <c r="BV424" s="31"/>
      <c r="BW424" s="31"/>
      <c r="BX424" s="31"/>
      <c r="BY424" s="31"/>
      <c r="BZ424" s="31"/>
      <c r="CA424" s="31"/>
      <c r="CB424" s="31"/>
      <c r="CC424" s="31"/>
      <c r="CD424" s="31"/>
      <c r="CE424" s="31"/>
      <c r="CF424" s="31"/>
      <c r="CG424" s="31"/>
      <c r="CH424" s="31"/>
      <c r="CI424" s="31"/>
      <c r="CJ424" s="31"/>
      <c r="CK424" s="31"/>
      <c r="CL424" s="31"/>
      <c r="CM424" s="31"/>
      <c r="CN424" s="31"/>
      <c r="CO424" s="31"/>
      <c r="CP424" s="31"/>
      <c r="CQ424" s="100"/>
    </row>
    <row r="425" s="60" customFormat="1" ht="47.25" customHeight="1">
      <c r="A425" s="33">
        <v>1</v>
      </c>
      <c r="B425" s="34" t="s">
        <v>521</v>
      </c>
      <c r="C425" s="33" t="s">
        <v>43</v>
      </c>
      <c r="D425" s="101">
        <v>1988</v>
      </c>
      <c r="E425" s="101" t="s">
        <v>39</v>
      </c>
      <c r="F425" s="33" t="s">
        <v>77</v>
      </c>
      <c r="G425" s="102">
        <v>2</v>
      </c>
      <c r="H425" s="102">
        <v>3</v>
      </c>
      <c r="I425" s="40">
        <v>1050</v>
      </c>
      <c r="J425" s="40">
        <v>953.20000000000005</v>
      </c>
      <c r="K425" s="40">
        <v>686.29999999999995</v>
      </c>
      <c r="L425" s="48">
        <v>30</v>
      </c>
      <c r="M425" s="39">
        <f t="shared" ref="M425:M466" si="83">SUM(N425:Q425)</f>
        <v>559408.80000000005</v>
      </c>
      <c r="N425" s="37">
        <v>0</v>
      </c>
      <c r="O425" s="37">
        <v>0</v>
      </c>
      <c r="P425" s="37">
        <v>0</v>
      </c>
      <c r="Q425" s="37">
        <f>'Таблица 3 '!C414</f>
        <v>559408.80000000005</v>
      </c>
      <c r="R425" s="37">
        <f t="shared" ref="R425:R466" si="84">Q425</f>
        <v>559408.80000000005</v>
      </c>
      <c r="S425" s="37">
        <v>0</v>
      </c>
      <c r="T425" s="40">
        <f t="shared" si="77"/>
        <v>586.87452790600082</v>
      </c>
      <c r="U425" s="87">
        <f t="shared" si="78"/>
        <v>586.87452790600082</v>
      </c>
      <c r="V425" s="41" t="s">
        <v>45</v>
      </c>
      <c r="W425" s="60"/>
    </row>
    <row r="426" s="54" customFormat="1" ht="45" customHeight="1">
      <c r="A426" s="33">
        <v>2</v>
      </c>
      <c r="B426" s="34" t="s">
        <v>522</v>
      </c>
      <c r="C426" s="33" t="s">
        <v>43</v>
      </c>
      <c r="D426" s="35" t="s">
        <v>104</v>
      </c>
      <c r="E426" s="35" t="s">
        <v>47</v>
      </c>
      <c r="F426" s="33" t="s">
        <v>77</v>
      </c>
      <c r="G426" s="36" t="s">
        <v>419</v>
      </c>
      <c r="H426" s="36" t="s">
        <v>460</v>
      </c>
      <c r="I426" s="37">
        <v>1062</v>
      </c>
      <c r="J426" s="37">
        <v>969.60000000000002</v>
      </c>
      <c r="K426" s="37">
        <v>923.10000000000002</v>
      </c>
      <c r="L426" s="38">
        <v>34</v>
      </c>
      <c r="M426" s="39">
        <f t="shared" si="83"/>
        <v>3062383.0600000001</v>
      </c>
      <c r="N426" s="37">
        <v>0</v>
      </c>
      <c r="O426" s="37">
        <v>0</v>
      </c>
      <c r="P426" s="37">
        <v>0</v>
      </c>
      <c r="Q426" s="37">
        <f>'Таблица 3 '!C415</f>
        <v>3062383.0600000001</v>
      </c>
      <c r="R426" s="37">
        <f t="shared" si="84"/>
        <v>3062383.0600000001</v>
      </c>
      <c r="S426" s="37">
        <v>0</v>
      </c>
      <c r="T426" s="40">
        <f t="shared" si="77"/>
        <v>3158.3983704620464</v>
      </c>
      <c r="U426" s="87">
        <f t="shared" si="78"/>
        <v>3158.3983704620464</v>
      </c>
      <c r="V426" s="41" t="s">
        <v>45</v>
      </c>
      <c r="W426" s="54"/>
    </row>
    <row r="427" s="54" customFormat="1" ht="45" customHeight="1">
      <c r="A427" s="33">
        <v>3</v>
      </c>
      <c r="B427" s="34" t="s">
        <v>523</v>
      </c>
      <c r="C427" s="33" t="s">
        <v>43</v>
      </c>
      <c r="D427" s="33">
        <v>1989</v>
      </c>
      <c r="E427" s="35" t="s">
        <v>39</v>
      </c>
      <c r="F427" s="33" t="s">
        <v>77</v>
      </c>
      <c r="G427" s="36">
        <v>2</v>
      </c>
      <c r="H427" s="36">
        <v>3</v>
      </c>
      <c r="I427" s="56">
        <v>1052</v>
      </c>
      <c r="J427" s="56">
        <v>999</v>
      </c>
      <c r="K427" s="56">
        <v>918</v>
      </c>
      <c r="L427" s="57">
        <v>31</v>
      </c>
      <c r="M427" s="39">
        <f t="shared" si="83"/>
        <v>546133.19999999995</v>
      </c>
      <c r="N427" s="37">
        <v>0</v>
      </c>
      <c r="O427" s="37">
        <v>0</v>
      </c>
      <c r="P427" s="37">
        <v>0</v>
      </c>
      <c r="Q427" s="37">
        <f>'Таблица 3 '!C416</f>
        <v>546133.19999999995</v>
      </c>
      <c r="R427" s="37">
        <f t="shared" si="84"/>
        <v>546133.19999999995</v>
      </c>
      <c r="S427" s="37">
        <v>0</v>
      </c>
      <c r="T427" s="40">
        <f t="shared" si="77"/>
        <v>546.67987987987988</v>
      </c>
      <c r="U427" s="87">
        <f t="shared" si="78"/>
        <v>546.67987987987988</v>
      </c>
      <c r="V427" s="41" t="s">
        <v>45</v>
      </c>
      <c r="W427" s="54"/>
    </row>
    <row r="428" s="54" customFormat="1" ht="45" customHeight="1">
      <c r="A428" s="33">
        <v>4</v>
      </c>
      <c r="B428" s="34" t="s">
        <v>524</v>
      </c>
      <c r="C428" s="33" t="s">
        <v>43</v>
      </c>
      <c r="D428" s="35" t="s">
        <v>525</v>
      </c>
      <c r="E428" s="35" t="s">
        <v>140</v>
      </c>
      <c r="F428" s="33" t="s">
        <v>77</v>
      </c>
      <c r="G428" s="36" t="s">
        <v>419</v>
      </c>
      <c r="H428" s="36">
        <v>3</v>
      </c>
      <c r="I428" s="37">
        <v>826</v>
      </c>
      <c r="J428" s="37">
        <v>777</v>
      </c>
      <c r="K428" s="37">
        <v>777</v>
      </c>
      <c r="L428" s="38">
        <v>30</v>
      </c>
      <c r="M428" s="39">
        <f t="shared" si="83"/>
        <v>697489.19999999995</v>
      </c>
      <c r="N428" s="37">
        <v>0</v>
      </c>
      <c r="O428" s="37">
        <v>0</v>
      </c>
      <c r="P428" s="37">
        <v>0</v>
      </c>
      <c r="Q428" s="37">
        <f>'Таблица 3 '!C417</f>
        <v>697489.19999999995</v>
      </c>
      <c r="R428" s="37">
        <f t="shared" si="84"/>
        <v>697489.19999999995</v>
      </c>
      <c r="S428" s="37">
        <v>0</v>
      </c>
      <c r="T428" s="40">
        <f t="shared" si="77"/>
        <v>897.66949806949799</v>
      </c>
      <c r="U428" s="87">
        <f t="shared" si="78"/>
        <v>897.66949806949799</v>
      </c>
      <c r="V428" s="41" t="s">
        <v>45</v>
      </c>
      <c r="W428" s="54"/>
    </row>
    <row r="429" s="54" customFormat="1" ht="45" customHeight="1">
      <c r="A429" s="33">
        <v>5</v>
      </c>
      <c r="B429" s="34" t="s">
        <v>526</v>
      </c>
      <c r="C429" s="33" t="s">
        <v>43</v>
      </c>
      <c r="D429" s="33">
        <v>1972</v>
      </c>
      <c r="E429" s="35">
        <v>2024</v>
      </c>
      <c r="F429" s="33" t="s">
        <v>77</v>
      </c>
      <c r="G429" s="36">
        <v>2</v>
      </c>
      <c r="H429" s="36">
        <v>2</v>
      </c>
      <c r="I429" s="40">
        <v>823.10000000000002</v>
      </c>
      <c r="J429" s="40">
        <v>722.10000000000002</v>
      </c>
      <c r="K429" s="40">
        <v>722.10000000000002</v>
      </c>
      <c r="L429" s="48">
        <v>30</v>
      </c>
      <c r="M429" s="39">
        <f t="shared" si="83"/>
        <v>726124.10999999999</v>
      </c>
      <c r="N429" s="37">
        <v>0</v>
      </c>
      <c r="O429" s="37">
        <v>0</v>
      </c>
      <c r="P429" s="37">
        <v>0</v>
      </c>
      <c r="Q429" s="37">
        <f>'Таблица 3 '!C418</f>
        <v>726124.10999999999</v>
      </c>
      <c r="R429" s="37">
        <f t="shared" si="84"/>
        <v>726124.10999999999</v>
      </c>
      <c r="S429" s="37">
        <v>0</v>
      </c>
      <c r="T429" s="40">
        <f t="shared" si="77"/>
        <v>1005.5727877025342</v>
      </c>
      <c r="U429" s="87">
        <f t="shared" si="78"/>
        <v>1005.5727877025342</v>
      </c>
      <c r="V429" s="41" t="s">
        <v>45</v>
      </c>
      <c r="W429" s="54"/>
    </row>
    <row r="430" s="54" customFormat="1" ht="45" customHeight="1">
      <c r="A430" s="33">
        <v>6</v>
      </c>
      <c r="B430" s="34" t="s">
        <v>527</v>
      </c>
      <c r="C430" s="33" t="s">
        <v>43</v>
      </c>
      <c r="D430" s="35" t="s">
        <v>106</v>
      </c>
      <c r="E430" s="35" t="s">
        <v>39</v>
      </c>
      <c r="F430" s="33" t="s">
        <v>77</v>
      </c>
      <c r="G430" s="36" t="s">
        <v>413</v>
      </c>
      <c r="H430" s="36" t="s">
        <v>414</v>
      </c>
      <c r="I430" s="37">
        <v>3329</v>
      </c>
      <c r="J430" s="37">
        <v>3102.0999999999999</v>
      </c>
      <c r="K430" s="37">
        <v>2770.5</v>
      </c>
      <c r="L430" s="38">
        <v>105</v>
      </c>
      <c r="M430" s="39">
        <f t="shared" si="83"/>
        <v>3348018.9900000002</v>
      </c>
      <c r="N430" s="37">
        <v>0</v>
      </c>
      <c r="O430" s="37">
        <v>0</v>
      </c>
      <c r="P430" s="37">
        <v>0</v>
      </c>
      <c r="Q430" s="37">
        <f>'Таблица 3 '!C419</f>
        <v>3348018.9900000002</v>
      </c>
      <c r="R430" s="37">
        <f t="shared" si="84"/>
        <v>3348018.9900000002</v>
      </c>
      <c r="S430" s="37">
        <v>0</v>
      </c>
      <c r="T430" s="40">
        <f t="shared" si="77"/>
        <v>1079.2750040295284</v>
      </c>
      <c r="U430" s="87">
        <f t="shared" si="78"/>
        <v>1079.2750040295284</v>
      </c>
      <c r="V430" s="41" t="s">
        <v>45</v>
      </c>
      <c r="W430" s="54"/>
    </row>
    <row r="431" s="54" customFormat="1" ht="45" customHeight="1">
      <c r="A431" s="33">
        <v>7</v>
      </c>
      <c r="B431" s="34" t="s">
        <v>528</v>
      </c>
      <c r="C431" s="33" t="s">
        <v>43</v>
      </c>
      <c r="D431" s="35" t="s">
        <v>529</v>
      </c>
      <c r="E431" s="35" t="s">
        <v>39</v>
      </c>
      <c r="F431" s="33" t="s">
        <v>77</v>
      </c>
      <c r="G431" s="36">
        <v>5</v>
      </c>
      <c r="H431" s="36">
        <v>4</v>
      </c>
      <c r="I431" s="37">
        <v>3575</v>
      </c>
      <c r="J431" s="37">
        <v>2652</v>
      </c>
      <c r="K431" s="37">
        <v>2652</v>
      </c>
      <c r="L431" s="38">
        <v>135</v>
      </c>
      <c r="M431" s="39">
        <f t="shared" si="83"/>
        <v>1124231.6699999999</v>
      </c>
      <c r="N431" s="37">
        <v>0</v>
      </c>
      <c r="O431" s="37">
        <v>0</v>
      </c>
      <c r="P431" s="37">
        <v>0</v>
      </c>
      <c r="Q431" s="37">
        <f>'Таблица 3 '!C420</f>
        <v>1124231.6699999999</v>
      </c>
      <c r="R431" s="37">
        <f t="shared" si="84"/>
        <v>1124231.6699999999</v>
      </c>
      <c r="S431" s="37">
        <v>0</v>
      </c>
      <c r="T431" s="37">
        <f t="shared" si="77"/>
        <v>423.91842760180992</v>
      </c>
      <c r="U431" s="39">
        <f t="shared" si="78"/>
        <v>423.91842760180992</v>
      </c>
      <c r="V431" s="41" t="s">
        <v>45</v>
      </c>
      <c r="W431" s="54"/>
    </row>
    <row r="432" s="54" customFormat="1" ht="45" customHeight="1">
      <c r="A432" s="33">
        <v>8</v>
      </c>
      <c r="B432" s="34" t="s">
        <v>530</v>
      </c>
      <c r="C432" s="33" t="s">
        <v>43</v>
      </c>
      <c r="D432" s="35" t="s">
        <v>83</v>
      </c>
      <c r="E432" s="35" t="s">
        <v>50</v>
      </c>
      <c r="F432" s="33" t="s">
        <v>77</v>
      </c>
      <c r="G432" s="36" t="s">
        <v>413</v>
      </c>
      <c r="H432" s="36" t="s">
        <v>414</v>
      </c>
      <c r="I432" s="37">
        <v>3341</v>
      </c>
      <c r="J432" s="37">
        <v>3137.8000000000002</v>
      </c>
      <c r="K432" s="37">
        <v>2817.6999999999998</v>
      </c>
      <c r="L432" s="38">
        <v>90</v>
      </c>
      <c r="M432" s="39">
        <f t="shared" si="83"/>
        <v>3050236.7999999998</v>
      </c>
      <c r="N432" s="37">
        <v>0</v>
      </c>
      <c r="O432" s="37">
        <v>0</v>
      </c>
      <c r="P432" s="37">
        <v>0</v>
      </c>
      <c r="Q432" s="37">
        <f>'Таблица 3 '!C421</f>
        <v>3050236.7999999998</v>
      </c>
      <c r="R432" s="37">
        <f t="shared" si="84"/>
        <v>3050236.7999999998</v>
      </c>
      <c r="S432" s="37">
        <v>0</v>
      </c>
      <c r="T432" s="40">
        <f t="shared" si="77"/>
        <v>972.09407865383378</v>
      </c>
      <c r="U432" s="87">
        <f t="shared" si="78"/>
        <v>972.09407865383378</v>
      </c>
      <c r="V432" s="41" t="s">
        <v>45</v>
      </c>
      <c r="W432" s="54"/>
    </row>
    <row r="433" s="54" customFormat="1" ht="45" customHeight="1">
      <c r="A433" s="33">
        <v>9</v>
      </c>
      <c r="B433" s="34" t="s">
        <v>531</v>
      </c>
      <c r="C433" s="33" t="s">
        <v>43</v>
      </c>
      <c r="D433" s="35" t="s">
        <v>79</v>
      </c>
      <c r="E433" s="35" t="s">
        <v>63</v>
      </c>
      <c r="F433" s="33" t="s">
        <v>77</v>
      </c>
      <c r="G433" s="36">
        <v>5</v>
      </c>
      <c r="H433" s="36">
        <v>1</v>
      </c>
      <c r="I433" s="37">
        <v>3029.9000000000001</v>
      </c>
      <c r="J433" s="37">
        <v>1915</v>
      </c>
      <c r="K433" s="37">
        <v>56</v>
      </c>
      <c r="L433" s="38">
        <v>170</v>
      </c>
      <c r="M433" s="39">
        <f t="shared" si="83"/>
        <v>1369704</v>
      </c>
      <c r="N433" s="37">
        <v>0</v>
      </c>
      <c r="O433" s="37">
        <v>0</v>
      </c>
      <c r="P433" s="37">
        <v>0</v>
      </c>
      <c r="Q433" s="37">
        <f>'Таблица 3 '!C422</f>
        <v>1369704</v>
      </c>
      <c r="R433" s="37">
        <f t="shared" si="84"/>
        <v>1369704</v>
      </c>
      <c r="S433" s="37">
        <v>0</v>
      </c>
      <c r="T433" s="40">
        <f t="shared" si="77"/>
        <v>715.25013054830288</v>
      </c>
      <c r="U433" s="87">
        <f t="shared" si="78"/>
        <v>715.25013054830288</v>
      </c>
      <c r="V433" s="41" t="s">
        <v>45</v>
      </c>
      <c r="W433" s="54"/>
    </row>
    <row r="434" s="54" customFormat="1" ht="45" customHeight="1">
      <c r="A434" s="33">
        <v>10</v>
      </c>
      <c r="B434" s="34" t="s">
        <v>532</v>
      </c>
      <c r="C434" s="43" t="s">
        <v>43</v>
      </c>
      <c r="D434" s="103" t="s">
        <v>200</v>
      </c>
      <c r="E434" s="104" t="s">
        <v>40</v>
      </c>
      <c r="F434" s="105" t="s">
        <v>44</v>
      </c>
      <c r="G434" s="106">
        <v>2</v>
      </c>
      <c r="H434" s="107">
        <v>3</v>
      </c>
      <c r="I434" s="108">
        <v>625.5</v>
      </c>
      <c r="J434" s="109">
        <v>625.5</v>
      </c>
      <c r="K434" s="108">
        <v>625.5</v>
      </c>
      <c r="L434" s="109">
        <v>48</v>
      </c>
      <c r="M434" s="39">
        <f t="shared" si="83"/>
        <v>427314.80000000005</v>
      </c>
      <c r="N434" s="46">
        <v>0</v>
      </c>
      <c r="O434" s="37">
        <v>0</v>
      </c>
      <c r="P434" s="46">
        <v>0</v>
      </c>
      <c r="Q434" s="37">
        <f>'Таблица 3 '!C423</f>
        <v>427314.80000000005</v>
      </c>
      <c r="R434" s="46">
        <f t="shared" si="84"/>
        <v>427314.80000000005</v>
      </c>
      <c r="S434" s="37">
        <v>0</v>
      </c>
      <c r="T434" s="51">
        <f t="shared" si="77"/>
        <v>683.15715427657881</v>
      </c>
      <c r="U434" s="87">
        <f t="shared" si="78"/>
        <v>683.15715427657881</v>
      </c>
      <c r="V434" s="41" t="s">
        <v>45</v>
      </c>
      <c r="W434" s="110"/>
    </row>
    <row r="435" s="54" customFormat="1" ht="45" customHeight="1">
      <c r="A435" s="33">
        <v>11</v>
      </c>
      <c r="B435" s="34" t="s">
        <v>533</v>
      </c>
      <c r="C435" s="33" t="s">
        <v>43</v>
      </c>
      <c r="D435" s="35" t="s">
        <v>200</v>
      </c>
      <c r="E435" s="35" t="s">
        <v>39</v>
      </c>
      <c r="F435" s="33" t="s">
        <v>77</v>
      </c>
      <c r="G435" s="36" t="s">
        <v>419</v>
      </c>
      <c r="H435" s="36" t="s">
        <v>460</v>
      </c>
      <c r="I435" s="37">
        <v>559.20000000000005</v>
      </c>
      <c r="J435" s="37">
        <v>517.70000000000005</v>
      </c>
      <c r="K435" s="37">
        <v>517.70000000000005</v>
      </c>
      <c r="L435" s="38">
        <v>15</v>
      </c>
      <c r="M435" s="39">
        <f t="shared" si="83"/>
        <v>384128.83000000002</v>
      </c>
      <c r="N435" s="37">
        <v>0</v>
      </c>
      <c r="O435" s="37">
        <v>0</v>
      </c>
      <c r="P435" s="37">
        <v>0</v>
      </c>
      <c r="Q435" s="37">
        <f>'Таблица 3 '!C424</f>
        <v>384128.83000000002</v>
      </c>
      <c r="R435" s="37">
        <f t="shared" si="84"/>
        <v>384128.83000000002</v>
      </c>
      <c r="S435" s="37">
        <v>0</v>
      </c>
      <c r="T435" s="40">
        <f t="shared" si="77"/>
        <v>741.99117249372216</v>
      </c>
      <c r="U435" s="87">
        <f t="shared" si="78"/>
        <v>741.99117249372216</v>
      </c>
      <c r="V435" s="41" t="s">
        <v>45</v>
      </c>
      <c r="W435" s="54"/>
    </row>
    <row r="436" s="54" customFormat="1" ht="45" customHeight="1">
      <c r="A436" s="33">
        <v>12</v>
      </c>
      <c r="B436" s="34" t="s">
        <v>534</v>
      </c>
      <c r="C436" s="33" t="s">
        <v>43</v>
      </c>
      <c r="D436" s="35" t="s">
        <v>104</v>
      </c>
      <c r="E436" s="35" t="s">
        <v>47</v>
      </c>
      <c r="F436" s="33" t="s">
        <v>77</v>
      </c>
      <c r="G436" s="36" t="s">
        <v>460</v>
      </c>
      <c r="H436" s="36" t="s">
        <v>460</v>
      </c>
      <c r="I436" s="37">
        <v>1633.9000000000001</v>
      </c>
      <c r="J436" s="37">
        <v>1503.7</v>
      </c>
      <c r="K436" s="37">
        <v>1500.2</v>
      </c>
      <c r="L436" s="38">
        <v>51</v>
      </c>
      <c r="M436" s="39">
        <f t="shared" si="83"/>
        <v>2583976.4300000002</v>
      </c>
      <c r="N436" s="37">
        <v>0</v>
      </c>
      <c r="O436" s="37">
        <v>0</v>
      </c>
      <c r="P436" s="37">
        <v>0</v>
      </c>
      <c r="Q436" s="37">
        <f>'Таблица 3 '!C425</f>
        <v>2583976.4300000002</v>
      </c>
      <c r="R436" s="37">
        <f t="shared" si="84"/>
        <v>2583976.4300000002</v>
      </c>
      <c r="S436" s="37">
        <v>0</v>
      </c>
      <c r="T436" s="37">
        <f t="shared" si="77"/>
        <v>1718.4122032320277</v>
      </c>
      <c r="U436" s="39">
        <f t="shared" si="78"/>
        <v>1718.4122032320277</v>
      </c>
      <c r="V436" s="41" t="s">
        <v>45</v>
      </c>
      <c r="W436" s="54"/>
      <c r="X436" s="54"/>
      <c r="Y436" s="54"/>
      <c r="Z436" s="54"/>
      <c r="AA436" s="54"/>
      <c r="AB436" s="54"/>
      <c r="AC436" s="54"/>
      <c r="AD436" s="54"/>
      <c r="AE436" s="54"/>
      <c r="AF436" s="54"/>
      <c r="AG436" s="54"/>
      <c r="AH436" s="54"/>
      <c r="AI436" s="54"/>
      <c r="AJ436" s="54"/>
      <c r="AK436" s="54"/>
      <c r="AL436" s="54"/>
      <c r="AM436" s="54"/>
    </row>
    <row r="437" s="54" customFormat="1" ht="45" customHeight="1">
      <c r="A437" s="33">
        <v>13</v>
      </c>
      <c r="B437" s="34" t="s">
        <v>535</v>
      </c>
      <c r="C437" s="33" t="s">
        <v>43</v>
      </c>
      <c r="D437" s="35" t="s">
        <v>205</v>
      </c>
      <c r="E437" s="35" t="s">
        <v>39</v>
      </c>
      <c r="F437" s="33" t="s">
        <v>77</v>
      </c>
      <c r="G437" s="33">
        <v>5</v>
      </c>
      <c r="H437" s="33">
        <v>4</v>
      </c>
      <c r="I437" s="56">
        <v>2855.6999999999998</v>
      </c>
      <c r="J437" s="56">
        <v>2615.0999999999999</v>
      </c>
      <c r="K437" s="56">
        <v>2568.1999999999998</v>
      </c>
      <c r="L437" s="57">
        <v>74</v>
      </c>
      <c r="M437" s="39">
        <f t="shared" si="83"/>
        <v>894586.57999999996</v>
      </c>
      <c r="N437" s="56">
        <v>0</v>
      </c>
      <c r="O437" s="56">
        <v>0</v>
      </c>
      <c r="P437" s="56">
        <v>0</v>
      </c>
      <c r="Q437" s="37">
        <f>'Таблица 3 '!C426</f>
        <v>894586.57999999996</v>
      </c>
      <c r="R437" s="56">
        <f t="shared" si="84"/>
        <v>894586.57999999996</v>
      </c>
      <c r="S437" s="56">
        <v>0</v>
      </c>
      <c r="T437" s="56">
        <f t="shared" si="77"/>
        <v>342.08503690107455</v>
      </c>
      <c r="U437" s="111">
        <f t="shared" si="78"/>
        <v>342.08503690107455</v>
      </c>
      <c r="V437" s="41" t="s">
        <v>45</v>
      </c>
      <c r="W437" s="112"/>
      <c r="X437" s="112"/>
      <c r="Y437" s="112"/>
      <c r="Z437" s="112"/>
      <c r="AA437" s="112"/>
      <c r="AB437" s="112"/>
      <c r="AC437" s="112"/>
      <c r="AD437" s="112"/>
      <c r="AE437" s="112"/>
      <c r="AF437" s="112"/>
      <c r="AG437" s="112"/>
      <c r="AH437" s="112"/>
      <c r="AI437" s="112"/>
      <c r="AJ437" s="112"/>
      <c r="AK437" s="112"/>
      <c r="AL437" s="112"/>
      <c r="AM437" s="112"/>
    </row>
    <row r="438" s="54" customFormat="1" ht="45" customHeight="1">
      <c r="A438" s="33">
        <v>14</v>
      </c>
      <c r="B438" s="34" t="s">
        <v>536</v>
      </c>
      <c r="C438" s="33" t="s">
        <v>43</v>
      </c>
      <c r="D438" s="35" t="s">
        <v>86</v>
      </c>
      <c r="E438" s="35" t="s">
        <v>39</v>
      </c>
      <c r="F438" s="33" t="s">
        <v>77</v>
      </c>
      <c r="G438" s="36">
        <v>5</v>
      </c>
      <c r="H438" s="36">
        <v>6</v>
      </c>
      <c r="I438" s="37">
        <v>4599.5</v>
      </c>
      <c r="J438" s="37">
        <v>4099.6000000000004</v>
      </c>
      <c r="K438" s="37">
        <v>4099.6000000000004</v>
      </c>
      <c r="L438" s="38">
        <v>215</v>
      </c>
      <c r="M438" s="39">
        <f t="shared" si="83"/>
        <v>1807811.3600000001</v>
      </c>
      <c r="N438" s="37">
        <v>0</v>
      </c>
      <c r="O438" s="37">
        <v>0</v>
      </c>
      <c r="P438" s="37">
        <v>0</v>
      </c>
      <c r="Q438" s="37">
        <f>'Таблица 3 '!C427</f>
        <v>1807811.3600000001</v>
      </c>
      <c r="R438" s="37">
        <f t="shared" si="84"/>
        <v>1807811.3600000001</v>
      </c>
      <c r="S438" s="37">
        <v>0</v>
      </c>
      <c r="T438" s="37">
        <f t="shared" si="77"/>
        <v>440.97262171919209</v>
      </c>
      <c r="U438" s="39">
        <f t="shared" si="78"/>
        <v>440.97262171919209</v>
      </c>
      <c r="V438" s="41" t="s">
        <v>45</v>
      </c>
      <c r="W438" s="54"/>
    </row>
    <row r="439" s="54" customFormat="1" ht="45" customHeight="1">
      <c r="A439" s="33">
        <v>15</v>
      </c>
      <c r="B439" s="34" t="s">
        <v>537</v>
      </c>
      <c r="C439" s="43" t="s">
        <v>43</v>
      </c>
      <c r="D439" s="103" t="s">
        <v>369</v>
      </c>
      <c r="E439" s="113" t="s">
        <v>57</v>
      </c>
      <c r="F439" s="105" t="s">
        <v>44</v>
      </c>
      <c r="G439" s="106">
        <v>5</v>
      </c>
      <c r="H439" s="107">
        <v>4</v>
      </c>
      <c r="I439" s="114">
        <v>2996</v>
      </c>
      <c r="J439" s="115">
        <v>2846</v>
      </c>
      <c r="K439" s="114">
        <v>2846</v>
      </c>
      <c r="L439" s="116">
        <v>180</v>
      </c>
      <c r="M439" s="39">
        <f t="shared" si="83"/>
        <v>299069.94</v>
      </c>
      <c r="N439" s="46">
        <v>0</v>
      </c>
      <c r="O439" s="37">
        <v>0</v>
      </c>
      <c r="P439" s="46">
        <v>0</v>
      </c>
      <c r="Q439" s="37">
        <f>'Таблица 3 '!C428</f>
        <v>299069.94</v>
      </c>
      <c r="R439" s="46">
        <f t="shared" si="84"/>
        <v>299069.94</v>
      </c>
      <c r="S439" s="37">
        <v>0</v>
      </c>
      <c r="T439" s="51">
        <f t="shared" si="77"/>
        <v>105.08430780042164</v>
      </c>
      <c r="U439" s="87">
        <f t="shared" si="78"/>
        <v>105.08430780042164</v>
      </c>
      <c r="V439" s="41" t="s">
        <v>45</v>
      </c>
      <c r="W439" s="110"/>
    </row>
    <row r="440" s="54" customFormat="1" ht="45" customHeight="1">
      <c r="A440" s="33">
        <v>16</v>
      </c>
      <c r="B440" s="34" t="s">
        <v>538</v>
      </c>
      <c r="C440" s="33" t="s">
        <v>43</v>
      </c>
      <c r="D440" s="35" t="s">
        <v>106</v>
      </c>
      <c r="E440" s="35" t="s">
        <v>39</v>
      </c>
      <c r="F440" s="33" t="s">
        <v>77</v>
      </c>
      <c r="G440" s="36" t="s">
        <v>419</v>
      </c>
      <c r="H440" s="36" t="s">
        <v>419</v>
      </c>
      <c r="I440" s="37">
        <v>799.89999999999998</v>
      </c>
      <c r="J440" s="37">
        <v>722.60000000000002</v>
      </c>
      <c r="K440" s="37">
        <v>722.60000000000002</v>
      </c>
      <c r="L440" s="38">
        <v>20</v>
      </c>
      <c r="M440" s="39">
        <f t="shared" si="83"/>
        <v>226241.98000000001</v>
      </c>
      <c r="N440" s="39">
        <v>0</v>
      </c>
      <c r="O440" s="39">
        <v>0</v>
      </c>
      <c r="P440" s="39">
        <v>0</v>
      </c>
      <c r="Q440" s="37">
        <f>'Таблица 3 '!C429</f>
        <v>226241.98000000001</v>
      </c>
      <c r="R440" s="37">
        <f t="shared" si="84"/>
        <v>226241.98000000001</v>
      </c>
      <c r="S440" s="37">
        <v>0</v>
      </c>
      <c r="T440" s="37">
        <f t="shared" si="77"/>
        <v>313.09435372266813</v>
      </c>
      <c r="U440" s="37">
        <f t="shared" si="78"/>
        <v>313.09435372266813</v>
      </c>
      <c r="V440" s="41" t="s">
        <v>45</v>
      </c>
      <c r="W440" s="54"/>
    </row>
    <row r="441" s="54" customFormat="1" ht="45" customHeight="1">
      <c r="A441" s="33">
        <v>17</v>
      </c>
      <c r="B441" s="34" t="s">
        <v>539</v>
      </c>
      <c r="C441" s="33" t="s">
        <v>43</v>
      </c>
      <c r="D441" s="35" t="s">
        <v>106</v>
      </c>
      <c r="E441" s="35" t="s">
        <v>39</v>
      </c>
      <c r="F441" s="33" t="s">
        <v>77</v>
      </c>
      <c r="G441" s="36">
        <v>2</v>
      </c>
      <c r="H441" s="36">
        <v>2</v>
      </c>
      <c r="I441" s="37">
        <v>787</v>
      </c>
      <c r="J441" s="37">
        <v>728.60000000000002</v>
      </c>
      <c r="K441" s="37">
        <v>689.70000000000005</v>
      </c>
      <c r="L441" s="38">
        <v>31</v>
      </c>
      <c r="M441" s="39">
        <f t="shared" si="83"/>
        <v>226450.79999999999</v>
      </c>
      <c r="N441" s="37">
        <v>0</v>
      </c>
      <c r="O441" s="37">
        <v>0</v>
      </c>
      <c r="P441" s="37">
        <v>0</v>
      </c>
      <c r="Q441" s="37">
        <f>'Таблица 3 '!C430</f>
        <v>226450.79999999999</v>
      </c>
      <c r="R441" s="37">
        <f t="shared" si="84"/>
        <v>226450.79999999999</v>
      </c>
      <c r="S441" s="37">
        <v>0</v>
      </c>
      <c r="T441" s="40">
        <f t="shared" si="77"/>
        <v>310.80263519077681</v>
      </c>
      <c r="U441" s="87">
        <f t="shared" si="78"/>
        <v>310.80263519077681</v>
      </c>
      <c r="V441" s="41" t="s">
        <v>45</v>
      </c>
      <c r="W441" s="54"/>
    </row>
    <row r="442" s="60" customFormat="1" ht="24.75" customHeight="1">
      <c r="A442" s="25" t="s">
        <v>540</v>
      </c>
      <c r="B442" s="25"/>
      <c r="C442" s="82" t="s">
        <v>39</v>
      </c>
      <c r="D442" s="83" t="s">
        <v>39</v>
      </c>
      <c r="E442" s="84" t="s">
        <v>39</v>
      </c>
      <c r="F442" s="82" t="s">
        <v>39</v>
      </c>
      <c r="G442" s="85" t="s">
        <v>39</v>
      </c>
      <c r="H442" s="85" t="s">
        <v>39</v>
      </c>
      <c r="I442" s="29">
        <f>SUM(I443:I459)</f>
        <v>23170.700000000001</v>
      </c>
      <c r="J442" s="29">
        <f>SUM(J443:J459)</f>
        <v>21208.919999999998</v>
      </c>
      <c r="K442" s="29">
        <f>SUM(K443:K459)</f>
        <v>19401.32</v>
      </c>
      <c r="L442" s="30">
        <f>SUM(L443:L459)</f>
        <v>905</v>
      </c>
      <c r="M442" s="29">
        <f>SUM(M443:M459)</f>
        <v>39254210.200000003</v>
      </c>
      <c r="N442" s="29">
        <f>SUM(N443:N459)</f>
        <v>0</v>
      </c>
      <c r="O442" s="29">
        <f>SUM(O443:O459)</f>
        <v>0</v>
      </c>
      <c r="P442" s="29">
        <f>SUM(P443:P459)</f>
        <v>0</v>
      </c>
      <c r="Q442" s="29">
        <f>SUM(Q443:Q459)</f>
        <v>39254210.200000003</v>
      </c>
      <c r="R442" s="29">
        <f>SUM(R443:R459)</f>
        <v>39254210.200000003</v>
      </c>
      <c r="S442" s="29">
        <f>SUM(S443:S459)</f>
        <v>0</v>
      </c>
      <c r="T442" s="32" t="s">
        <v>39</v>
      </c>
      <c r="U442" s="32" t="s">
        <v>39</v>
      </c>
      <c r="V442" s="28" t="s">
        <v>39</v>
      </c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31"/>
      <c r="AV442" s="31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31"/>
      <c r="BH442" s="31"/>
      <c r="BI442" s="31"/>
      <c r="BJ442" s="31"/>
      <c r="BK442" s="31"/>
      <c r="BL442" s="31"/>
      <c r="BM442" s="31"/>
      <c r="BN442" s="31"/>
      <c r="BO442" s="31"/>
      <c r="BP442" s="31"/>
      <c r="BQ442" s="31"/>
      <c r="BR442" s="31"/>
      <c r="BS442" s="31"/>
      <c r="BT442" s="31"/>
      <c r="BU442" s="31"/>
      <c r="BV442" s="31"/>
      <c r="BW442" s="31"/>
      <c r="BX442" s="31"/>
      <c r="BY442" s="31"/>
      <c r="BZ442" s="31"/>
      <c r="CA442" s="31"/>
      <c r="CB442" s="31"/>
      <c r="CC442" s="31"/>
      <c r="CD442" s="31"/>
      <c r="CE442" s="31"/>
      <c r="CF442" s="31"/>
      <c r="CG442" s="31"/>
      <c r="CH442" s="31"/>
      <c r="CI442" s="31"/>
      <c r="CJ442" s="31"/>
      <c r="CK442" s="31"/>
      <c r="CL442" s="31"/>
      <c r="CM442" s="31"/>
      <c r="CN442" s="31"/>
      <c r="CO442" s="31"/>
      <c r="CP442" s="31"/>
      <c r="CQ442" s="100"/>
    </row>
    <row r="443" s="60" customFormat="1" ht="45" customHeight="1">
      <c r="A443" s="33">
        <v>1</v>
      </c>
      <c r="B443" s="34" t="s">
        <v>541</v>
      </c>
      <c r="C443" s="33" t="s">
        <v>43</v>
      </c>
      <c r="D443" s="35" t="s">
        <v>147</v>
      </c>
      <c r="E443" s="35" t="s">
        <v>39</v>
      </c>
      <c r="F443" s="33" t="s">
        <v>77</v>
      </c>
      <c r="G443" s="36" t="s">
        <v>413</v>
      </c>
      <c r="H443" s="36">
        <v>6</v>
      </c>
      <c r="I443" s="37">
        <v>5020</v>
      </c>
      <c r="J443" s="37">
        <v>4660</v>
      </c>
      <c r="K443" s="37">
        <f>J443-355.5</f>
        <v>4304.5</v>
      </c>
      <c r="L443" s="38">
        <v>196</v>
      </c>
      <c r="M443" s="39">
        <f>SUM(N443:Q443)</f>
        <v>319381.69</v>
      </c>
      <c r="N443" s="37">
        <v>0</v>
      </c>
      <c r="O443" s="37">
        <v>0</v>
      </c>
      <c r="P443" s="37">
        <v>0</v>
      </c>
      <c r="Q443" s="37">
        <f>'Таблица 3 '!C432</f>
        <v>319381.69</v>
      </c>
      <c r="R443" s="37">
        <f>Q443</f>
        <v>319381.69</v>
      </c>
      <c r="S443" s="37">
        <v>0</v>
      </c>
      <c r="T443" s="37">
        <f t="shared" si="77"/>
        <v>68.53684334763949</v>
      </c>
      <c r="U443" s="39">
        <f t="shared" si="78"/>
        <v>68.53684334763949</v>
      </c>
      <c r="V443" s="41" t="s">
        <v>45</v>
      </c>
      <c r="W443" s="54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31"/>
      <c r="AV443" s="3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31"/>
      <c r="BH443" s="31"/>
      <c r="BI443" s="31"/>
      <c r="BJ443" s="31"/>
      <c r="BK443" s="31"/>
      <c r="BL443" s="31"/>
      <c r="BM443" s="31"/>
      <c r="BN443" s="31"/>
      <c r="BO443" s="31"/>
      <c r="BP443" s="31"/>
      <c r="BQ443" s="31"/>
      <c r="BR443" s="31"/>
      <c r="BS443" s="31"/>
      <c r="BT443" s="31"/>
      <c r="BU443" s="31"/>
      <c r="BV443" s="31"/>
      <c r="BW443" s="31"/>
      <c r="BX443" s="31"/>
      <c r="BY443" s="31"/>
      <c r="BZ443" s="31"/>
      <c r="CA443" s="31"/>
      <c r="CB443" s="31"/>
      <c r="CC443" s="31"/>
      <c r="CD443" s="31"/>
      <c r="CE443" s="31"/>
      <c r="CF443" s="31"/>
      <c r="CG443" s="31"/>
      <c r="CH443" s="31"/>
      <c r="CI443" s="31"/>
      <c r="CJ443" s="31"/>
      <c r="CK443" s="31"/>
      <c r="CL443" s="31"/>
      <c r="CM443" s="31"/>
      <c r="CN443" s="31"/>
      <c r="CO443" s="31"/>
      <c r="CP443" s="31"/>
      <c r="CQ443" s="31"/>
    </row>
    <row r="444" s="60" customFormat="1" ht="44.25" customHeight="1">
      <c r="A444" s="33">
        <v>2</v>
      </c>
      <c r="B444" s="34" t="s">
        <v>542</v>
      </c>
      <c r="C444" s="33" t="s">
        <v>43</v>
      </c>
      <c r="D444" s="35">
        <v>1965</v>
      </c>
      <c r="E444" s="35" t="s">
        <v>155</v>
      </c>
      <c r="F444" s="33" t="s">
        <v>77</v>
      </c>
      <c r="G444" s="36" t="s">
        <v>414</v>
      </c>
      <c r="H444" s="36" t="s">
        <v>460</v>
      </c>
      <c r="I444" s="40">
        <v>2106.4000000000001</v>
      </c>
      <c r="J444" s="40">
        <v>1957.8</v>
      </c>
      <c r="K444" s="40">
        <v>1873.3</v>
      </c>
      <c r="L444" s="48">
        <v>79</v>
      </c>
      <c r="M444" s="39">
        <f t="shared" si="83"/>
        <v>7227724.3499999996</v>
      </c>
      <c r="N444" s="37">
        <v>0</v>
      </c>
      <c r="O444" s="37">
        <v>0</v>
      </c>
      <c r="P444" s="37">
        <v>0</v>
      </c>
      <c r="Q444" s="37">
        <f>'Таблица 3 '!C433</f>
        <v>7227724.3499999996</v>
      </c>
      <c r="R444" s="37">
        <f t="shared" si="84"/>
        <v>7227724.3499999996</v>
      </c>
      <c r="S444" s="37">
        <v>0</v>
      </c>
      <c r="T444" s="40">
        <f t="shared" si="77"/>
        <v>3691.7582745939317</v>
      </c>
      <c r="U444" s="87">
        <f t="shared" si="78"/>
        <v>3691.7582745939317</v>
      </c>
      <c r="V444" s="41" t="s">
        <v>45</v>
      </c>
      <c r="W444" s="60"/>
    </row>
    <row r="445" s="60" customFormat="1" ht="44.25" customHeight="1">
      <c r="A445" s="33">
        <v>3</v>
      </c>
      <c r="B445" s="42" t="s">
        <v>543</v>
      </c>
      <c r="C445" s="33" t="s">
        <v>43</v>
      </c>
      <c r="D445" s="35" t="s">
        <v>200</v>
      </c>
      <c r="E445" s="35" t="s">
        <v>39</v>
      </c>
      <c r="F445" s="33" t="s">
        <v>77</v>
      </c>
      <c r="G445" s="36" t="s">
        <v>414</v>
      </c>
      <c r="H445" s="36" t="s">
        <v>460</v>
      </c>
      <c r="I445" s="40">
        <v>2124.4000000000001</v>
      </c>
      <c r="J445" s="40">
        <v>1974.5999999999999</v>
      </c>
      <c r="K445" s="40">
        <v>1858.4000000000001</v>
      </c>
      <c r="L445" s="48">
        <v>84</v>
      </c>
      <c r="M445" s="39">
        <f t="shared" si="83"/>
        <v>4717353.0100000007</v>
      </c>
      <c r="N445" s="37">
        <v>0</v>
      </c>
      <c r="O445" s="37">
        <v>0</v>
      </c>
      <c r="P445" s="37">
        <v>0</v>
      </c>
      <c r="Q445" s="37">
        <f>'Таблица 3 '!C434</f>
        <v>4717353.0100000007</v>
      </c>
      <c r="R445" s="37">
        <f t="shared" si="84"/>
        <v>4717353.0100000007</v>
      </c>
      <c r="S445" s="37">
        <v>0</v>
      </c>
      <c r="T445" s="40">
        <f t="shared" si="77"/>
        <v>2389.0170211688446</v>
      </c>
      <c r="U445" s="87">
        <f t="shared" si="78"/>
        <v>2389.0170211688446</v>
      </c>
      <c r="V445" s="41" t="s">
        <v>45</v>
      </c>
      <c r="W445" s="60"/>
    </row>
    <row r="446" s="60" customFormat="1" ht="44.25" customHeight="1">
      <c r="A446" s="33">
        <v>4</v>
      </c>
      <c r="B446" s="34" t="s">
        <v>544</v>
      </c>
      <c r="C446" s="33" t="s">
        <v>43</v>
      </c>
      <c r="D446" s="35" t="s">
        <v>365</v>
      </c>
      <c r="E446" s="35" t="s">
        <v>39</v>
      </c>
      <c r="F446" s="33" t="s">
        <v>77</v>
      </c>
      <c r="G446" s="36" t="s">
        <v>460</v>
      </c>
      <c r="H446" s="36" t="s">
        <v>419</v>
      </c>
      <c r="I446" s="37">
        <v>1029.2</v>
      </c>
      <c r="J446" s="37">
        <v>937.79999999999995</v>
      </c>
      <c r="K446" s="37">
        <v>866.79999999999995</v>
      </c>
      <c r="L446" s="38">
        <v>50</v>
      </c>
      <c r="M446" s="39">
        <f t="shared" si="83"/>
        <v>932172.73999999999</v>
      </c>
      <c r="N446" s="37">
        <v>0</v>
      </c>
      <c r="O446" s="37">
        <v>0</v>
      </c>
      <c r="P446" s="37">
        <v>0</v>
      </c>
      <c r="Q446" s="37">
        <f>'Таблица 3 '!C435</f>
        <v>932172.73999999999</v>
      </c>
      <c r="R446" s="37">
        <f t="shared" si="84"/>
        <v>932172.73999999999</v>
      </c>
      <c r="S446" s="37">
        <v>0</v>
      </c>
      <c r="T446" s="37">
        <f t="shared" si="77"/>
        <v>993.99950949029653</v>
      </c>
      <c r="U446" s="39">
        <f t="shared" si="78"/>
        <v>993.99950949029653</v>
      </c>
      <c r="V446" s="41" t="s">
        <v>45</v>
      </c>
      <c r="W446" s="54"/>
    </row>
    <row r="447" s="60" customFormat="1" ht="44.25" customHeight="1">
      <c r="A447" s="33">
        <v>5</v>
      </c>
      <c r="B447" s="34" t="s">
        <v>545</v>
      </c>
      <c r="C447" s="33" t="s">
        <v>43</v>
      </c>
      <c r="D447" s="35" t="s">
        <v>225</v>
      </c>
      <c r="E447" s="35" t="s">
        <v>228</v>
      </c>
      <c r="F447" s="33" t="s">
        <v>517</v>
      </c>
      <c r="G447" s="36" t="s">
        <v>419</v>
      </c>
      <c r="H447" s="36" t="s">
        <v>546</v>
      </c>
      <c r="I447" s="37">
        <v>572</v>
      </c>
      <c r="J447" s="37">
        <v>520.70000000000005</v>
      </c>
      <c r="K447" s="37">
        <v>460.60000000000002</v>
      </c>
      <c r="L447" s="38">
        <v>25</v>
      </c>
      <c r="M447" s="39">
        <f t="shared" si="83"/>
        <v>236885.39999999999</v>
      </c>
      <c r="N447" s="37">
        <v>0</v>
      </c>
      <c r="O447" s="37">
        <v>0</v>
      </c>
      <c r="P447" s="37">
        <v>0</v>
      </c>
      <c r="Q447" s="37">
        <f>'Таблица 3 '!C436</f>
        <v>236885.39999999999</v>
      </c>
      <c r="R447" s="37">
        <f t="shared" si="84"/>
        <v>236885.39999999999</v>
      </c>
      <c r="S447" s="37">
        <v>0</v>
      </c>
      <c r="T447" s="37">
        <f t="shared" si="77"/>
        <v>454.93643172652196</v>
      </c>
      <c r="U447" s="39">
        <f t="shared" si="78"/>
        <v>454.93643172652196</v>
      </c>
      <c r="V447" s="41" t="s">
        <v>45</v>
      </c>
      <c r="W447" s="60"/>
    </row>
    <row r="448" s="60" customFormat="1" ht="44.25" customHeight="1">
      <c r="A448" s="33">
        <v>6</v>
      </c>
      <c r="B448" s="34" t="s">
        <v>547</v>
      </c>
      <c r="C448" s="33" t="s">
        <v>43</v>
      </c>
      <c r="D448" s="35" t="s">
        <v>225</v>
      </c>
      <c r="E448" s="35" t="s">
        <v>39</v>
      </c>
      <c r="F448" s="33" t="s">
        <v>517</v>
      </c>
      <c r="G448" s="36" t="s">
        <v>419</v>
      </c>
      <c r="H448" s="36" t="s">
        <v>546</v>
      </c>
      <c r="I448" s="40">
        <v>562.20000000000005</v>
      </c>
      <c r="J448" s="40">
        <v>520.20000000000005</v>
      </c>
      <c r="K448" s="40">
        <v>520.20000000000005</v>
      </c>
      <c r="L448" s="48">
        <v>26</v>
      </c>
      <c r="M448" s="39">
        <f t="shared" si="83"/>
        <v>236885.39999999999</v>
      </c>
      <c r="N448" s="37">
        <v>0</v>
      </c>
      <c r="O448" s="37">
        <v>0</v>
      </c>
      <c r="P448" s="37">
        <v>0</v>
      </c>
      <c r="Q448" s="37">
        <f>'Таблица 3 '!C437</f>
        <v>236885.39999999999</v>
      </c>
      <c r="R448" s="37">
        <f t="shared" si="84"/>
        <v>236885.39999999999</v>
      </c>
      <c r="S448" s="37">
        <v>0</v>
      </c>
      <c r="T448" s="37">
        <f t="shared" si="77"/>
        <v>455.3737024221453</v>
      </c>
      <c r="U448" s="39">
        <f t="shared" si="78"/>
        <v>455.3737024221453</v>
      </c>
      <c r="V448" s="41" t="s">
        <v>45</v>
      </c>
      <c r="W448" s="60"/>
    </row>
    <row r="449" s="60" customFormat="1" ht="44.25" customHeight="1">
      <c r="A449" s="33">
        <v>7</v>
      </c>
      <c r="B449" s="34" t="s">
        <v>548</v>
      </c>
      <c r="C449" s="33" t="s">
        <v>43</v>
      </c>
      <c r="D449" s="35" t="s">
        <v>200</v>
      </c>
      <c r="E449" s="35" t="s">
        <v>39</v>
      </c>
      <c r="F449" s="33" t="s">
        <v>77</v>
      </c>
      <c r="G449" s="36" t="s">
        <v>419</v>
      </c>
      <c r="H449" s="36" t="s">
        <v>419</v>
      </c>
      <c r="I449" s="40">
        <v>521.60000000000002</v>
      </c>
      <c r="J449" s="40">
        <v>471.60000000000002</v>
      </c>
      <c r="K449" s="40">
        <v>471.60000000000002</v>
      </c>
      <c r="L449" s="48">
        <v>19</v>
      </c>
      <c r="M449" s="39">
        <f t="shared" si="83"/>
        <v>3809686.54</v>
      </c>
      <c r="N449" s="37">
        <v>0</v>
      </c>
      <c r="O449" s="37">
        <v>0</v>
      </c>
      <c r="P449" s="37">
        <v>0</v>
      </c>
      <c r="Q449" s="37">
        <f>'Таблица 3 '!C438</f>
        <v>3809686.54</v>
      </c>
      <c r="R449" s="37">
        <f t="shared" si="84"/>
        <v>3809686.54</v>
      </c>
      <c r="S449" s="37">
        <v>0</v>
      </c>
      <c r="T449" s="40">
        <f t="shared" si="77"/>
        <v>8078.2157336726032</v>
      </c>
      <c r="U449" s="87">
        <f t="shared" si="78"/>
        <v>8078.2157336726032</v>
      </c>
      <c r="V449" s="41" t="s">
        <v>45</v>
      </c>
      <c r="W449" s="60"/>
    </row>
    <row r="450" s="60" customFormat="1" ht="44.25" customHeight="1">
      <c r="A450" s="33">
        <v>8</v>
      </c>
      <c r="B450" s="34" t="s">
        <v>549</v>
      </c>
      <c r="C450" s="33" t="s">
        <v>43</v>
      </c>
      <c r="D450" s="35" t="s">
        <v>132</v>
      </c>
      <c r="E450" s="35" t="s">
        <v>39</v>
      </c>
      <c r="F450" s="33" t="s">
        <v>77</v>
      </c>
      <c r="G450" s="36" t="s">
        <v>419</v>
      </c>
      <c r="H450" s="36" t="s">
        <v>419</v>
      </c>
      <c r="I450" s="37">
        <v>765.10000000000002</v>
      </c>
      <c r="J450" s="37">
        <v>714.22000000000003</v>
      </c>
      <c r="K450" s="37">
        <v>674.32000000000005</v>
      </c>
      <c r="L450" s="38">
        <v>30</v>
      </c>
      <c r="M450" s="37">
        <f t="shared" si="83"/>
        <v>682512.32999999996</v>
      </c>
      <c r="N450" s="37">
        <v>0</v>
      </c>
      <c r="O450" s="37">
        <v>0</v>
      </c>
      <c r="P450" s="37">
        <v>0</v>
      </c>
      <c r="Q450" s="37">
        <f>'Таблица 3 '!C439</f>
        <v>682512.32999999996</v>
      </c>
      <c r="R450" s="37">
        <f t="shared" si="84"/>
        <v>682512.32999999996</v>
      </c>
      <c r="S450" s="37">
        <v>0</v>
      </c>
      <c r="T450" s="37">
        <f t="shared" si="77"/>
        <v>955.6051776763461</v>
      </c>
      <c r="U450" s="37">
        <f t="shared" si="78"/>
        <v>955.6051776763461</v>
      </c>
      <c r="V450" s="41" t="s">
        <v>45</v>
      </c>
      <c r="W450" s="60"/>
    </row>
    <row r="451" s="60" customFormat="1" ht="44.25" customHeight="1">
      <c r="A451" s="33">
        <v>9</v>
      </c>
      <c r="B451" s="34" t="s">
        <v>550</v>
      </c>
      <c r="C451" s="33" t="s">
        <v>43</v>
      </c>
      <c r="D451" s="35" t="s">
        <v>225</v>
      </c>
      <c r="E451" s="35" t="s">
        <v>39</v>
      </c>
      <c r="F451" s="33" t="s">
        <v>517</v>
      </c>
      <c r="G451" s="36" t="s">
        <v>419</v>
      </c>
      <c r="H451" s="36" t="s">
        <v>546</v>
      </c>
      <c r="I451" s="40">
        <v>570.20000000000005</v>
      </c>
      <c r="J451" s="40">
        <v>526</v>
      </c>
      <c r="K451" s="40">
        <v>464.89999999999998</v>
      </c>
      <c r="L451" s="48">
        <v>27</v>
      </c>
      <c r="M451" s="39">
        <f t="shared" si="83"/>
        <v>1987446.8000000003</v>
      </c>
      <c r="N451" s="37">
        <v>0</v>
      </c>
      <c r="O451" s="37">
        <v>0</v>
      </c>
      <c r="P451" s="37">
        <v>0</v>
      </c>
      <c r="Q451" s="37">
        <f>'Таблица 3 '!C440</f>
        <v>1987446.8000000003</v>
      </c>
      <c r="R451" s="37">
        <f t="shared" si="84"/>
        <v>1987446.8000000003</v>
      </c>
      <c r="S451" s="37">
        <v>0</v>
      </c>
      <c r="T451" s="40">
        <f t="shared" si="77"/>
        <v>3778.4159695817498</v>
      </c>
      <c r="U451" s="87">
        <f t="shared" si="78"/>
        <v>3778.4159695817498</v>
      </c>
      <c r="V451" s="41" t="s">
        <v>45</v>
      </c>
      <c r="W451" s="60"/>
    </row>
    <row r="452" s="60" customFormat="1" ht="44.25" customHeight="1">
      <c r="A452" s="33">
        <v>10</v>
      </c>
      <c r="B452" s="34" t="s">
        <v>551</v>
      </c>
      <c r="C452" s="33" t="s">
        <v>43</v>
      </c>
      <c r="D452" s="35" t="s">
        <v>109</v>
      </c>
      <c r="E452" s="35" t="s">
        <v>39</v>
      </c>
      <c r="F452" s="33" t="s">
        <v>77</v>
      </c>
      <c r="G452" s="36" t="s">
        <v>460</v>
      </c>
      <c r="H452" s="36" t="s">
        <v>460</v>
      </c>
      <c r="I452" s="40">
        <v>1615.2</v>
      </c>
      <c r="J452" s="40">
        <v>1447.5999999999999</v>
      </c>
      <c r="K452" s="40">
        <v>1447.5999999999999</v>
      </c>
      <c r="L452" s="48">
        <v>54</v>
      </c>
      <c r="M452" s="39">
        <f t="shared" si="83"/>
        <v>3816224.9199999999</v>
      </c>
      <c r="N452" s="37">
        <v>0</v>
      </c>
      <c r="O452" s="37">
        <v>0</v>
      </c>
      <c r="P452" s="37">
        <v>0</v>
      </c>
      <c r="Q452" s="37">
        <f>'Таблица 3 '!C441</f>
        <v>3816224.9199999999</v>
      </c>
      <c r="R452" s="37">
        <f t="shared" si="84"/>
        <v>3816224.9199999999</v>
      </c>
      <c r="S452" s="37">
        <v>0</v>
      </c>
      <c r="T452" s="40">
        <f t="shared" si="77"/>
        <v>2636.2426913512022</v>
      </c>
      <c r="U452" s="87">
        <f t="shared" si="78"/>
        <v>2636.2426913512022</v>
      </c>
      <c r="V452" s="41" t="s">
        <v>45</v>
      </c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31"/>
      <c r="AV452" s="31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31"/>
      <c r="BH452" s="31"/>
      <c r="BI452" s="31"/>
      <c r="BJ452" s="31"/>
      <c r="BK452" s="31"/>
      <c r="BL452" s="31"/>
      <c r="BM452" s="31"/>
      <c r="BN452" s="31"/>
      <c r="BO452" s="31"/>
      <c r="BP452" s="31"/>
      <c r="BQ452" s="31"/>
      <c r="BR452" s="31"/>
      <c r="BS452" s="31"/>
      <c r="BT452" s="31"/>
      <c r="BU452" s="31"/>
      <c r="BV452" s="31"/>
      <c r="BW452" s="31"/>
      <c r="BX452" s="31"/>
      <c r="BY452" s="31"/>
      <c r="BZ452" s="31"/>
      <c r="CA452" s="31"/>
      <c r="CB452" s="31"/>
      <c r="CC452" s="31"/>
      <c r="CD452" s="31"/>
      <c r="CE452" s="31"/>
      <c r="CF452" s="31"/>
      <c r="CG452" s="31"/>
      <c r="CH452" s="31"/>
      <c r="CI452" s="31"/>
      <c r="CJ452" s="31"/>
      <c r="CK452" s="31"/>
      <c r="CL452" s="31"/>
      <c r="CM452" s="31"/>
      <c r="CN452" s="31"/>
      <c r="CO452" s="31"/>
      <c r="CP452" s="31"/>
      <c r="CQ452" s="31"/>
    </row>
    <row r="453" s="60" customFormat="1" ht="44.25" customHeight="1">
      <c r="A453" s="33">
        <v>11</v>
      </c>
      <c r="B453" s="34" t="s">
        <v>552</v>
      </c>
      <c r="C453" s="33" t="s">
        <v>43</v>
      </c>
      <c r="D453" s="35" t="s">
        <v>195</v>
      </c>
      <c r="E453" s="35" t="s">
        <v>39</v>
      </c>
      <c r="F453" s="33" t="s">
        <v>517</v>
      </c>
      <c r="G453" s="36" t="s">
        <v>419</v>
      </c>
      <c r="H453" s="36" t="s">
        <v>546</v>
      </c>
      <c r="I453" s="37">
        <v>559.5</v>
      </c>
      <c r="J453" s="37">
        <v>514.5</v>
      </c>
      <c r="K453" s="37">
        <v>514.5</v>
      </c>
      <c r="L453" s="38">
        <v>16</v>
      </c>
      <c r="M453" s="39">
        <f t="shared" si="83"/>
        <v>1926850.98</v>
      </c>
      <c r="N453" s="37">
        <v>0</v>
      </c>
      <c r="O453" s="37">
        <v>0</v>
      </c>
      <c r="P453" s="37">
        <v>0</v>
      </c>
      <c r="Q453" s="37">
        <f>'Таблица 3 '!C442</f>
        <v>1926850.98</v>
      </c>
      <c r="R453" s="37">
        <f t="shared" si="84"/>
        <v>1926850.98</v>
      </c>
      <c r="S453" s="37">
        <v>0</v>
      </c>
      <c r="T453" s="37">
        <f t="shared" si="77"/>
        <v>3745.0942274052477</v>
      </c>
      <c r="U453" s="39">
        <f t="shared" si="78"/>
        <v>3745.0942274052477</v>
      </c>
      <c r="V453" s="41" t="s">
        <v>45</v>
      </c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31"/>
      <c r="AV453" s="31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31"/>
      <c r="BH453" s="31"/>
      <c r="BI453" s="31"/>
      <c r="BJ453" s="31"/>
      <c r="BK453" s="31"/>
      <c r="BL453" s="31"/>
      <c r="BM453" s="31"/>
      <c r="BN453" s="31"/>
      <c r="BO453" s="31"/>
      <c r="BP453" s="31"/>
      <c r="BQ453" s="31"/>
      <c r="BR453" s="31"/>
      <c r="BS453" s="31"/>
      <c r="BT453" s="31"/>
      <c r="BU453" s="31"/>
      <c r="BV453" s="31"/>
      <c r="BW453" s="31"/>
      <c r="BX453" s="31"/>
      <c r="BY453" s="31"/>
      <c r="BZ453" s="31"/>
      <c r="CA453" s="31"/>
      <c r="CB453" s="31"/>
      <c r="CC453" s="31"/>
      <c r="CD453" s="31"/>
      <c r="CE453" s="31"/>
      <c r="CF453" s="31"/>
      <c r="CG453" s="31"/>
      <c r="CH453" s="31"/>
      <c r="CI453" s="31"/>
      <c r="CJ453" s="31"/>
      <c r="CK453" s="31"/>
      <c r="CL453" s="31"/>
      <c r="CM453" s="31"/>
      <c r="CN453" s="31"/>
      <c r="CO453" s="31"/>
      <c r="CP453" s="31"/>
      <c r="CQ453" s="31"/>
    </row>
    <row r="454" s="60" customFormat="1" ht="44.25" customHeight="1">
      <c r="A454" s="33">
        <v>12</v>
      </c>
      <c r="B454" s="34" t="s">
        <v>553</v>
      </c>
      <c r="C454" s="33" t="s">
        <v>43</v>
      </c>
      <c r="D454" s="35" t="s">
        <v>195</v>
      </c>
      <c r="E454" s="35" t="s">
        <v>39</v>
      </c>
      <c r="F454" s="33" t="s">
        <v>517</v>
      </c>
      <c r="G454" s="36" t="s">
        <v>419</v>
      </c>
      <c r="H454" s="36" t="s">
        <v>546</v>
      </c>
      <c r="I454" s="37">
        <v>560.60000000000002</v>
      </c>
      <c r="J454" s="37">
        <v>517.79999999999995</v>
      </c>
      <c r="K454" s="37">
        <v>441</v>
      </c>
      <c r="L454" s="38">
        <v>14</v>
      </c>
      <c r="M454" s="39">
        <f t="shared" si="83"/>
        <v>1926850.98</v>
      </c>
      <c r="N454" s="37">
        <v>0</v>
      </c>
      <c r="O454" s="37">
        <v>0</v>
      </c>
      <c r="P454" s="37">
        <v>0</v>
      </c>
      <c r="Q454" s="37">
        <f>'Таблица 3 '!C443</f>
        <v>1926850.98</v>
      </c>
      <c r="R454" s="37">
        <f t="shared" si="84"/>
        <v>1926850.98</v>
      </c>
      <c r="S454" s="37">
        <v>0</v>
      </c>
      <c r="T454" s="37">
        <f t="shared" si="77"/>
        <v>3721.226303592121</v>
      </c>
      <c r="U454" s="39">
        <f t="shared" si="78"/>
        <v>3721.226303592121</v>
      </c>
      <c r="V454" s="41" t="s">
        <v>45</v>
      </c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31"/>
      <c r="AV454" s="31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31"/>
      <c r="BH454" s="31"/>
      <c r="BI454" s="31"/>
      <c r="BJ454" s="31"/>
      <c r="BK454" s="31"/>
      <c r="BL454" s="31"/>
      <c r="BM454" s="31"/>
      <c r="BN454" s="31"/>
      <c r="BO454" s="31"/>
      <c r="BP454" s="31"/>
      <c r="BQ454" s="31"/>
      <c r="BR454" s="31"/>
      <c r="BS454" s="31"/>
      <c r="BT454" s="31"/>
      <c r="BU454" s="31"/>
      <c r="BV454" s="31"/>
      <c r="BW454" s="31"/>
      <c r="BX454" s="31"/>
      <c r="BY454" s="31"/>
      <c r="BZ454" s="31"/>
      <c r="CA454" s="31"/>
      <c r="CB454" s="31"/>
      <c r="CC454" s="31"/>
      <c r="CD454" s="31"/>
      <c r="CE454" s="31"/>
      <c r="CF454" s="31"/>
      <c r="CG454" s="31"/>
      <c r="CH454" s="31"/>
      <c r="CI454" s="31"/>
      <c r="CJ454" s="31"/>
      <c r="CK454" s="31"/>
      <c r="CL454" s="31"/>
      <c r="CM454" s="31"/>
      <c r="CN454" s="31"/>
      <c r="CO454" s="31"/>
      <c r="CP454" s="31"/>
      <c r="CQ454" s="31"/>
      <c r="CR454" s="60"/>
    </row>
    <row r="455" s="60" customFormat="1" ht="44.25" customHeight="1">
      <c r="A455" s="33">
        <v>13</v>
      </c>
      <c r="B455" s="34" t="s">
        <v>554</v>
      </c>
      <c r="C455" s="33" t="s">
        <v>43</v>
      </c>
      <c r="D455" s="35" t="s">
        <v>79</v>
      </c>
      <c r="E455" s="35" t="s">
        <v>39</v>
      </c>
      <c r="F455" s="33" t="s">
        <v>77</v>
      </c>
      <c r="G455" s="36" t="s">
        <v>413</v>
      </c>
      <c r="H455" s="36">
        <v>1</v>
      </c>
      <c r="I455" s="37">
        <v>1884.0999999999999</v>
      </c>
      <c r="J455" s="37">
        <v>1706.0999999999999</v>
      </c>
      <c r="K455" s="37">
        <f>1706.1-355.3</f>
        <v>1350.8</v>
      </c>
      <c r="L455" s="38">
        <v>97</v>
      </c>
      <c r="M455" s="39">
        <f t="shared" si="83"/>
        <v>288915.08000000002</v>
      </c>
      <c r="N455" s="37">
        <v>0</v>
      </c>
      <c r="O455" s="37">
        <v>0</v>
      </c>
      <c r="P455" s="37">
        <v>0</v>
      </c>
      <c r="Q455" s="37">
        <f>'Таблица 3 '!C444</f>
        <v>288915.08000000002</v>
      </c>
      <c r="R455" s="37">
        <f t="shared" si="84"/>
        <v>288915.08000000002</v>
      </c>
      <c r="S455" s="37">
        <v>0</v>
      </c>
      <c r="T455" s="37">
        <f t="shared" si="77"/>
        <v>169.34240665846085</v>
      </c>
      <c r="U455" s="39">
        <f t="shared" si="78"/>
        <v>169.34240665846085</v>
      </c>
      <c r="V455" s="41" t="s">
        <v>45</v>
      </c>
      <c r="W455" s="60"/>
      <c r="X455" s="60"/>
      <c r="Y455" s="60"/>
      <c r="Z455" s="60"/>
      <c r="AA455" s="60"/>
      <c r="AB455" s="60"/>
      <c r="AC455" s="60"/>
      <c r="AD455" s="60"/>
      <c r="AE455" s="60"/>
      <c r="AF455" s="60"/>
      <c r="AG455" s="60"/>
      <c r="AH455" s="60"/>
      <c r="AI455" s="60"/>
      <c r="AJ455" s="60"/>
      <c r="AK455" s="60"/>
      <c r="AL455" s="60"/>
      <c r="AM455" s="60"/>
      <c r="AN455" s="60"/>
      <c r="AO455" s="60"/>
      <c r="AP455" s="60"/>
      <c r="AQ455" s="60"/>
      <c r="AR455" s="60"/>
      <c r="AS455" s="60"/>
      <c r="AT455" s="60"/>
      <c r="AU455" s="60"/>
      <c r="AV455" s="60"/>
      <c r="AW455" s="60"/>
      <c r="AX455" s="60"/>
      <c r="AY455" s="60"/>
      <c r="AZ455" s="60"/>
      <c r="BA455" s="60"/>
      <c r="BB455" s="60"/>
      <c r="BC455" s="60"/>
      <c r="BD455" s="60"/>
      <c r="BE455" s="60"/>
      <c r="BF455" s="60"/>
      <c r="BG455" s="60"/>
      <c r="BH455" s="60"/>
      <c r="BI455" s="60"/>
      <c r="BJ455" s="60"/>
      <c r="BK455" s="60"/>
      <c r="BL455" s="60"/>
      <c r="BM455" s="60"/>
      <c r="BN455" s="60"/>
      <c r="BO455" s="60"/>
      <c r="BP455" s="60"/>
      <c r="BQ455" s="60"/>
      <c r="BR455" s="60"/>
      <c r="BS455" s="60"/>
      <c r="BT455" s="60"/>
      <c r="BU455" s="60"/>
      <c r="BV455" s="60"/>
      <c r="BW455" s="60"/>
      <c r="BX455" s="60"/>
      <c r="BY455" s="60"/>
      <c r="BZ455" s="60"/>
      <c r="CA455" s="60"/>
      <c r="CB455" s="60"/>
      <c r="CC455" s="60"/>
      <c r="CD455" s="60"/>
      <c r="CE455" s="60"/>
      <c r="CF455" s="60"/>
      <c r="CG455" s="60"/>
      <c r="CH455" s="60"/>
      <c r="CI455" s="60"/>
      <c r="CJ455" s="60"/>
      <c r="CK455" s="60"/>
      <c r="CL455" s="60"/>
      <c r="CM455" s="60"/>
      <c r="CN455" s="60"/>
      <c r="CO455" s="60"/>
      <c r="CP455" s="60"/>
      <c r="CQ455" s="60"/>
      <c r="CR455" s="60"/>
    </row>
    <row r="456" s="60" customFormat="1" ht="44.25" customHeight="1">
      <c r="A456" s="33">
        <v>14</v>
      </c>
      <c r="B456" s="34" t="s">
        <v>555</v>
      </c>
      <c r="C456" s="33" t="s">
        <v>43</v>
      </c>
      <c r="D456" s="35" t="s">
        <v>369</v>
      </c>
      <c r="E456" s="35" t="s">
        <v>556</v>
      </c>
      <c r="F456" s="33" t="s">
        <v>77</v>
      </c>
      <c r="G456" s="36" t="s">
        <v>413</v>
      </c>
      <c r="H456" s="36">
        <v>4</v>
      </c>
      <c r="I456" s="40">
        <v>3187.6999999999998</v>
      </c>
      <c r="J456" s="40">
        <v>2777.6999999999998</v>
      </c>
      <c r="K456" s="40">
        <v>2777.6999999999998</v>
      </c>
      <c r="L456" s="48">
        <v>102</v>
      </c>
      <c r="M456" s="39">
        <f t="shared" si="83"/>
        <v>9563903.4399999995</v>
      </c>
      <c r="N456" s="37">
        <v>0</v>
      </c>
      <c r="O456" s="37">
        <v>0</v>
      </c>
      <c r="P456" s="37">
        <v>0</v>
      </c>
      <c r="Q456" s="37">
        <f>'Таблица 3 '!C445</f>
        <v>9563903.4399999995</v>
      </c>
      <c r="R456" s="37">
        <f t="shared" si="84"/>
        <v>9563903.4399999995</v>
      </c>
      <c r="S456" s="37">
        <v>0</v>
      </c>
      <c r="T456" s="40">
        <f t="shared" si="77"/>
        <v>3443.1016452460667</v>
      </c>
      <c r="U456" s="87">
        <f t="shared" si="78"/>
        <v>3443.1016452460667</v>
      </c>
      <c r="V456" s="41" t="s">
        <v>45</v>
      </c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31"/>
      <c r="AV456" s="3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31"/>
      <c r="BH456" s="31"/>
      <c r="BI456" s="31"/>
      <c r="BJ456" s="31"/>
      <c r="BK456" s="31"/>
      <c r="BL456" s="31"/>
      <c r="BM456" s="31"/>
      <c r="BN456" s="31"/>
      <c r="BO456" s="31"/>
      <c r="BP456" s="31"/>
      <c r="BQ456" s="31"/>
      <c r="BR456" s="31"/>
      <c r="BS456" s="31"/>
      <c r="BT456" s="31"/>
      <c r="BU456" s="31"/>
      <c r="BV456" s="31"/>
      <c r="BW456" s="31"/>
      <c r="BX456" s="31"/>
      <c r="BY456" s="31"/>
      <c r="BZ456" s="31"/>
      <c r="CA456" s="31"/>
      <c r="CB456" s="31"/>
      <c r="CC456" s="31"/>
      <c r="CD456" s="31"/>
      <c r="CE456" s="31"/>
      <c r="CF456" s="31"/>
      <c r="CG456" s="31"/>
      <c r="CH456" s="31"/>
      <c r="CI456" s="31"/>
      <c r="CJ456" s="31"/>
      <c r="CK456" s="31"/>
      <c r="CL456" s="31"/>
      <c r="CM456" s="31"/>
      <c r="CN456" s="31"/>
      <c r="CO456" s="31"/>
      <c r="CP456" s="31"/>
      <c r="CQ456" s="31"/>
    </row>
    <row r="457" s="60" customFormat="1" ht="44.25" customHeight="1">
      <c r="A457" s="33">
        <v>15</v>
      </c>
      <c r="B457" s="34" t="s">
        <v>557</v>
      </c>
      <c r="C457" s="33" t="s">
        <v>43</v>
      </c>
      <c r="D457" s="35" t="s">
        <v>79</v>
      </c>
      <c r="E457" s="35" t="s">
        <v>39</v>
      </c>
      <c r="F457" s="33" t="s">
        <v>77</v>
      </c>
      <c r="G457" s="36" t="s">
        <v>419</v>
      </c>
      <c r="H457" s="36" t="s">
        <v>419</v>
      </c>
      <c r="I457" s="37">
        <v>671.60000000000002</v>
      </c>
      <c r="J457" s="37">
        <v>621.71000000000004</v>
      </c>
      <c r="K457" s="37">
        <v>621.71000000000004</v>
      </c>
      <c r="L457" s="38">
        <v>33</v>
      </c>
      <c r="M457" s="39">
        <f t="shared" si="83"/>
        <v>494917.34999999998</v>
      </c>
      <c r="N457" s="37">
        <v>0</v>
      </c>
      <c r="O457" s="37">
        <v>0</v>
      </c>
      <c r="P457" s="37">
        <v>0</v>
      </c>
      <c r="Q457" s="37">
        <f>'Таблица 3 '!C446</f>
        <v>494917.34999999998</v>
      </c>
      <c r="R457" s="37">
        <f t="shared" si="84"/>
        <v>494917.34999999998</v>
      </c>
      <c r="S457" s="37">
        <v>0</v>
      </c>
      <c r="T457" s="37">
        <f t="shared" si="77"/>
        <v>796.05821041964896</v>
      </c>
      <c r="U457" s="39">
        <f t="shared" si="78"/>
        <v>796.05821041964896</v>
      </c>
      <c r="V457" s="41" t="s">
        <v>45</v>
      </c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31"/>
      <c r="AV457" s="31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31"/>
      <c r="BH457" s="31"/>
      <c r="BI457" s="31"/>
      <c r="BJ457" s="31"/>
      <c r="BK457" s="31"/>
      <c r="BL457" s="31"/>
      <c r="BM457" s="31"/>
      <c r="BN457" s="31"/>
      <c r="BO457" s="31"/>
      <c r="BP457" s="31"/>
      <c r="BQ457" s="31"/>
      <c r="BR457" s="31"/>
      <c r="BS457" s="31"/>
      <c r="BT457" s="31"/>
      <c r="BU457" s="31"/>
      <c r="BV457" s="31"/>
      <c r="BW457" s="31"/>
      <c r="BX457" s="31"/>
      <c r="BY457" s="31"/>
      <c r="BZ457" s="31"/>
      <c r="CA457" s="31"/>
      <c r="CB457" s="31"/>
      <c r="CC457" s="31"/>
      <c r="CD457" s="31"/>
      <c r="CE457" s="31"/>
      <c r="CF457" s="31"/>
      <c r="CG457" s="31"/>
      <c r="CH457" s="31"/>
      <c r="CI457" s="31"/>
      <c r="CJ457" s="31"/>
      <c r="CK457" s="31"/>
      <c r="CL457" s="31"/>
      <c r="CM457" s="31"/>
      <c r="CN457" s="31"/>
      <c r="CO457" s="31"/>
      <c r="CP457" s="31"/>
      <c r="CQ457" s="31"/>
    </row>
    <row r="458" s="60" customFormat="1" ht="44.25" customHeight="1">
      <c r="A458" s="33">
        <v>16</v>
      </c>
      <c r="B458" s="34" t="s">
        <v>558</v>
      </c>
      <c r="C458" s="33" t="s">
        <v>43</v>
      </c>
      <c r="D458" s="35" t="s">
        <v>93</v>
      </c>
      <c r="E458" s="35" t="s">
        <v>39</v>
      </c>
      <c r="F458" s="33" t="s">
        <v>77</v>
      </c>
      <c r="G458" s="36" t="s">
        <v>419</v>
      </c>
      <c r="H458" s="36" t="s">
        <v>419</v>
      </c>
      <c r="I458" s="37">
        <v>670.79999999999995</v>
      </c>
      <c r="J458" s="37">
        <v>620.88999999999999</v>
      </c>
      <c r="K458" s="37">
        <v>513.09000000000003</v>
      </c>
      <c r="L458" s="38">
        <v>24</v>
      </c>
      <c r="M458" s="39">
        <f t="shared" si="83"/>
        <v>495769.45000000001</v>
      </c>
      <c r="N458" s="37">
        <v>0</v>
      </c>
      <c r="O458" s="37">
        <v>0</v>
      </c>
      <c r="P458" s="37">
        <v>0</v>
      </c>
      <c r="Q458" s="37">
        <f>'Таблица 3 '!C447</f>
        <v>495769.45000000001</v>
      </c>
      <c r="R458" s="37">
        <f t="shared" si="84"/>
        <v>495769.45000000001</v>
      </c>
      <c r="S458" s="37">
        <v>0</v>
      </c>
      <c r="T458" s="37">
        <f t="shared" si="77"/>
        <v>798.48193721915322</v>
      </c>
      <c r="U458" s="39">
        <f t="shared" si="78"/>
        <v>798.48193721915322</v>
      </c>
      <c r="V458" s="41" t="s">
        <v>45</v>
      </c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31"/>
      <c r="AV458" s="31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31"/>
      <c r="BH458" s="31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31"/>
      <c r="BT458" s="31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31"/>
      <c r="CF458" s="31"/>
      <c r="CG458" s="31"/>
      <c r="CH458" s="31"/>
      <c r="CI458" s="31"/>
      <c r="CJ458" s="31"/>
      <c r="CK458" s="31"/>
      <c r="CL458" s="31"/>
      <c r="CM458" s="31"/>
      <c r="CN458" s="31"/>
      <c r="CO458" s="31"/>
      <c r="CP458" s="31"/>
      <c r="CQ458" s="31"/>
    </row>
    <row r="459" s="60" customFormat="1" ht="48.75" customHeight="1">
      <c r="A459" s="33">
        <v>17</v>
      </c>
      <c r="B459" s="34" t="s">
        <v>559</v>
      </c>
      <c r="C459" s="33" t="s">
        <v>43</v>
      </c>
      <c r="D459" s="35" t="s">
        <v>135</v>
      </c>
      <c r="E459" s="35" t="s">
        <v>560</v>
      </c>
      <c r="F459" s="33" t="s">
        <v>77</v>
      </c>
      <c r="G459" s="36" t="s">
        <v>419</v>
      </c>
      <c r="H459" s="36" t="s">
        <v>419</v>
      </c>
      <c r="I459" s="37">
        <v>750.10000000000002</v>
      </c>
      <c r="J459" s="37">
        <v>719.70000000000005</v>
      </c>
      <c r="K459" s="37">
        <v>240.30000000000001</v>
      </c>
      <c r="L459" s="38">
        <v>29</v>
      </c>
      <c r="M459" s="39">
        <f t="shared" si="83"/>
        <v>590729.73999999999</v>
      </c>
      <c r="N459" s="37">
        <v>0</v>
      </c>
      <c r="O459" s="37">
        <v>0</v>
      </c>
      <c r="P459" s="37">
        <v>0</v>
      </c>
      <c r="Q459" s="37">
        <f>'Таблица 3 '!C448</f>
        <v>590729.73999999999</v>
      </c>
      <c r="R459" s="37">
        <f t="shared" si="84"/>
        <v>590729.73999999999</v>
      </c>
      <c r="S459" s="37">
        <v>0</v>
      </c>
      <c r="T459" s="40">
        <f t="shared" si="77"/>
        <v>820.7999722106432</v>
      </c>
      <c r="U459" s="87">
        <f t="shared" si="78"/>
        <v>820.7999722106432</v>
      </c>
      <c r="V459" s="41" t="s">
        <v>45</v>
      </c>
      <c r="W459" s="60"/>
    </row>
    <row r="460" s="60" customFormat="1" ht="24.75" customHeight="1">
      <c r="A460" s="25" t="s">
        <v>561</v>
      </c>
      <c r="B460" s="25"/>
      <c r="C460" s="82" t="s">
        <v>39</v>
      </c>
      <c r="D460" s="83" t="s">
        <v>39</v>
      </c>
      <c r="E460" s="84" t="s">
        <v>39</v>
      </c>
      <c r="F460" s="82" t="s">
        <v>39</v>
      </c>
      <c r="G460" s="85" t="s">
        <v>39</v>
      </c>
      <c r="H460" s="85" t="s">
        <v>39</v>
      </c>
      <c r="I460" s="29">
        <f>SUM(I461:I463)</f>
        <v>1529.26</v>
      </c>
      <c r="J460" s="29">
        <f>SUM(J461:J463)</f>
        <v>1406.3000000000002</v>
      </c>
      <c r="K460" s="29">
        <f>SUM(K461:K463)</f>
        <v>1406.3000000000002</v>
      </c>
      <c r="L460" s="30">
        <f>SUM(L461:L463)</f>
        <v>72</v>
      </c>
      <c r="M460" s="29">
        <f>SUM(M461:M463)</f>
        <v>5523218.6899999995</v>
      </c>
      <c r="N460" s="29">
        <f>SUM(N461:N463)</f>
        <v>0</v>
      </c>
      <c r="O460" s="29">
        <f>SUM(O461:O463)</f>
        <v>0</v>
      </c>
      <c r="P460" s="29">
        <f>SUM(P461:P463)</f>
        <v>0</v>
      </c>
      <c r="Q460" s="29">
        <f>SUM(Q461:Q463)</f>
        <v>5523218.6899999995</v>
      </c>
      <c r="R460" s="29">
        <f>SUM(R461:R463)</f>
        <v>5523218.6899999995</v>
      </c>
      <c r="S460" s="29">
        <f>SUM(S461:S463)</f>
        <v>0</v>
      </c>
      <c r="T460" s="32" t="s">
        <v>39</v>
      </c>
      <c r="U460" s="32" t="s">
        <v>39</v>
      </c>
      <c r="V460" s="28" t="s">
        <v>39</v>
      </c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31"/>
      <c r="AV460" s="31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31"/>
      <c r="BH460" s="31"/>
      <c r="BI460" s="31"/>
      <c r="BJ460" s="31"/>
      <c r="BK460" s="31"/>
      <c r="BL460" s="31"/>
      <c r="BM460" s="31"/>
      <c r="BN460" s="31"/>
      <c r="BO460" s="31"/>
      <c r="BP460" s="31"/>
      <c r="BQ460" s="31"/>
      <c r="BR460" s="31"/>
      <c r="BS460" s="31"/>
      <c r="BT460" s="31"/>
      <c r="BU460" s="31"/>
      <c r="BV460" s="31"/>
      <c r="BW460" s="31"/>
      <c r="BX460" s="31"/>
      <c r="BY460" s="31"/>
      <c r="BZ460" s="31"/>
      <c r="CA460" s="31"/>
      <c r="CB460" s="31"/>
      <c r="CC460" s="31"/>
      <c r="CD460" s="31"/>
      <c r="CE460" s="31"/>
      <c r="CF460" s="31"/>
      <c r="CG460" s="31"/>
      <c r="CH460" s="31"/>
      <c r="CI460" s="31"/>
      <c r="CJ460" s="31"/>
      <c r="CK460" s="31"/>
      <c r="CL460" s="31"/>
      <c r="CM460" s="31"/>
      <c r="CN460" s="31"/>
      <c r="CO460" s="31"/>
      <c r="CP460" s="31"/>
      <c r="CQ460" s="100"/>
    </row>
    <row r="461" s="60" customFormat="1" ht="42" customHeight="1">
      <c r="A461" s="33">
        <v>1</v>
      </c>
      <c r="B461" s="117" t="s">
        <v>562</v>
      </c>
      <c r="C461" s="33" t="s">
        <v>43</v>
      </c>
      <c r="D461" s="35" t="s">
        <v>266</v>
      </c>
      <c r="E461" s="35" t="s">
        <v>39</v>
      </c>
      <c r="F461" s="33" t="s">
        <v>77</v>
      </c>
      <c r="G461" s="36">
        <v>2</v>
      </c>
      <c r="H461" s="36">
        <v>1</v>
      </c>
      <c r="I461" s="37">
        <v>379.66000000000003</v>
      </c>
      <c r="J461" s="37">
        <v>363.30000000000001</v>
      </c>
      <c r="K461" s="37">
        <v>363.30000000000001</v>
      </c>
      <c r="L461" s="38">
        <v>10</v>
      </c>
      <c r="M461" s="37">
        <f>SUM(N461:Q461)</f>
        <v>1802531.01</v>
      </c>
      <c r="N461" s="37">
        <v>0</v>
      </c>
      <c r="O461" s="37">
        <v>0</v>
      </c>
      <c r="P461" s="37">
        <v>0</v>
      </c>
      <c r="Q461" s="37">
        <f>'Таблица 3 '!C450</f>
        <v>1802531.01</v>
      </c>
      <c r="R461" s="37">
        <f>Q461</f>
        <v>1802531.01</v>
      </c>
      <c r="S461" s="37">
        <v>0</v>
      </c>
      <c r="T461" s="37">
        <f t="shared" si="77"/>
        <v>4961.5497109826592</v>
      </c>
      <c r="U461" s="37">
        <f t="shared" si="78"/>
        <v>4961.5497109826592</v>
      </c>
      <c r="V461" s="41" t="s">
        <v>45</v>
      </c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31"/>
      <c r="AV461" s="3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31"/>
      <c r="BH461" s="31"/>
      <c r="BI461" s="31"/>
      <c r="BJ461" s="31"/>
      <c r="BK461" s="31"/>
      <c r="BL461" s="31"/>
      <c r="BM461" s="31"/>
      <c r="BN461" s="31"/>
      <c r="BO461" s="31"/>
      <c r="BP461" s="31"/>
      <c r="BQ461" s="31"/>
      <c r="BR461" s="31"/>
      <c r="BS461" s="31"/>
      <c r="BT461" s="31"/>
      <c r="BU461" s="31"/>
      <c r="BV461" s="31"/>
      <c r="BW461" s="31"/>
      <c r="BX461" s="31"/>
      <c r="BY461" s="31"/>
      <c r="BZ461" s="31"/>
      <c r="CA461" s="31"/>
      <c r="CB461" s="31"/>
      <c r="CC461" s="31"/>
      <c r="CD461" s="31"/>
      <c r="CE461" s="31"/>
      <c r="CF461" s="31"/>
      <c r="CG461" s="31"/>
      <c r="CH461" s="31"/>
      <c r="CI461" s="31"/>
      <c r="CJ461" s="31"/>
      <c r="CK461" s="31"/>
      <c r="CL461" s="31"/>
      <c r="CM461" s="31"/>
      <c r="CN461" s="31"/>
      <c r="CO461" s="31"/>
      <c r="CP461" s="31"/>
      <c r="CQ461" s="31"/>
    </row>
    <row r="462" s="60" customFormat="1" ht="44.25" customHeight="1">
      <c r="A462" s="33">
        <v>2</v>
      </c>
      <c r="B462" s="117" t="s">
        <v>563</v>
      </c>
      <c r="C462" s="33" t="s">
        <v>43</v>
      </c>
      <c r="D462" s="35" t="s">
        <v>168</v>
      </c>
      <c r="E462" s="35" t="s">
        <v>39</v>
      </c>
      <c r="F462" s="33" t="s">
        <v>77</v>
      </c>
      <c r="G462" s="36" t="s">
        <v>419</v>
      </c>
      <c r="H462" s="36" t="s">
        <v>419</v>
      </c>
      <c r="I462" s="37">
        <v>726.60000000000002</v>
      </c>
      <c r="J462" s="37">
        <v>701.89999999999998</v>
      </c>
      <c r="K462" s="37">
        <v>701.89999999999998</v>
      </c>
      <c r="L462" s="38">
        <v>42</v>
      </c>
      <c r="M462" s="39">
        <f t="shared" si="83"/>
        <v>3541723.96</v>
      </c>
      <c r="N462" s="37">
        <v>0</v>
      </c>
      <c r="O462" s="37">
        <v>0</v>
      </c>
      <c r="P462" s="37">
        <v>0</v>
      </c>
      <c r="Q462" s="37">
        <f>'Таблица 3 '!C451</f>
        <v>3541723.96</v>
      </c>
      <c r="R462" s="37">
        <f t="shared" si="84"/>
        <v>3541723.96</v>
      </c>
      <c r="S462" s="37">
        <v>0</v>
      </c>
      <c r="T462" s="40">
        <f t="shared" si="77"/>
        <v>5045.909616754524</v>
      </c>
      <c r="U462" s="87">
        <f t="shared" si="78"/>
        <v>5045.909616754524</v>
      </c>
      <c r="V462" s="41" t="s">
        <v>45</v>
      </c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31"/>
      <c r="AV462" s="31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31"/>
      <c r="BH462" s="31"/>
      <c r="BI462" s="31"/>
      <c r="BJ462" s="31"/>
      <c r="BK462" s="31"/>
      <c r="BL462" s="31"/>
      <c r="BM462" s="31"/>
      <c r="BN462" s="31"/>
      <c r="BO462" s="31"/>
      <c r="BP462" s="31"/>
      <c r="BQ462" s="31"/>
      <c r="BR462" s="31"/>
      <c r="BS462" s="31"/>
      <c r="BT462" s="31"/>
      <c r="BU462" s="31"/>
      <c r="BV462" s="31"/>
      <c r="BW462" s="31"/>
      <c r="BX462" s="31"/>
      <c r="BY462" s="31"/>
      <c r="BZ462" s="31"/>
      <c r="CA462" s="31"/>
      <c r="CB462" s="31"/>
      <c r="CC462" s="31"/>
      <c r="CD462" s="31"/>
      <c r="CE462" s="31"/>
      <c r="CF462" s="31"/>
      <c r="CG462" s="31"/>
      <c r="CH462" s="31"/>
      <c r="CI462" s="31"/>
      <c r="CJ462" s="31"/>
      <c r="CK462" s="31"/>
      <c r="CL462" s="31"/>
      <c r="CM462" s="31"/>
      <c r="CN462" s="31"/>
      <c r="CO462" s="31"/>
      <c r="CP462" s="31"/>
      <c r="CQ462" s="31"/>
    </row>
    <row r="463" s="60" customFormat="1" ht="44.25" customHeight="1">
      <c r="A463" s="33">
        <v>3</v>
      </c>
      <c r="B463" s="118" t="s">
        <v>564</v>
      </c>
      <c r="C463" s="119" t="s">
        <v>43</v>
      </c>
      <c r="D463" s="120" t="s">
        <v>565</v>
      </c>
      <c r="E463" s="121" t="s">
        <v>39</v>
      </c>
      <c r="F463" s="122" t="s">
        <v>566</v>
      </c>
      <c r="G463" s="123">
        <v>2</v>
      </c>
      <c r="H463" s="124">
        <v>3</v>
      </c>
      <c r="I463" s="125">
        <v>423</v>
      </c>
      <c r="J463" s="126">
        <v>341.10000000000002</v>
      </c>
      <c r="K463" s="125">
        <v>341.10000000000002</v>
      </c>
      <c r="L463" s="127">
        <v>20</v>
      </c>
      <c r="M463" s="125">
        <f t="shared" si="83"/>
        <v>178963.72</v>
      </c>
      <c r="N463" s="126">
        <v>0</v>
      </c>
      <c r="O463" s="125">
        <v>0</v>
      </c>
      <c r="P463" s="126">
        <v>0</v>
      </c>
      <c r="Q463" s="37">
        <f>'Таблица 3 '!C452</f>
        <v>178963.72</v>
      </c>
      <c r="R463" s="126">
        <f t="shared" si="84"/>
        <v>178963.72</v>
      </c>
      <c r="S463" s="125">
        <v>0</v>
      </c>
      <c r="T463" s="126">
        <f t="shared" si="77"/>
        <v>524.66643213133977</v>
      </c>
      <c r="U463" s="125">
        <f t="shared" si="78"/>
        <v>524.66643213133977</v>
      </c>
      <c r="V463" s="128" t="s">
        <v>45</v>
      </c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  <c r="BH463" s="47"/>
      <c r="BI463" s="47"/>
      <c r="BJ463" s="47"/>
      <c r="BK463" s="47"/>
      <c r="BL463" s="47"/>
      <c r="BM463" s="47"/>
      <c r="BN463" s="47"/>
      <c r="BO463" s="47"/>
      <c r="BP463" s="47"/>
      <c r="BQ463" s="47"/>
      <c r="BR463" s="47"/>
      <c r="BS463" s="47"/>
      <c r="BT463" s="47"/>
      <c r="BU463" s="47"/>
      <c r="BV463" s="47"/>
      <c r="BW463" s="47"/>
      <c r="BX463" s="47"/>
      <c r="BY463" s="47"/>
      <c r="BZ463" s="47"/>
      <c r="CA463" s="47"/>
      <c r="CB463" s="47"/>
      <c r="CC463" s="47"/>
      <c r="CD463" s="47"/>
      <c r="CE463" s="47"/>
      <c r="CF463" s="47"/>
      <c r="CG463" s="47"/>
      <c r="CH463" s="47"/>
      <c r="CI463" s="47"/>
      <c r="CJ463" s="47"/>
      <c r="CK463" s="47"/>
      <c r="CL463" s="47"/>
      <c r="CM463" s="47"/>
      <c r="CN463" s="47"/>
      <c r="CO463" s="47"/>
      <c r="CP463" s="47"/>
      <c r="CQ463" s="47"/>
    </row>
    <row r="464" s="60" customFormat="1" ht="24.75" customHeight="1">
      <c r="A464" s="25" t="s">
        <v>567</v>
      </c>
      <c r="B464" s="25"/>
      <c r="C464" s="82" t="s">
        <v>39</v>
      </c>
      <c r="D464" s="83" t="s">
        <v>39</v>
      </c>
      <c r="E464" s="84" t="s">
        <v>39</v>
      </c>
      <c r="F464" s="82" t="s">
        <v>39</v>
      </c>
      <c r="G464" s="85" t="s">
        <v>39</v>
      </c>
      <c r="H464" s="85" t="s">
        <v>39</v>
      </c>
      <c r="I464" s="29">
        <f>SUM(I465:I466)</f>
        <v>2057</v>
      </c>
      <c r="J464" s="29">
        <f>SUM(J465:J466)</f>
        <v>1224.1100000000001</v>
      </c>
      <c r="K464" s="29">
        <f>SUM(K465:K466)</f>
        <v>1190.21</v>
      </c>
      <c r="L464" s="30">
        <f>SUM(L465:L466)</f>
        <v>55</v>
      </c>
      <c r="M464" s="29">
        <f>SUM(M465:M466)</f>
        <v>3431485.71</v>
      </c>
      <c r="N464" s="29">
        <f>SUM(N465:N466)</f>
        <v>0</v>
      </c>
      <c r="O464" s="29">
        <f>SUM(O465:O466)</f>
        <v>0</v>
      </c>
      <c r="P464" s="29">
        <f>SUM(P465:P466)</f>
        <v>0</v>
      </c>
      <c r="Q464" s="29">
        <f>SUM(Q465:Q466)</f>
        <v>3431485.71</v>
      </c>
      <c r="R464" s="29">
        <f>SUM(R465:R466)</f>
        <v>3431485.71</v>
      </c>
      <c r="S464" s="29">
        <f>SUM(S465:S466)</f>
        <v>0</v>
      </c>
      <c r="T464" s="32" t="s">
        <v>39</v>
      </c>
      <c r="U464" s="32" t="s">
        <v>39</v>
      </c>
      <c r="V464" s="28" t="s">
        <v>39</v>
      </c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31"/>
      <c r="BR464" s="31"/>
      <c r="BS464" s="31"/>
      <c r="BT464" s="31"/>
      <c r="BU464" s="31"/>
      <c r="BV464" s="31"/>
      <c r="BW464" s="31"/>
      <c r="BX464" s="31"/>
      <c r="BY464" s="31"/>
      <c r="BZ464" s="31"/>
      <c r="CA464" s="31"/>
      <c r="CB464" s="31"/>
      <c r="CC464" s="31"/>
      <c r="CD464" s="31"/>
      <c r="CE464" s="31"/>
      <c r="CF464" s="31"/>
      <c r="CG464" s="31"/>
      <c r="CH464" s="31"/>
      <c r="CI464" s="31"/>
      <c r="CJ464" s="31"/>
      <c r="CK464" s="31"/>
      <c r="CL464" s="31"/>
      <c r="CM464" s="31"/>
      <c r="CN464" s="31"/>
      <c r="CO464" s="31"/>
      <c r="CP464" s="31"/>
      <c r="CQ464" s="100"/>
    </row>
    <row r="465" s="60" customFormat="1" ht="45" customHeight="1">
      <c r="A465" s="33">
        <v>1</v>
      </c>
      <c r="B465" s="50" t="s">
        <v>568</v>
      </c>
      <c r="C465" s="99" t="s">
        <v>43</v>
      </c>
      <c r="D465" s="33" t="s">
        <v>91</v>
      </c>
      <c r="E465" s="35" t="s">
        <v>40</v>
      </c>
      <c r="F465" s="33" t="s">
        <v>48</v>
      </c>
      <c r="G465" s="36">
        <v>2</v>
      </c>
      <c r="H465" s="36">
        <v>2</v>
      </c>
      <c r="I465" s="37">
        <v>1027</v>
      </c>
      <c r="J465" s="37">
        <v>611.50999999999999</v>
      </c>
      <c r="K465" s="37">
        <v>611.50999999999999</v>
      </c>
      <c r="L465" s="38">
        <v>29</v>
      </c>
      <c r="M465" s="39">
        <f>SUM(N465:Q465)</f>
        <v>1746872.9099999999</v>
      </c>
      <c r="N465" s="37">
        <v>0</v>
      </c>
      <c r="O465" s="37">
        <v>0</v>
      </c>
      <c r="P465" s="37">
        <v>0</v>
      </c>
      <c r="Q465" s="37">
        <f>'Таблица 3 '!C454</f>
        <v>1746872.9099999999</v>
      </c>
      <c r="R465" s="37">
        <f>Q465</f>
        <v>1746872.9099999999</v>
      </c>
      <c r="S465" s="37">
        <v>0</v>
      </c>
      <c r="T465" s="40">
        <f t="shared" si="77"/>
        <v>2856.6546908472469</v>
      </c>
      <c r="U465" s="87">
        <f t="shared" si="78"/>
        <v>2856.6546908472469</v>
      </c>
      <c r="V465" s="41" t="s">
        <v>45</v>
      </c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31"/>
      <c r="AV465" s="31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31"/>
      <c r="BH465" s="31"/>
      <c r="BI465" s="31"/>
      <c r="BJ465" s="31"/>
      <c r="BK465" s="31"/>
      <c r="BL465" s="31"/>
      <c r="BM465" s="31"/>
      <c r="BN465" s="31"/>
      <c r="BO465" s="31"/>
      <c r="BP465" s="31"/>
      <c r="BQ465" s="31"/>
      <c r="BR465" s="31"/>
      <c r="BS465" s="31"/>
      <c r="BT465" s="31"/>
      <c r="BU465" s="31"/>
      <c r="BV465" s="31"/>
      <c r="BW465" s="31"/>
      <c r="BX465" s="31"/>
      <c r="BY465" s="31"/>
      <c r="BZ465" s="31"/>
      <c r="CA465" s="31"/>
      <c r="CB465" s="31"/>
      <c r="CC465" s="31"/>
      <c r="CD465" s="31"/>
      <c r="CE465" s="31"/>
      <c r="CF465" s="31"/>
      <c r="CG465" s="31"/>
      <c r="CH465" s="31"/>
      <c r="CI465" s="31"/>
      <c r="CJ465" s="31"/>
      <c r="CK465" s="31"/>
      <c r="CL465" s="31"/>
      <c r="CM465" s="31"/>
      <c r="CN465" s="31"/>
      <c r="CO465" s="31"/>
      <c r="CP465" s="31"/>
      <c r="CQ465" s="31"/>
    </row>
    <row r="466" s="60" customFormat="1" ht="44.25" customHeight="1">
      <c r="A466" s="33">
        <v>2</v>
      </c>
      <c r="B466" s="50" t="s">
        <v>569</v>
      </c>
      <c r="C466" s="99" t="s">
        <v>43</v>
      </c>
      <c r="D466" s="33" t="s">
        <v>91</v>
      </c>
      <c r="E466" s="35" t="s">
        <v>40</v>
      </c>
      <c r="F466" s="33" t="s">
        <v>48</v>
      </c>
      <c r="G466" s="36">
        <v>2</v>
      </c>
      <c r="H466" s="36">
        <v>2</v>
      </c>
      <c r="I466" s="37">
        <v>1030</v>
      </c>
      <c r="J466" s="37">
        <v>612.60000000000002</v>
      </c>
      <c r="K466" s="37">
        <v>578.70000000000005</v>
      </c>
      <c r="L466" s="38">
        <v>26</v>
      </c>
      <c r="M466" s="39">
        <f t="shared" si="83"/>
        <v>1684612.8</v>
      </c>
      <c r="N466" s="37">
        <v>0</v>
      </c>
      <c r="O466" s="37">
        <v>0</v>
      </c>
      <c r="P466" s="37">
        <v>0</v>
      </c>
      <c r="Q466" s="37">
        <f>'Таблица 3 '!C455</f>
        <v>1684612.8</v>
      </c>
      <c r="R466" s="37">
        <f t="shared" si="84"/>
        <v>1684612.8</v>
      </c>
      <c r="S466" s="37">
        <v>0</v>
      </c>
      <c r="T466" s="40">
        <f t="shared" si="77"/>
        <v>2749.9392752203721</v>
      </c>
      <c r="U466" s="87">
        <f t="shared" si="78"/>
        <v>2749.9392752203721</v>
      </c>
      <c r="V466" s="41" t="s">
        <v>45</v>
      </c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31"/>
      <c r="AV466" s="31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31"/>
      <c r="BH466" s="31"/>
      <c r="BI466" s="31"/>
      <c r="BJ466" s="31"/>
      <c r="BK466" s="31"/>
      <c r="BL466" s="31"/>
      <c r="BM466" s="31"/>
      <c r="BN466" s="31"/>
      <c r="BO466" s="31"/>
      <c r="BP466" s="31"/>
      <c r="BQ466" s="31"/>
      <c r="BR466" s="31"/>
      <c r="BS466" s="31"/>
      <c r="BT466" s="31"/>
      <c r="BU466" s="31"/>
      <c r="BV466" s="31"/>
      <c r="BW466" s="31"/>
      <c r="BX466" s="31"/>
      <c r="BY466" s="31"/>
      <c r="BZ466" s="31"/>
      <c r="CA466" s="31"/>
      <c r="CB466" s="31"/>
      <c r="CC466" s="31"/>
      <c r="CD466" s="31"/>
      <c r="CE466" s="31"/>
      <c r="CF466" s="31"/>
      <c r="CG466" s="31"/>
      <c r="CH466" s="31"/>
      <c r="CI466" s="31"/>
      <c r="CJ466" s="31"/>
      <c r="CK466" s="31"/>
      <c r="CL466" s="31"/>
      <c r="CM466" s="31"/>
      <c r="CN466" s="31"/>
      <c r="CO466" s="31"/>
      <c r="CP466" s="31"/>
      <c r="CQ466" s="31"/>
    </row>
    <row r="467" s="129" customFormat="1" ht="22.199999999999999" customHeight="1">
      <c r="A467" s="21"/>
      <c r="B467" s="21" t="s">
        <v>570</v>
      </c>
      <c r="C467" s="21"/>
      <c r="D467" s="21"/>
      <c r="E467" s="130"/>
      <c r="F467" s="21"/>
      <c r="G467" s="131"/>
      <c r="H467" s="131"/>
      <c r="I467" s="132"/>
      <c r="J467" s="132"/>
      <c r="K467" s="132"/>
      <c r="L467" s="133"/>
      <c r="M467" s="132"/>
      <c r="N467" s="132"/>
      <c r="O467" s="132"/>
      <c r="P467" s="132"/>
      <c r="Q467" s="132"/>
      <c r="R467" s="132"/>
      <c r="S467" s="132"/>
      <c r="T467" s="134"/>
      <c r="U467" s="134"/>
      <c r="V467" s="135"/>
      <c r="W467" s="129"/>
    </row>
    <row r="468" s="31" customFormat="1" ht="25.199999999999999" customHeight="1">
      <c r="A468" s="25" t="s">
        <v>38</v>
      </c>
      <c r="B468" s="25"/>
      <c r="C468" s="26" t="s">
        <v>40</v>
      </c>
      <c r="D468" s="26" t="s">
        <v>40</v>
      </c>
      <c r="E468" s="27" t="s">
        <v>40</v>
      </c>
      <c r="F468" s="26" t="s">
        <v>40</v>
      </c>
      <c r="G468" s="28" t="s">
        <v>40</v>
      </c>
      <c r="H468" s="28" t="s">
        <v>40</v>
      </c>
      <c r="I468" s="29">
        <f>I469+I641+I643+I647+I656+I671+I676+I683+I687+I690+I707+I711+I713+I716+I722+I730+I754+I761+I770+I775+I778+I780+I784+I793+I812+I814</f>
        <v>1051757.1099999996</v>
      </c>
      <c r="J468" s="29">
        <f>J469+J641+J643+J647+J656+J671+J676+J683+J687+J690+J707+J711+J713+J716+J722+J730+J754+J761+J770+J775+J778+J780+J784+J793+J812+J814</f>
        <v>915339.91000000015</v>
      </c>
      <c r="K468" s="29">
        <f>K469+K641+K643+K647+K656+K671+K676+K683+K687+K690+K707+K711+K713+K716+K722+K730+K754+K761+K770+K775+K778+K780+K784+K793+K812+K814</f>
        <v>742291.01000000001</v>
      </c>
      <c r="L468" s="30">
        <f>L469+L641+L643+L647+L656+L671+L676+L683+L687+L690+L707+L711+L713+L716+L722+L730+L754+L761+L770+L775+L778+L780+L784+L793+L812+L814</f>
        <v>30687</v>
      </c>
      <c r="M468" s="29">
        <f>M469+M641+M643+M647+M656+M671+M676+M683+M687+M690+M707+M711+M713+M716+M722+M730+M754+M761+M770+M775+M778+M780+M784+M793+M812+M814</f>
        <v>3260765516.5</v>
      </c>
      <c r="N468" s="29">
        <f>N469+N641+N643+N647+N656+N671+N676+N683+N687+N690+N707+N711+N713+N716+N722+N730+N754+N761+N770+N775+N778+N780+N784+N793+N812+N814</f>
        <v>0</v>
      </c>
      <c r="O468" s="29">
        <f>O469+O641+O643+O647+O656+O671+O676+O683+O687+O690+O707+O711+O713+O716+O722+O730+O754+O761+O770+O775+O778+O780+O784+O793+O812+O814</f>
        <v>0</v>
      </c>
      <c r="P468" s="29">
        <f>P469+P641+P643+P647+P656+P671+P676+P683+P687+P690+P707+P711+P713+P716+P722+P730+P754+P761+P770+P775+P778+P780+P784+P793+P812+P814</f>
        <v>0</v>
      </c>
      <c r="Q468" s="29">
        <f>Q469+Q641+Q643+Q647+Q656+Q671+Q676+Q683+Q687+Q690+Q707+Q711+Q713+Q716+Q722+Q730+Q754+Q761+Q770+Q775+Q778+Q780+Q784+Q793+Q812+Q814</f>
        <v>3260765516.4970403</v>
      </c>
      <c r="R468" s="29">
        <f>R469+R641+R643+R647+R656+R671+R676+R683+R687+R690+R707+R711+R713+R716+R722+R730+R754+R761+R770+R775+R778+R780+R784+R793+R812+R814</f>
        <v>3260765516.5</v>
      </c>
      <c r="S468" s="29">
        <f>S469+S641+S643+S647+S656+S671+S676+S683+S687+S690+S707+S711+S713+S716+S722+S730+S754+S761+S770+S775+S778+S780+S784+S793+S812+S814</f>
        <v>0</v>
      </c>
      <c r="T468" s="32" t="s">
        <v>40</v>
      </c>
      <c r="U468" s="32" t="s">
        <v>40</v>
      </c>
      <c r="V468" s="28" t="s">
        <v>40</v>
      </c>
      <c r="W468" s="31"/>
    </row>
    <row r="469" s="31" customFormat="1" ht="21" customHeight="1">
      <c r="A469" s="25" t="s">
        <v>41</v>
      </c>
      <c r="B469" s="25"/>
      <c r="C469" s="26" t="s">
        <v>39</v>
      </c>
      <c r="D469" s="26" t="s">
        <v>40</v>
      </c>
      <c r="E469" s="27" t="s">
        <v>40</v>
      </c>
      <c r="F469" s="26" t="s">
        <v>40</v>
      </c>
      <c r="G469" s="28" t="s">
        <v>40</v>
      </c>
      <c r="H469" s="28" t="s">
        <v>40</v>
      </c>
      <c r="I469" s="29">
        <f>SUM(I470:I640)</f>
        <v>696978.03999999992</v>
      </c>
      <c r="J469" s="29">
        <f>SUM(J470:J640)</f>
        <v>620283.47999999998</v>
      </c>
      <c r="K469" s="29">
        <f>SUM(K470:K640)</f>
        <v>541281.08999999985</v>
      </c>
      <c r="L469" s="30">
        <f>SUM(L470:L640)</f>
        <v>19926</v>
      </c>
      <c r="M469" s="29">
        <f>SUM(M470:M640)</f>
        <v>2011567326.3200004</v>
      </c>
      <c r="N469" s="29">
        <f>SUM(N470:N640)</f>
        <v>0</v>
      </c>
      <c r="O469" s="29">
        <f>SUM(O470:O640)</f>
        <v>0</v>
      </c>
      <c r="P469" s="29">
        <f>SUM(P470:P640)</f>
        <v>0</v>
      </c>
      <c r="Q469" s="29">
        <f>SUM(Q470:Q640)</f>
        <v>2011567326.3200004</v>
      </c>
      <c r="R469" s="29">
        <f>SUM(R470:R640)</f>
        <v>2011567326.3200004</v>
      </c>
      <c r="S469" s="29">
        <f>SUM(S470:S640)</f>
        <v>0</v>
      </c>
      <c r="T469" s="32" t="s">
        <v>40</v>
      </c>
      <c r="U469" s="32" t="s">
        <v>40</v>
      </c>
      <c r="V469" s="28" t="s">
        <v>40</v>
      </c>
      <c r="W469" s="31"/>
    </row>
    <row r="470" s="31" customFormat="1" ht="42.75" customHeight="1">
      <c r="A470" s="33">
        <v>1</v>
      </c>
      <c r="B470" s="42" t="s">
        <v>571</v>
      </c>
      <c r="C470" s="33" t="s">
        <v>43</v>
      </c>
      <c r="D470" s="35">
        <v>1971</v>
      </c>
      <c r="E470" s="35" t="s">
        <v>39</v>
      </c>
      <c r="F470" s="33" t="s">
        <v>44</v>
      </c>
      <c r="G470" s="36">
        <v>5</v>
      </c>
      <c r="H470" s="36">
        <v>4</v>
      </c>
      <c r="I470" s="37">
        <v>3387.4000000000001</v>
      </c>
      <c r="J470" s="37">
        <v>3357.8000000000002</v>
      </c>
      <c r="K470" s="37">
        <v>3209</v>
      </c>
      <c r="L470" s="38">
        <v>159</v>
      </c>
      <c r="M470" s="39">
        <f t="shared" ref="M470:M533" si="85">SUM(N470:Q470)</f>
        <v>9765558.4700000007</v>
      </c>
      <c r="N470" s="37">
        <v>0</v>
      </c>
      <c r="O470" s="37">
        <v>0</v>
      </c>
      <c r="P470" s="37">
        <v>0</v>
      </c>
      <c r="Q470" s="40">
        <f>'Таблица 3 '!C459</f>
        <v>9765558.4700000007</v>
      </c>
      <c r="R470" s="37">
        <f t="shared" ref="R470:R533" si="86">Q470</f>
        <v>9765558.4700000007</v>
      </c>
      <c r="S470" s="37">
        <v>0</v>
      </c>
      <c r="T470" s="37">
        <f t="shared" ref="T469:T532" si="87">M470/J470</f>
        <v>2908.3204687593066</v>
      </c>
      <c r="U470" s="37">
        <f t="shared" ref="U469:U532" si="88">T470</f>
        <v>2908.3204687593066</v>
      </c>
      <c r="V470" s="41" t="s">
        <v>572</v>
      </c>
      <c r="W470" s="31"/>
    </row>
    <row r="471" s="31" customFormat="1" ht="42.75" customHeight="1">
      <c r="A471" s="33">
        <v>2</v>
      </c>
      <c r="B471" s="42" t="s">
        <v>573</v>
      </c>
      <c r="C471" s="43" t="s">
        <v>43</v>
      </c>
      <c r="D471" s="35" t="s">
        <v>152</v>
      </c>
      <c r="E471" s="44" t="s">
        <v>39</v>
      </c>
      <c r="F471" s="33" t="s">
        <v>383</v>
      </c>
      <c r="G471" s="45">
        <v>5</v>
      </c>
      <c r="H471" s="36">
        <v>4</v>
      </c>
      <c r="I471" s="46">
        <v>3865.5999999999999</v>
      </c>
      <c r="J471" s="37">
        <v>3865.0999999999999</v>
      </c>
      <c r="K471" s="46">
        <v>3729.5</v>
      </c>
      <c r="L471" s="38">
        <v>22</v>
      </c>
      <c r="M471" s="39">
        <f t="shared" si="85"/>
        <v>20890853.77</v>
      </c>
      <c r="N471" s="46">
        <v>0</v>
      </c>
      <c r="O471" s="37">
        <v>0</v>
      </c>
      <c r="P471" s="46">
        <v>0</v>
      </c>
      <c r="Q471" s="40">
        <f>'Таблица 3 '!C460</f>
        <v>20890853.77</v>
      </c>
      <c r="R471" s="46">
        <f t="shared" si="86"/>
        <v>20890853.77</v>
      </c>
      <c r="S471" s="37">
        <v>0</v>
      </c>
      <c r="T471" s="46">
        <f t="shared" si="87"/>
        <v>5404.9969651496731</v>
      </c>
      <c r="U471" s="37">
        <f t="shared" si="88"/>
        <v>5404.9969651496731</v>
      </c>
      <c r="V471" s="41" t="s">
        <v>572</v>
      </c>
      <c r="W471" s="47"/>
    </row>
    <row r="472" s="31" customFormat="1" ht="42.75" customHeight="1">
      <c r="A472" s="33">
        <v>3</v>
      </c>
      <c r="B472" s="42" t="s">
        <v>49</v>
      </c>
      <c r="C472" s="33" t="s">
        <v>43</v>
      </c>
      <c r="D472" s="35">
        <v>1961</v>
      </c>
      <c r="E472" s="35" t="s">
        <v>50</v>
      </c>
      <c r="F472" s="33" t="s">
        <v>44</v>
      </c>
      <c r="G472" s="36">
        <v>2</v>
      </c>
      <c r="H472" s="36">
        <v>1</v>
      </c>
      <c r="I472" s="37">
        <v>293.60000000000002</v>
      </c>
      <c r="J472" s="37">
        <v>292.10000000000002</v>
      </c>
      <c r="K472" s="37">
        <v>212.19999999999999</v>
      </c>
      <c r="L472" s="38">
        <v>22</v>
      </c>
      <c r="M472" s="39">
        <f t="shared" si="85"/>
        <v>452896.73000000004</v>
      </c>
      <c r="N472" s="37">
        <v>0</v>
      </c>
      <c r="O472" s="37">
        <v>0</v>
      </c>
      <c r="P472" s="37">
        <v>0</v>
      </c>
      <c r="Q472" s="40">
        <f>'Таблица 3 '!C461</f>
        <v>452896.73000000004</v>
      </c>
      <c r="R472" s="37">
        <f t="shared" si="86"/>
        <v>452896.73000000004</v>
      </c>
      <c r="S472" s="37">
        <v>0</v>
      </c>
      <c r="T472" s="37">
        <f t="shared" si="87"/>
        <v>1550.4852105443342</v>
      </c>
      <c r="U472" s="37">
        <f t="shared" si="88"/>
        <v>1550.4852105443342</v>
      </c>
      <c r="V472" s="41" t="s">
        <v>572</v>
      </c>
      <c r="W472" s="31"/>
    </row>
    <row r="473" s="31" customFormat="1" ht="42.75" customHeight="1">
      <c r="A473" s="33">
        <v>4</v>
      </c>
      <c r="B473" s="42" t="s">
        <v>574</v>
      </c>
      <c r="C473" s="33" t="s">
        <v>43</v>
      </c>
      <c r="D473" s="35">
        <v>1972</v>
      </c>
      <c r="E473" s="35" t="s">
        <v>39</v>
      </c>
      <c r="F473" s="33" t="s">
        <v>48</v>
      </c>
      <c r="G473" s="36">
        <v>5</v>
      </c>
      <c r="H473" s="36">
        <v>5</v>
      </c>
      <c r="I473" s="37">
        <v>4453.8999999999996</v>
      </c>
      <c r="J473" s="37">
        <v>4448.1000000000004</v>
      </c>
      <c r="K473" s="37">
        <v>4389.6999999999998</v>
      </c>
      <c r="L473" s="38">
        <v>170</v>
      </c>
      <c r="M473" s="39">
        <f t="shared" si="85"/>
        <v>19480545.539999999</v>
      </c>
      <c r="N473" s="37">
        <v>0</v>
      </c>
      <c r="O473" s="37">
        <v>0</v>
      </c>
      <c r="P473" s="37">
        <v>0</v>
      </c>
      <c r="Q473" s="40">
        <f>'Таблица 3 '!C462</f>
        <v>19480545.539999999</v>
      </c>
      <c r="R473" s="37">
        <f t="shared" si="86"/>
        <v>19480545.539999999</v>
      </c>
      <c r="S473" s="37">
        <v>0</v>
      </c>
      <c r="T473" s="37">
        <f t="shared" si="87"/>
        <v>4379.5205908140551</v>
      </c>
      <c r="U473" s="37">
        <f t="shared" si="88"/>
        <v>4379.5205908140551</v>
      </c>
      <c r="V473" s="41" t="s">
        <v>572</v>
      </c>
      <c r="W473" s="31"/>
    </row>
    <row r="474" s="47" customFormat="1" ht="42.75" customHeight="1">
      <c r="A474" s="33">
        <v>5</v>
      </c>
      <c r="B474" s="34" t="s">
        <v>54</v>
      </c>
      <c r="C474" s="43" t="s">
        <v>43</v>
      </c>
      <c r="D474" s="35">
        <v>1972</v>
      </c>
      <c r="E474" s="44" t="s">
        <v>39</v>
      </c>
      <c r="F474" s="33" t="s">
        <v>48</v>
      </c>
      <c r="G474" s="45">
        <v>5</v>
      </c>
      <c r="H474" s="36">
        <v>4</v>
      </c>
      <c r="I474" s="46">
        <v>3881.5999999999999</v>
      </c>
      <c r="J474" s="37">
        <v>3857.9000000000001</v>
      </c>
      <c r="K474" s="46">
        <v>3756.6999999999998</v>
      </c>
      <c r="L474" s="38">
        <v>189</v>
      </c>
      <c r="M474" s="39">
        <f t="shared" si="85"/>
        <v>350382</v>
      </c>
      <c r="N474" s="46">
        <v>0</v>
      </c>
      <c r="O474" s="37">
        <v>0</v>
      </c>
      <c r="P474" s="46">
        <v>0</v>
      </c>
      <c r="Q474" s="40">
        <f>'Таблица 3 '!C463</f>
        <v>350382</v>
      </c>
      <c r="R474" s="46">
        <f t="shared" si="86"/>
        <v>350382</v>
      </c>
      <c r="S474" s="37">
        <v>0</v>
      </c>
      <c r="T474" s="46">
        <f t="shared" si="87"/>
        <v>90.82194976541642</v>
      </c>
      <c r="U474" s="37">
        <f t="shared" si="88"/>
        <v>90.82194976541642</v>
      </c>
      <c r="V474" s="41" t="s">
        <v>572</v>
      </c>
      <c r="W474" s="47"/>
    </row>
    <row r="475" s="31" customFormat="1" ht="42.75" customHeight="1">
      <c r="A475" s="33">
        <v>6</v>
      </c>
      <c r="B475" s="34" t="s">
        <v>62</v>
      </c>
      <c r="C475" s="33" t="s">
        <v>43</v>
      </c>
      <c r="D475" s="33">
        <v>1978</v>
      </c>
      <c r="E475" s="35" t="s">
        <v>63</v>
      </c>
      <c r="F475" s="33" t="s">
        <v>48</v>
      </c>
      <c r="G475" s="36">
        <v>5</v>
      </c>
      <c r="H475" s="36">
        <v>5</v>
      </c>
      <c r="I475" s="37">
        <v>3582.4000000000001</v>
      </c>
      <c r="J475" s="37">
        <v>3595.5999999999999</v>
      </c>
      <c r="K475" s="37">
        <v>3413.0999999999999</v>
      </c>
      <c r="L475" s="38">
        <v>190</v>
      </c>
      <c r="M475" s="39">
        <f t="shared" si="85"/>
        <v>19108256.010000002</v>
      </c>
      <c r="N475" s="37">
        <v>0</v>
      </c>
      <c r="O475" s="37">
        <v>0</v>
      </c>
      <c r="P475" s="37">
        <v>0</v>
      </c>
      <c r="Q475" s="40">
        <f>'Таблица 3 '!C464</f>
        <v>19108256.010000002</v>
      </c>
      <c r="R475" s="37">
        <f t="shared" si="86"/>
        <v>19108256.010000002</v>
      </c>
      <c r="S475" s="37">
        <v>0</v>
      </c>
      <c r="T475" s="37">
        <f t="shared" si="87"/>
        <v>5314.3442012459682</v>
      </c>
      <c r="U475" s="37">
        <f t="shared" si="88"/>
        <v>5314.3442012459682</v>
      </c>
      <c r="V475" s="41" t="s">
        <v>572</v>
      </c>
      <c r="W475" s="31"/>
    </row>
    <row r="476" s="31" customFormat="1" ht="42.75" customHeight="1">
      <c r="A476" s="33">
        <v>7</v>
      </c>
      <c r="B476" s="34" t="s">
        <v>64</v>
      </c>
      <c r="C476" s="33" t="s">
        <v>43</v>
      </c>
      <c r="D476" s="33">
        <v>1976</v>
      </c>
      <c r="E476" s="35" t="s">
        <v>39</v>
      </c>
      <c r="F476" s="33" t="s">
        <v>48</v>
      </c>
      <c r="G476" s="36">
        <v>5</v>
      </c>
      <c r="H476" s="36">
        <v>6</v>
      </c>
      <c r="I476" s="40">
        <v>4485.8999999999996</v>
      </c>
      <c r="J476" s="40">
        <v>4380.1999999999998</v>
      </c>
      <c r="K476" s="40">
        <v>4278</v>
      </c>
      <c r="L476" s="48">
        <v>204</v>
      </c>
      <c r="M476" s="40">
        <f t="shared" si="85"/>
        <v>26260361.970000003</v>
      </c>
      <c r="N476" s="40">
        <v>0</v>
      </c>
      <c r="O476" s="40">
        <v>0</v>
      </c>
      <c r="P476" s="40">
        <v>0</v>
      </c>
      <c r="Q476" s="40">
        <f>'Таблица 3 '!C465</f>
        <v>26260361.970000003</v>
      </c>
      <c r="R476" s="40">
        <f t="shared" si="86"/>
        <v>26260361.970000003</v>
      </c>
      <c r="S476" s="40">
        <v>0</v>
      </c>
      <c r="T476" s="37">
        <f t="shared" si="87"/>
        <v>5995.2426761335109</v>
      </c>
      <c r="U476" s="37">
        <f t="shared" si="88"/>
        <v>5995.2426761335109</v>
      </c>
      <c r="V476" s="41" t="s">
        <v>572</v>
      </c>
      <c r="W476" s="47"/>
    </row>
    <row r="477" s="31" customFormat="1" ht="42.75" customHeight="1">
      <c r="A477" s="33">
        <v>8</v>
      </c>
      <c r="B477" s="34" t="s">
        <v>575</v>
      </c>
      <c r="C477" s="33" t="s">
        <v>43</v>
      </c>
      <c r="D477" s="33">
        <v>1977</v>
      </c>
      <c r="E477" s="35" t="s">
        <v>39</v>
      </c>
      <c r="F477" s="33" t="s">
        <v>48</v>
      </c>
      <c r="G477" s="36">
        <v>5</v>
      </c>
      <c r="H477" s="36">
        <v>6</v>
      </c>
      <c r="I477" s="40">
        <v>4419.5</v>
      </c>
      <c r="J477" s="40">
        <v>4405</v>
      </c>
      <c r="K477" s="40">
        <v>4182.8999999999996</v>
      </c>
      <c r="L477" s="48">
        <v>204</v>
      </c>
      <c r="M477" s="40">
        <f t="shared" si="85"/>
        <v>1236496.1400000001</v>
      </c>
      <c r="N477" s="40">
        <v>0</v>
      </c>
      <c r="O477" s="40">
        <v>0</v>
      </c>
      <c r="P477" s="40">
        <v>0</v>
      </c>
      <c r="Q477" s="40">
        <f>'Таблица 3 '!C466</f>
        <v>1236496.1400000001</v>
      </c>
      <c r="R477" s="40">
        <f t="shared" si="86"/>
        <v>1236496.1400000001</v>
      </c>
      <c r="S477" s="40">
        <v>0</v>
      </c>
      <c r="T477" s="37">
        <f t="shared" si="87"/>
        <v>280.70286946651538</v>
      </c>
      <c r="U477" s="37">
        <f t="shared" si="88"/>
        <v>280.70286946651538</v>
      </c>
      <c r="V477" s="41" t="s">
        <v>572</v>
      </c>
      <c r="W477" s="47"/>
    </row>
    <row r="478" s="136" customFormat="1" ht="42.75" customHeight="1">
      <c r="A478" s="33">
        <v>9</v>
      </c>
      <c r="B478" s="34" t="s">
        <v>66</v>
      </c>
      <c r="C478" s="33" t="s">
        <v>43</v>
      </c>
      <c r="D478" s="33">
        <v>1988</v>
      </c>
      <c r="E478" s="35" t="s">
        <v>47</v>
      </c>
      <c r="F478" s="33" t="s">
        <v>48</v>
      </c>
      <c r="G478" s="36">
        <v>5</v>
      </c>
      <c r="H478" s="36">
        <v>6</v>
      </c>
      <c r="I478" s="40">
        <v>4502.1000000000004</v>
      </c>
      <c r="J478" s="40">
        <v>4488.3000000000002</v>
      </c>
      <c r="K478" s="40">
        <v>4204.1999999999998</v>
      </c>
      <c r="L478" s="48">
        <v>220</v>
      </c>
      <c r="M478" s="39">
        <f t="shared" si="85"/>
        <v>6646665.46</v>
      </c>
      <c r="N478" s="37">
        <v>0</v>
      </c>
      <c r="O478" s="37">
        <v>0</v>
      </c>
      <c r="P478" s="37">
        <v>0</v>
      </c>
      <c r="Q478" s="40">
        <f>'Таблица 3 '!C467</f>
        <v>6646665.46</v>
      </c>
      <c r="R478" s="37">
        <f t="shared" si="86"/>
        <v>6646665.46</v>
      </c>
      <c r="S478" s="40">
        <v>0</v>
      </c>
      <c r="T478" s="37">
        <f t="shared" si="87"/>
        <v>1480.887075284629</v>
      </c>
      <c r="U478" s="37">
        <f t="shared" si="88"/>
        <v>1480.887075284629</v>
      </c>
      <c r="V478" s="41" t="s">
        <v>572</v>
      </c>
      <c r="W478" s="136"/>
    </row>
    <row r="479" s="136" customFormat="1" ht="42.75" customHeight="1">
      <c r="A479" s="33">
        <v>10</v>
      </c>
      <c r="B479" s="34" t="s">
        <v>576</v>
      </c>
      <c r="C479" s="43" t="s">
        <v>43</v>
      </c>
      <c r="D479" s="35" t="s">
        <v>182</v>
      </c>
      <c r="E479" s="44" t="s">
        <v>39</v>
      </c>
      <c r="F479" s="33" t="s">
        <v>48</v>
      </c>
      <c r="G479" s="45">
        <v>5</v>
      </c>
      <c r="H479" s="36">
        <v>4</v>
      </c>
      <c r="I479" s="46">
        <v>4730.8999999999996</v>
      </c>
      <c r="J479" s="37">
        <v>4528.8999999999996</v>
      </c>
      <c r="K479" s="46">
        <v>4099.6000000000004</v>
      </c>
      <c r="L479" s="38">
        <v>149</v>
      </c>
      <c r="M479" s="39">
        <f t="shared" si="85"/>
        <v>9521617.9900000002</v>
      </c>
      <c r="N479" s="46">
        <v>0</v>
      </c>
      <c r="O479" s="37">
        <v>0</v>
      </c>
      <c r="P479" s="46">
        <v>0</v>
      </c>
      <c r="Q479" s="40">
        <f>'Таблица 3 '!C468</f>
        <v>9521617.9900000002</v>
      </c>
      <c r="R479" s="46">
        <f t="shared" si="86"/>
        <v>9521617.9900000002</v>
      </c>
      <c r="S479" s="37">
        <v>0</v>
      </c>
      <c r="T479" s="46">
        <f t="shared" si="87"/>
        <v>2102.412945748416</v>
      </c>
      <c r="U479" s="37">
        <f t="shared" si="88"/>
        <v>2102.412945748416</v>
      </c>
      <c r="V479" s="41" t="s">
        <v>572</v>
      </c>
      <c r="W479" s="47"/>
    </row>
    <row r="480" s="31" customFormat="1" ht="42.75" customHeight="1">
      <c r="A480" s="33">
        <v>11</v>
      </c>
      <c r="B480" s="34" t="s">
        <v>71</v>
      </c>
      <c r="C480" s="33" t="s">
        <v>43</v>
      </c>
      <c r="D480" s="35">
        <v>1996</v>
      </c>
      <c r="E480" s="35" t="s">
        <v>47</v>
      </c>
      <c r="F480" s="33" t="s">
        <v>48</v>
      </c>
      <c r="G480" s="36">
        <v>5</v>
      </c>
      <c r="H480" s="36">
        <v>2</v>
      </c>
      <c r="I480" s="37">
        <v>3235.8000000000002</v>
      </c>
      <c r="J480" s="37">
        <v>2361.9000000000001</v>
      </c>
      <c r="K480" s="37">
        <v>2031</v>
      </c>
      <c r="L480" s="38">
        <v>89</v>
      </c>
      <c r="M480" s="39">
        <f t="shared" si="85"/>
        <v>5223151.3799999999</v>
      </c>
      <c r="N480" s="37">
        <v>0</v>
      </c>
      <c r="O480" s="37">
        <v>0</v>
      </c>
      <c r="P480" s="37">
        <v>0</v>
      </c>
      <c r="Q480" s="40">
        <f>'Таблица 3 '!C469</f>
        <v>5223151.3799999999</v>
      </c>
      <c r="R480" s="37">
        <f t="shared" si="86"/>
        <v>5223151.3799999999</v>
      </c>
      <c r="S480" s="37">
        <v>0</v>
      </c>
      <c r="T480" s="37">
        <f t="shared" si="87"/>
        <v>2211.4193572970912</v>
      </c>
      <c r="U480" s="37">
        <f t="shared" si="88"/>
        <v>2211.4193572970912</v>
      </c>
      <c r="V480" s="41" t="s">
        <v>572</v>
      </c>
      <c r="W480" s="31"/>
    </row>
    <row r="481" s="31" customFormat="1" ht="42.75" customHeight="1">
      <c r="A481" s="33">
        <v>12</v>
      </c>
      <c r="B481" s="34" t="s">
        <v>73</v>
      </c>
      <c r="C481" s="33" t="s">
        <v>43</v>
      </c>
      <c r="D481" s="33">
        <v>1989</v>
      </c>
      <c r="E481" s="35" t="s">
        <v>70</v>
      </c>
      <c r="F481" s="33" t="s">
        <v>48</v>
      </c>
      <c r="G481" s="36">
        <v>5</v>
      </c>
      <c r="H481" s="36">
        <v>4</v>
      </c>
      <c r="I481" s="37">
        <v>2903.3000000000002</v>
      </c>
      <c r="J481" s="37">
        <v>2900.5</v>
      </c>
      <c r="K481" s="37">
        <v>2235.8000000000002</v>
      </c>
      <c r="L481" s="38">
        <v>67</v>
      </c>
      <c r="M481" s="39">
        <f t="shared" si="85"/>
        <v>3615933.5699999998</v>
      </c>
      <c r="N481" s="37">
        <v>0</v>
      </c>
      <c r="O481" s="37">
        <v>0</v>
      </c>
      <c r="P481" s="37">
        <v>0</v>
      </c>
      <c r="Q481" s="40">
        <f>'Таблица 3 '!C470</f>
        <v>3615933.5699999998</v>
      </c>
      <c r="R481" s="37">
        <f t="shared" si="86"/>
        <v>3615933.5699999998</v>
      </c>
      <c r="S481" s="37">
        <v>0</v>
      </c>
      <c r="T481" s="37">
        <f t="shared" si="87"/>
        <v>1246.6587036717806</v>
      </c>
      <c r="U481" s="37">
        <f t="shared" si="88"/>
        <v>1246.6587036717806</v>
      </c>
      <c r="V481" s="41" t="s">
        <v>572</v>
      </c>
      <c r="W481" s="31"/>
    </row>
    <row r="482" s="31" customFormat="1" ht="42.75" customHeight="1">
      <c r="A482" s="33">
        <v>13</v>
      </c>
      <c r="B482" s="34" t="s">
        <v>577</v>
      </c>
      <c r="C482" s="43" t="s">
        <v>43</v>
      </c>
      <c r="D482" s="33">
        <v>1975</v>
      </c>
      <c r="E482" s="44" t="s">
        <v>39</v>
      </c>
      <c r="F482" s="33" t="s">
        <v>48</v>
      </c>
      <c r="G482" s="45">
        <v>5</v>
      </c>
      <c r="H482" s="36">
        <v>4</v>
      </c>
      <c r="I482" s="46">
        <v>4773.8999999999996</v>
      </c>
      <c r="J482" s="37">
        <v>3711</v>
      </c>
      <c r="K482" s="46">
        <v>3054.5</v>
      </c>
      <c r="L482" s="38">
        <v>82</v>
      </c>
      <c r="M482" s="39">
        <f t="shared" si="85"/>
        <v>6161088.8099999996</v>
      </c>
      <c r="N482" s="46">
        <v>0</v>
      </c>
      <c r="O482" s="37">
        <v>0</v>
      </c>
      <c r="P482" s="46">
        <v>0</v>
      </c>
      <c r="Q482" s="40">
        <f>'Таблица 3 '!C471</f>
        <v>6161088.8099999996</v>
      </c>
      <c r="R482" s="46">
        <f t="shared" si="86"/>
        <v>6161088.8099999996</v>
      </c>
      <c r="S482" s="37">
        <v>0</v>
      </c>
      <c r="T482" s="46">
        <f t="shared" si="87"/>
        <v>1660.2233387227161</v>
      </c>
      <c r="U482" s="37">
        <f t="shared" si="88"/>
        <v>1660.2233387227161</v>
      </c>
      <c r="V482" s="41" t="s">
        <v>572</v>
      </c>
      <c r="W482" s="47"/>
    </row>
    <row r="483" s="31" customFormat="1" ht="42.75" customHeight="1">
      <c r="A483" s="33">
        <v>14</v>
      </c>
      <c r="B483" s="34" t="s">
        <v>74</v>
      </c>
      <c r="C483" s="33" t="s">
        <v>43</v>
      </c>
      <c r="D483" s="33">
        <v>1978</v>
      </c>
      <c r="E483" s="35" t="s">
        <v>39</v>
      </c>
      <c r="F483" s="33" t="s">
        <v>48</v>
      </c>
      <c r="G483" s="36">
        <v>5</v>
      </c>
      <c r="H483" s="36">
        <v>4</v>
      </c>
      <c r="I483" s="37">
        <v>4751.6000000000004</v>
      </c>
      <c r="J483" s="37">
        <v>3671.0999999999999</v>
      </c>
      <c r="K483" s="37">
        <v>2923.5</v>
      </c>
      <c r="L483" s="38">
        <v>81</v>
      </c>
      <c r="M483" s="39">
        <f t="shared" si="85"/>
        <v>8717963.0800000001</v>
      </c>
      <c r="N483" s="37">
        <v>0</v>
      </c>
      <c r="O483" s="37">
        <v>0</v>
      </c>
      <c r="P483" s="37">
        <v>0</v>
      </c>
      <c r="Q483" s="40">
        <f>'Таблица 3 '!C472</f>
        <v>8717963.0800000001</v>
      </c>
      <c r="R483" s="37">
        <f t="shared" si="86"/>
        <v>8717963.0800000001</v>
      </c>
      <c r="S483" s="37">
        <v>0</v>
      </c>
      <c r="T483" s="37">
        <f t="shared" si="87"/>
        <v>2374.754999863801</v>
      </c>
      <c r="U483" s="37">
        <f t="shared" si="88"/>
        <v>2374.754999863801</v>
      </c>
      <c r="V483" s="41" t="s">
        <v>572</v>
      </c>
      <c r="W483" s="31"/>
    </row>
    <row r="484" s="31" customFormat="1" ht="42.75" customHeight="1">
      <c r="A484" s="33">
        <v>15</v>
      </c>
      <c r="B484" s="34" t="s">
        <v>75</v>
      </c>
      <c r="C484" s="33" t="s">
        <v>43</v>
      </c>
      <c r="D484" s="33">
        <v>1974</v>
      </c>
      <c r="E484" s="35" t="s">
        <v>39</v>
      </c>
      <c r="F484" s="33" t="s">
        <v>77</v>
      </c>
      <c r="G484" s="36">
        <v>3</v>
      </c>
      <c r="H484" s="36">
        <v>2</v>
      </c>
      <c r="I484" s="40">
        <v>1116.4000000000001</v>
      </c>
      <c r="J484" s="40">
        <v>1111.9000000000001</v>
      </c>
      <c r="K484" s="40">
        <v>1070.2</v>
      </c>
      <c r="L484" s="48">
        <v>60</v>
      </c>
      <c r="M484" s="39">
        <f t="shared" si="85"/>
        <v>5563360.04</v>
      </c>
      <c r="N484" s="37">
        <v>0</v>
      </c>
      <c r="O484" s="37">
        <v>0</v>
      </c>
      <c r="P484" s="37">
        <v>0</v>
      </c>
      <c r="Q484" s="40">
        <f>'Таблица 3 '!C473</f>
        <v>5563360.04</v>
      </c>
      <c r="R484" s="37">
        <f t="shared" si="86"/>
        <v>5563360.04</v>
      </c>
      <c r="S484" s="40">
        <v>0</v>
      </c>
      <c r="T484" s="37">
        <f t="shared" si="87"/>
        <v>5003.4715711844583</v>
      </c>
      <c r="U484" s="37">
        <f t="shared" si="88"/>
        <v>5003.4715711844583</v>
      </c>
      <c r="V484" s="41" t="s">
        <v>572</v>
      </c>
      <c r="W484" s="31"/>
    </row>
    <row r="485" s="47" customFormat="1" ht="42.75" customHeight="1">
      <c r="A485" s="33">
        <v>16</v>
      </c>
      <c r="B485" s="34" t="s">
        <v>76</v>
      </c>
      <c r="C485" s="43" t="s">
        <v>43</v>
      </c>
      <c r="D485" s="33">
        <v>1994</v>
      </c>
      <c r="E485" s="44" t="s">
        <v>39</v>
      </c>
      <c r="F485" s="33" t="s">
        <v>77</v>
      </c>
      <c r="G485" s="45">
        <v>3</v>
      </c>
      <c r="H485" s="36">
        <v>1</v>
      </c>
      <c r="I485" s="51">
        <v>1295.2</v>
      </c>
      <c r="J485" s="40">
        <v>1193</v>
      </c>
      <c r="K485" s="51">
        <v>1193</v>
      </c>
      <c r="L485" s="48">
        <v>54</v>
      </c>
      <c r="M485" s="51">
        <f t="shared" si="85"/>
        <v>22022450.719999999</v>
      </c>
      <c r="N485" s="40">
        <v>0</v>
      </c>
      <c r="O485" s="51">
        <v>0</v>
      </c>
      <c r="P485" s="40">
        <v>0</v>
      </c>
      <c r="Q485" s="40">
        <f>'Таблица 3 '!C474</f>
        <v>22022450.719999999</v>
      </c>
      <c r="R485" s="40">
        <f t="shared" si="86"/>
        <v>22022450.719999999</v>
      </c>
      <c r="S485" s="51">
        <v>0</v>
      </c>
      <c r="T485" s="37">
        <f t="shared" si="87"/>
        <v>18459.723989941322</v>
      </c>
      <c r="U485" s="46">
        <f t="shared" si="88"/>
        <v>18459.723989941322</v>
      </c>
      <c r="V485" s="41" t="s">
        <v>572</v>
      </c>
      <c r="W485" s="47"/>
    </row>
    <row r="486" s="31" customFormat="1" ht="42.75" customHeight="1">
      <c r="A486" s="33">
        <v>17</v>
      </c>
      <c r="B486" s="34" t="s">
        <v>78</v>
      </c>
      <c r="C486" s="33" t="s">
        <v>43</v>
      </c>
      <c r="D486" s="35" t="s">
        <v>79</v>
      </c>
      <c r="E486" s="35" t="s">
        <v>39</v>
      </c>
      <c r="F486" s="33" t="s">
        <v>44</v>
      </c>
      <c r="G486" s="36">
        <v>3</v>
      </c>
      <c r="H486" s="36">
        <v>2</v>
      </c>
      <c r="I486" s="37">
        <v>1954.7</v>
      </c>
      <c r="J486" s="37">
        <v>1295.5</v>
      </c>
      <c r="K486" s="37">
        <v>1295.5</v>
      </c>
      <c r="L486" s="38">
        <v>23</v>
      </c>
      <c r="M486" s="39">
        <f t="shared" si="85"/>
        <v>8596984.3800000008</v>
      </c>
      <c r="N486" s="37">
        <v>0</v>
      </c>
      <c r="O486" s="37">
        <v>0</v>
      </c>
      <c r="P486" s="37">
        <v>0</v>
      </c>
      <c r="Q486" s="40">
        <f>'Таблица 3 '!C475</f>
        <v>8596984.3800000008</v>
      </c>
      <c r="R486" s="37">
        <f t="shared" si="86"/>
        <v>8596984.3800000008</v>
      </c>
      <c r="S486" s="37">
        <v>0</v>
      </c>
      <c r="T486" s="37">
        <f t="shared" si="87"/>
        <v>6636.0358008490939</v>
      </c>
      <c r="U486" s="37">
        <f t="shared" si="88"/>
        <v>6636.0358008490939</v>
      </c>
      <c r="V486" s="41" t="s">
        <v>572</v>
      </c>
      <c r="W486" s="31"/>
    </row>
    <row r="487" s="31" customFormat="1" ht="42.75" customHeight="1">
      <c r="A487" s="33">
        <v>18</v>
      </c>
      <c r="B487" s="42" t="s">
        <v>80</v>
      </c>
      <c r="C487" s="33" t="s">
        <v>43</v>
      </c>
      <c r="D487" s="33">
        <v>1989</v>
      </c>
      <c r="E487" s="35" t="s">
        <v>39</v>
      </c>
      <c r="F487" s="33" t="s">
        <v>48</v>
      </c>
      <c r="G487" s="36">
        <v>5</v>
      </c>
      <c r="H487" s="36">
        <v>4</v>
      </c>
      <c r="I487" s="37">
        <v>3947.1999999999998</v>
      </c>
      <c r="J487" s="37">
        <v>2813.4000000000001</v>
      </c>
      <c r="K487" s="37">
        <v>1975.2</v>
      </c>
      <c r="L487" s="38">
        <v>133</v>
      </c>
      <c r="M487" s="39">
        <f t="shared" si="85"/>
        <v>5772639.0199999996</v>
      </c>
      <c r="N487" s="37">
        <v>0</v>
      </c>
      <c r="O487" s="37">
        <v>0</v>
      </c>
      <c r="P487" s="37">
        <v>0</v>
      </c>
      <c r="Q487" s="40">
        <f>'Таблица 3 '!C476</f>
        <v>5772639.0199999996</v>
      </c>
      <c r="R487" s="37">
        <f t="shared" si="86"/>
        <v>5772639.0199999996</v>
      </c>
      <c r="S487" s="37">
        <v>0</v>
      </c>
      <c r="T487" s="37">
        <f t="shared" si="87"/>
        <v>2051.8372858463067</v>
      </c>
      <c r="U487" s="37">
        <f t="shared" si="88"/>
        <v>2051.8372858463067</v>
      </c>
      <c r="V487" s="41" t="s">
        <v>572</v>
      </c>
      <c r="W487" s="31"/>
    </row>
    <row r="488" s="31" customFormat="1" ht="42.75" customHeight="1">
      <c r="A488" s="33">
        <v>19</v>
      </c>
      <c r="B488" s="34" t="s">
        <v>578</v>
      </c>
      <c r="C488" s="33" t="s">
        <v>43</v>
      </c>
      <c r="D488" s="33">
        <v>1995</v>
      </c>
      <c r="E488" s="35" t="s">
        <v>50</v>
      </c>
      <c r="F488" s="33" t="s">
        <v>48</v>
      </c>
      <c r="G488" s="36">
        <v>5</v>
      </c>
      <c r="H488" s="36">
        <v>3</v>
      </c>
      <c r="I488" s="37">
        <v>4469.6000000000004</v>
      </c>
      <c r="J488" s="37">
        <v>3261.1999999999998</v>
      </c>
      <c r="K488" s="37">
        <v>2605.0999999999999</v>
      </c>
      <c r="L488" s="38">
        <v>175</v>
      </c>
      <c r="M488" s="39">
        <f t="shared" si="85"/>
        <v>3978457.8499999996</v>
      </c>
      <c r="N488" s="37">
        <v>0</v>
      </c>
      <c r="O488" s="37">
        <v>0</v>
      </c>
      <c r="P488" s="37">
        <v>0</v>
      </c>
      <c r="Q488" s="40">
        <f>'Таблица 3 '!C477</f>
        <v>3978457.8499999996</v>
      </c>
      <c r="R488" s="37">
        <f t="shared" si="86"/>
        <v>3978457.8499999996</v>
      </c>
      <c r="S488" s="37">
        <v>0</v>
      </c>
      <c r="T488" s="37">
        <f t="shared" si="87"/>
        <v>1219.9367870722433</v>
      </c>
      <c r="U488" s="37">
        <f t="shared" si="88"/>
        <v>1219.9367870722433</v>
      </c>
      <c r="V488" s="41" t="s">
        <v>572</v>
      </c>
      <c r="W488" s="31"/>
    </row>
    <row r="489" s="31" customFormat="1" ht="42.75" customHeight="1">
      <c r="A489" s="33">
        <v>20</v>
      </c>
      <c r="B489" s="34" t="s">
        <v>82</v>
      </c>
      <c r="C489" s="33" t="s">
        <v>43</v>
      </c>
      <c r="D489" s="33">
        <v>1977</v>
      </c>
      <c r="E489" s="35" t="s">
        <v>39</v>
      </c>
      <c r="F489" s="33" t="s">
        <v>44</v>
      </c>
      <c r="G489" s="36">
        <v>9</v>
      </c>
      <c r="H489" s="36">
        <v>1</v>
      </c>
      <c r="I489" s="37">
        <v>2485.5</v>
      </c>
      <c r="J489" s="37">
        <v>2352.0999999999999</v>
      </c>
      <c r="K489" s="37">
        <v>2198.9000000000001</v>
      </c>
      <c r="L489" s="38">
        <v>98</v>
      </c>
      <c r="M489" s="39">
        <f t="shared" si="85"/>
        <v>7316505.1899999995</v>
      </c>
      <c r="N489" s="37">
        <v>0</v>
      </c>
      <c r="O489" s="37">
        <v>0</v>
      </c>
      <c r="P489" s="37">
        <v>0</v>
      </c>
      <c r="Q489" s="40">
        <f>'Таблица 3 '!C478</f>
        <v>7316505.1899999995</v>
      </c>
      <c r="R489" s="37">
        <f t="shared" si="86"/>
        <v>7316505.1899999995</v>
      </c>
      <c r="S489" s="37">
        <v>0</v>
      </c>
      <c r="T489" s="37">
        <f t="shared" si="87"/>
        <v>3110.6267548148462</v>
      </c>
      <c r="U489" s="37">
        <f t="shared" si="88"/>
        <v>3110.6267548148462</v>
      </c>
      <c r="V489" s="41" t="s">
        <v>572</v>
      </c>
      <c r="W489" s="31"/>
    </row>
    <row r="490" s="31" customFormat="1" ht="42.75" customHeight="1">
      <c r="A490" s="33">
        <v>21</v>
      </c>
      <c r="B490" s="34" t="s">
        <v>579</v>
      </c>
      <c r="C490" s="33" t="s">
        <v>43</v>
      </c>
      <c r="D490" s="33">
        <v>1988</v>
      </c>
      <c r="E490" s="35" t="s">
        <v>60</v>
      </c>
      <c r="F490" s="33" t="s">
        <v>48</v>
      </c>
      <c r="G490" s="36">
        <v>9</v>
      </c>
      <c r="H490" s="36">
        <v>12</v>
      </c>
      <c r="I490" s="40">
        <v>21879.400000000001</v>
      </c>
      <c r="J490" s="40">
        <v>21878.900000000001</v>
      </c>
      <c r="K490" s="40">
        <v>20855.799999999999</v>
      </c>
      <c r="L490" s="48">
        <v>855</v>
      </c>
      <c r="M490" s="39">
        <f t="shared" si="85"/>
        <v>2357740</v>
      </c>
      <c r="N490" s="37">
        <v>0</v>
      </c>
      <c r="O490" s="37">
        <v>0</v>
      </c>
      <c r="P490" s="37">
        <v>0</v>
      </c>
      <c r="Q490" s="40">
        <f>'Таблица 3 '!C479</f>
        <v>2357740</v>
      </c>
      <c r="R490" s="37">
        <f t="shared" si="86"/>
        <v>2357740</v>
      </c>
      <c r="S490" s="40">
        <v>0</v>
      </c>
      <c r="T490" s="37">
        <f t="shared" si="87"/>
        <v>107.76318736316725</v>
      </c>
      <c r="U490" s="37">
        <f t="shared" si="88"/>
        <v>107.76318736316725</v>
      </c>
      <c r="V490" s="41" t="s">
        <v>572</v>
      </c>
      <c r="W490" s="31"/>
    </row>
    <row r="491" s="31" customFormat="1" ht="42.75" customHeight="1">
      <c r="A491" s="33">
        <v>22</v>
      </c>
      <c r="B491" s="50" t="s">
        <v>580</v>
      </c>
      <c r="C491" s="33" t="s">
        <v>43</v>
      </c>
      <c r="D491" s="35" t="s">
        <v>581</v>
      </c>
      <c r="E491" s="35" t="s">
        <v>39</v>
      </c>
      <c r="F491" s="33" t="s">
        <v>48</v>
      </c>
      <c r="G491" s="36">
        <v>10</v>
      </c>
      <c r="H491" s="36">
        <v>4</v>
      </c>
      <c r="I491" s="37">
        <v>11688.6</v>
      </c>
      <c r="J491" s="37">
        <v>9350.8999999999996</v>
      </c>
      <c r="K491" s="37" t="s">
        <v>582</v>
      </c>
      <c r="L491" s="38">
        <v>382</v>
      </c>
      <c r="M491" s="39">
        <f t="shared" si="85"/>
        <v>21741160.280000001</v>
      </c>
      <c r="N491" s="37">
        <v>0</v>
      </c>
      <c r="O491" s="37">
        <v>0</v>
      </c>
      <c r="P491" s="37">
        <v>0</v>
      </c>
      <c r="Q491" s="40">
        <f>'Таблица 3 '!C480</f>
        <v>21741160.280000001</v>
      </c>
      <c r="R491" s="37">
        <f t="shared" si="86"/>
        <v>21741160.280000001</v>
      </c>
      <c r="S491" s="37">
        <v>0</v>
      </c>
      <c r="T491" s="37">
        <f t="shared" si="87"/>
        <v>2325.0339838945988</v>
      </c>
      <c r="U491" s="37">
        <f t="shared" si="88"/>
        <v>2325.0339838945988</v>
      </c>
      <c r="V491" s="41" t="s">
        <v>572</v>
      </c>
      <c r="W491" s="31"/>
    </row>
    <row r="492" s="31" customFormat="1" ht="45" customHeight="1">
      <c r="A492" s="33">
        <v>23</v>
      </c>
      <c r="B492" s="50" t="s">
        <v>583</v>
      </c>
      <c r="C492" s="33" t="s">
        <v>43</v>
      </c>
      <c r="D492" s="35" t="s">
        <v>88</v>
      </c>
      <c r="E492" s="35" t="s">
        <v>39</v>
      </c>
      <c r="F492" s="33" t="s">
        <v>48</v>
      </c>
      <c r="G492" s="36">
        <v>10</v>
      </c>
      <c r="H492" s="36">
        <v>4</v>
      </c>
      <c r="I492" s="37">
        <v>12321.299999999999</v>
      </c>
      <c r="J492" s="37">
        <v>9857</v>
      </c>
      <c r="K492" s="37">
        <v>9857</v>
      </c>
      <c r="L492" s="38">
        <v>391</v>
      </c>
      <c r="M492" s="39">
        <f t="shared" si="85"/>
        <v>21741159.280000001</v>
      </c>
      <c r="N492" s="37">
        <v>0</v>
      </c>
      <c r="O492" s="37">
        <v>0</v>
      </c>
      <c r="P492" s="37">
        <v>0</v>
      </c>
      <c r="Q492" s="40">
        <f>'Таблица 3 '!C481</f>
        <v>21741159.280000001</v>
      </c>
      <c r="R492" s="37">
        <f t="shared" si="86"/>
        <v>21741159.280000001</v>
      </c>
      <c r="S492" s="37">
        <v>0</v>
      </c>
      <c r="T492" s="37">
        <f t="shared" si="87"/>
        <v>2205.6568205336312</v>
      </c>
      <c r="U492" s="37">
        <f t="shared" si="88"/>
        <v>2205.6568205336312</v>
      </c>
      <c r="V492" s="41" t="s">
        <v>572</v>
      </c>
      <c r="W492" s="31"/>
    </row>
    <row r="493" s="31" customFormat="1" ht="42.75" customHeight="1">
      <c r="A493" s="33">
        <v>24</v>
      </c>
      <c r="B493" s="34" t="s">
        <v>584</v>
      </c>
      <c r="C493" s="33" t="s">
        <v>43</v>
      </c>
      <c r="D493" s="33">
        <v>1990</v>
      </c>
      <c r="E493" s="35" t="s">
        <v>39</v>
      </c>
      <c r="F493" s="33" t="s">
        <v>44</v>
      </c>
      <c r="G493" s="36">
        <v>2</v>
      </c>
      <c r="H493" s="36">
        <v>1</v>
      </c>
      <c r="I493" s="37">
        <v>835.79999999999995</v>
      </c>
      <c r="J493" s="37">
        <v>517.29999999999995</v>
      </c>
      <c r="K493" s="37">
        <v>517.29999999999995</v>
      </c>
      <c r="L493" s="38">
        <v>25</v>
      </c>
      <c r="M493" s="39">
        <f t="shared" si="85"/>
        <v>3384916.5900000003</v>
      </c>
      <c r="N493" s="37">
        <v>0</v>
      </c>
      <c r="O493" s="37">
        <v>0</v>
      </c>
      <c r="P493" s="37">
        <v>0</v>
      </c>
      <c r="Q493" s="40">
        <f>'Таблица 3 '!C482</f>
        <v>3384916.5900000003</v>
      </c>
      <c r="R493" s="37">
        <f t="shared" si="86"/>
        <v>3384916.5900000003</v>
      </c>
      <c r="S493" s="37">
        <v>0</v>
      </c>
      <c r="T493" s="37">
        <f t="shared" si="87"/>
        <v>6543.4304852116775</v>
      </c>
      <c r="U493" s="37">
        <f t="shared" si="88"/>
        <v>6543.4304852116775</v>
      </c>
      <c r="V493" s="41" t="s">
        <v>572</v>
      </c>
      <c r="W493" s="31"/>
    </row>
    <row r="494" s="31" customFormat="1" ht="42.75" customHeight="1">
      <c r="A494" s="33">
        <v>25</v>
      </c>
      <c r="B494" s="34" t="s">
        <v>94</v>
      </c>
      <c r="C494" s="33" t="s">
        <v>43</v>
      </c>
      <c r="D494" s="33">
        <v>1991</v>
      </c>
      <c r="E494" s="35" t="s">
        <v>39</v>
      </c>
      <c r="F494" s="33" t="s">
        <v>48</v>
      </c>
      <c r="G494" s="36">
        <v>10</v>
      </c>
      <c r="H494" s="36">
        <v>3</v>
      </c>
      <c r="I494" s="37">
        <v>7213.1999999999998</v>
      </c>
      <c r="J494" s="37">
        <v>5771.3999999999996</v>
      </c>
      <c r="K494" s="37">
        <v>0</v>
      </c>
      <c r="L494" s="38">
        <v>20</v>
      </c>
      <c r="M494" s="39">
        <f t="shared" si="85"/>
        <v>14295096.01</v>
      </c>
      <c r="N494" s="37">
        <v>0</v>
      </c>
      <c r="O494" s="37">
        <v>0</v>
      </c>
      <c r="P494" s="37">
        <v>0</v>
      </c>
      <c r="Q494" s="40">
        <f>'Таблица 3 '!C483</f>
        <v>14295096.01</v>
      </c>
      <c r="R494" s="37">
        <f t="shared" si="86"/>
        <v>14295096.01</v>
      </c>
      <c r="S494" s="37">
        <v>0</v>
      </c>
      <c r="T494" s="37">
        <f t="shared" si="87"/>
        <v>2476.8853328481823</v>
      </c>
      <c r="U494" s="37">
        <f t="shared" si="88"/>
        <v>2476.8853328481823</v>
      </c>
      <c r="V494" s="41" t="s">
        <v>572</v>
      </c>
      <c r="W494" s="31"/>
    </row>
    <row r="495" s="31" customFormat="1" ht="42.75" customHeight="1">
      <c r="A495" s="33">
        <v>26</v>
      </c>
      <c r="B495" s="49" t="s">
        <v>96</v>
      </c>
      <c r="C495" s="33" t="s">
        <v>43</v>
      </c>
      <c r="D495" s="33">
        <v>1984</v>
      </c>
      <c r="E495" s="35" t="s">
        <v>39</v>
      </c>
      <c r="F495" s="33" t="s">
        <v>48</v>
      </c>
      <c r="G495" s="36">
        <v>5</v>
      </c>
      <c r="H495" s="36">
        <v>4</v>
      </c>
      <c r="I495" s="37">
        <v>7213</v>
      </c>
      <c r="J495" s="37">
        <v>2963.5</v>
      </c>
      <c r="K495" s="37">
        <v>0</v>
      </c>
      <c r="L495" s="38">
        <v>20</v>
      </c>
      <c r="M495" s="39">
        <f t="shared" si="85"/>
        <v>9351698.2100000009</v>
      </c>
      <c r="N495" s="37">
        <v>0</v>
      </c>
      <c r="O495" s="37">
        <v>0</v>
      </c>
      <c r="P495" s="37">
        <v>0</v>
      </c>
      <c r="Q495" s="40">
        <f>'Таблица 3 '!C484</f>
        <v>9351698.2100000009</v>
      </c>
      <c r="R495" s="37">
        <f t="shared" si="86"/>
        <v>9351698.2100000009</v>
      </c>
      <c r="S495" s="37">
        <v>0</v>
      </c>
      <c r="T495" s="37">
        <f t="shared" si="87"/>
        <v>3155.6261886283114</v>
      </c>
      <c r="U495" s="37">
        <f t="shared" si="88"/>
        <v>3155.6261886283114</v>
      </c>
      <c r="V495" s="41" t="s">
        <v>572</v>
      </c>
      <c r="W495" s="31"/>
    </row>
    <row r="496" s="31" customFormat="1" ht="42.75" customHeight="1">
      <c r="A496" s="33">
        <v>27</v>
      </c>
      <c r="B496" s="49" t="s">
        <v>97</v>
      </c>
      <c r="C496" s="33" t="s">
        <v>43</v>
      </c>
      <c r="D496" s="33">
        <v>1952</v>
      </c>
      <c r="E496" s="35" t="s">
        <v>39</v>
      </c>
      <c r="F496" s="33" t="s">
        <v>48</v>
      </c>
      <c r="G496" s="36">
        <v>2</v>
      </c>
      <c r="H496" s="36">
        <v>1</v>
      </c>
      <c r="I496" s="37">
        <v>546</v>
      </c>
      <c r="J496" s="37">
        <v>385.10000000000002</v>
      </c>
      <c r="K496" s="37">
        <v>0</v>
      </c>
      <c r="L496" s="38">
        <v>12</v>
      </c>
      <c r="M496" s="39">
        <f t="shared" si="85"/>
        <v>2270935.8599999999</v>
      </c>
      <c r="N496" s="37">
        <v>0</v>
      </c>
      <c r="O496" s="37">
        <v>0</v>
      </c>
      <c r="P496" s="37">
        <v>0</v>
      </c>
      <c r="Q496" s="40">
        <f>'Таблица 3 '!C485</f>
        <v>2270935.8599999999</v>
      </c>
      <c r="R496" s="37">
        <f t="shared" si="86"/>
        <v>2270935.8599999999</v>
      </c>
      <c r="S496" s="37">
        <v>0</v>
      </c>
      <c r="T496" s="37">
        <f t="shared" si="87"/>
        <v>5897.0030122046219</v>
      </c>
      <c r="U496" s="37">
        <f t="shared" si="88"/>
        <v>5897.0030122046219</v>
      </c>
      <c r="V496" s="41" t="s">
        <v>572</v>
      </c>
      <c r="W496" s="31"/>
    </row>
    <row r="497" s="31" customFormat="1" ht="42.75" customHeight="1">
      <c r="A497" s="33">
        <v>28</v>
      </c>
      <c r="B497" s="49" t="s">
        <v>98</v>
      </c>
      <c r="C497" s="33" t="s">
        <v>43</v>
      </c>
      <c r="D497" s="33">
        <v>1952</v>
      </c>
      <c r="E497" s="35" t="s">
        <v>39</v>
      </c>
      <c r="F497" s="33" t="s">
        <v>48</v>
      </c>
      <c r="G497" s="36">
        <v>2</v>
      </c>
      <c r="H497" s="36">
        <v>1</v>
      </c>
      <c r="I497" s="37">
        <v>389</v>
      </c>
      <c r="J497" s="37">
        <v>389</v>
      </c>
      <c r="K497" s="37">
        <v>0</v>
      </c>
      <c r="L497" s="38">
        <v>2</v>
      </c>
      <c r="M497" s="39">
        <f t="shared" si="85"/>
        <v>2288554.7000000002</v>
      </c>
      <c r="N497" s="37">
        <v>0</v>
      </c>
      <c r="O497" s="37">
        <v>0</v>
      </c>
      <c r="P497" s="37">
        <v>0</v>
      </c>
      <c r="Q497" s="40">
        <f>'Таблица 3 '!C486</f>
        <v>2288554.7000000002</v>
      </c>
      <c r="R497" s="37">
        <f t="shared" si="86"/>
        <v>2288554.7000000002</v>
      </c>
      <c r="S497" s="37">
        <v>0</v>
      </c>
      <c r="T497" s="37">
        <f t="shared" si="87"/>
        <v>5883.1740359897176</v>
      </c>
      <c r="U497" s="37">
        <f t="shared" si="88"/>
        <v>5883.1740359897176</v>
      </c>
      <c r="V497" s="41" t="s">
        <v>572</v>
      </c>
      <c r="W497" s="31"/>
    </row>
    <row r="498" s="31" customFormat="1" ht="42.75" customHeight="1">
      <c r="A498" s="33">
        <v>29</v>
      </c>
      <c r="B498" s="49" t="s">
        <v>99</v>
      </c>
      <c r="C498" s="33" t="s">
        <v>43</v>
      </c>
      <c r="D498" s="33">
        <v>1952</v>
      </c>
      <c r="E498" s="35" t="s">
        <v>39</v>
      </c>
      <c r="F498" s="33" t="s">
        <v>48</v>
      </c>
      <c r="G498" s="36">
        <v>2</v>
      </c>
      <c r="H498" s="36">
        <v>1</v>
      </c>
      <c r="I498" s="37">
        <v>426.60000000000002</v>
      </c>
      <c r="J498" s="37">
        <v>391</v>
      </c>
      <c r="K498" s="37">
        <v>0</v>
      </c>
      <c r="L498" s="38">
        <v>2</v>
      </c>
      <c r="M498" s="39">
        <f t="shared" si="85"/>
        <v>2297590.0099999998</v>
      </c>
      <c r="N498" s="37">
        <v>0</v>
      </c>
      <c r="O498" s="37">
        <v>0</v>
      </c>
      <c r="P498" s="37">
        <v>0</v>
      </c>
      <c r="Q498" s="40">
        <f>'Таблица 3 '!C487</f>
        <v>2297590.0099999998</v>
      </c>
      <c r="R498" s="37">
        <f t="shared" si="86"/>
        <v>2297590.0099999998</v>
      </c>
      <c r="S498" s="37">
        <v>0</v>
      </c>
      <c r="T498" s="37">
        <f t="shared" si="87"/>
        <v>5876.1892838874674</v>
      </c>
      <c r="U498" s="37">
        <f t="shared" si="88"/>
        <v>5876.1892838874674</v>
      </c>
      <c r="V498" s="41" t="s">
        <v>572</v>
      </c>
      <c r="W498" s="31"/>
    </row>
    <row r="499" s="31" customFormat="1" ht="42.75" customHeight="1">
      <c r="A499" s="33">
        <v>30</v>
      </c>
      <c r="B499" s="49" t="s">
        <v>100</v>
      </c>
      <c r="C499" s="33" t="s">
        <v>43</v>
      </c>
      <c r="D499" s="33">
        <v>1965</v>
      </c>
      <c r="E499" s="35" t="s">
        <v>39</v>
      </c>
      <c r="F499" s="33" t="s">
        <v>48</v>
      </c>
      <c r="G499" s="36">
        <v>2</v>
      </c>
      <c r="H499" s="36">
        <v>2</v>
      </c>
      <c r="I499" s="37">
        <v>162.09999999999999</v>
      </c>
      <c r="J499" s="37">
        <v>637.89999999999998</v>
      </c>
      <c r="K499" s="37">
        <v>0</v>
      </c>
      <c r="L499" s="38">
        <v>2</v>
      </c>
      <c r="M499" s="39">
        <f t="shared" si="85"/>
        <v>3621202.7100000004</v>
      </c>
      <c r="N499" s="37">
        <v>0</v>
      </c>
      <c r="O499" s="37">
        <v>0</v>
      </c>
      <c r="P499" s="37">
        <v>0</v>
      </c>
      <c r="Q499" s="40">
        <f>'Таблица 3 '!C488</f>
        <v>3621202.7100000004</v>
      </c>
      <c r="R499" s="37">
        <f t="shared" si="86"/>
        <v>3621202.7100000004</v>
      </c>
      <c r="S499" s="37">
        <v>0</v>
      </c>
      <c r="T499" s="37">
        <f t="shared" si="87"/>
        <v>5676.7560902962859</v>
      </c>
      <c r="U499" s="37">
        <f t="shared" si="88"/>
        <v>5676.7560902962859</v>
      </c>
      <c r="V499" s="41" t="s">
        <v>572</v>
      </c>
      <c r="W499" s="31"/>
    </row>
    <row r="500" s="31" customFormat="1" ht="42.75" customHeight="1">
      <c r="A500" s="33">
        <v>31</v>
      </c>
      <c r="B500" s="49" t="s">
        <v>101</v>
      </c>
      <c r="C500" s="33" t="s">
        <v>43</v>
      </c>
      <c r="D500" s="33">
        <v>1972</v>
      </c>
      <c r="E500" s="35" t="s">
        <v>39</v>
      </c>
      <c r="F500" s="33" t="s">
        <v>48</v>
      </c>
      <c r="G500" s="36">
        <v>2</v>
      </c>
      <c r="H500" s="36">
        <v>2</v>
      </c>
      <c r="I500" s="37">
        <v>589</v>
      </c>
      <c r="J500" s="37">
        <v>633.29999999999995</v>
      </c>
      <c r="K500" s="37">
        <v>0</v>
      </c>
      <c r="L500" s="38">
        <v>2</v>
      </c>
      <c r="M500" s="39">
        <f t="shared" si="85"/>
        <v>3599901.2499999995</v>
      </c>
      <c r="N500" s="37">
        <v>0</v>
      </c>
      <c r="O500" s="37">
        <v>0</v>
      </c>
      <c r="P500" s="37">
        <v>0</v>
      </c>
      <c r="Q500" s="40">
        <f>'Таблица 3 '!C489</f>
        <v>3599901.2499999995</v>
      </c>
      <c r="R500" s="37">
        <f t="shared" si="86"/>
        <v>3599901.2499999995</v>
      </c>
      <c r="S500" s="37">
        <v>0</v>
      </c>
      <c r="T500" s="37">
        <f t="shared" si="87"/>
        <v>5684.3537817779879</v>
      </c>
      <c r="U500" s="37">
        <f t="shared" si="88"/>
        <v>5684.3537817779879</v>
      </c>
      <c r="V500" s="41" t="s">
        <v>572</v>
      </c>
      <c r="W500" s="31"/>
    </row>
    <row r="501" s="31" customFormat="1" ht="42.75" customHeight="1">
      <c r="A501" s="33">
        <v>32</v>
      </c>
      <c r="B501" s="49" t="s">
        <v>102</v>
      </c>
      <c r="C501" s="33" t="s">
        <v>43</v>
      </c>
      <c r="D501" s="33">
        <v>1978</v>
      </c>
      <c r="E501" s="35" t="s">
        <v>39</v>
      </c>
      <c r="F501" s="33" t="s">
        <v>48</v>
      </c>
      <c r="G501" s="36">
        <v>2</v>
      </c>
      <c r="H501" s="36">
        <v>2</v>
      </c>
      <c r="I501" s="37">
        <v>698</v>
      </c>
      <c r="J501" s="37">
        <v>738</v>
      </c>
      <c r="K501" s="37">
        <v>0</v>
      </c>
      <c r="L501" s="38">
        <v>2</v>
      </c>
      <c r="M501" s="39">
        <f t="shared" si="85"/>
        <v>4051979.4900000002</v>
      </c>
      <c r="N501" s="37">
        <v>0</v>
      </c>
      <c r="O501" s="37">
        <v>0</v>
      </c>
      <c r="P501" s="37">
        <v>0</v>
      </c>
      <c r="Q501" s="40">
        <f>'Таблица 3 '!C490</f>
        <v>4051979.4900000002</v>
      </c>
      <c r="R501" s="37">
        <f t="shared" si="86"/>
        <v>4051979.4900000002</v>
      </c>
      <c r="S501" s="37">
        <v>0</v>
      </c>
      <c r="T501" s="37">
        <f t="shared" si="87"/>
        <v>5490.4871138211383</v>
      </c>
      <c r="U501" s="37">
        <f t="shared" si="88"/>
        <v>5490.4871138211383</v>
      </c>
      <c r="V501" s="41" t="s">
        <v>572</v>
      </c>
      <c r="W501" s="31"/>
    </row>
    <row r="502" s="31" customFormat="1" ht="42.75" customHeight="1">
      <c r="A502" s="33">
        <v>33</v>
      </c>
      <c r="B502" s="42" t="s">
        <v>585</v>
      </c>
      <c r="C502" s="33" t="s">
        <v>43</v>
      </c>
      <c r="D502" s="35" t="s">
        <v>152</v>
      </c>
      <c r="E502" s="35" t="s">
        <v>39</v>
      </c>
      <c r="F502" s="33" t="s">
        <v>44</v>
      </c>
      <c r="G502" s="36">
        <v>5</v>
      </c>
      <c r="H502" s="36">
        <v>4</v>
      </c>
      <c r="I502" s="37">
        <v>3298.1999999999998</v>
      </c>
      <c r="J502" s="37">
        <v>3271.8000000000002</v>
      </c>
      <c r="K502" s="37">
        <v>3169.9000000000001</v>
      </c>
      <c r="L502" s="38">
        <v>160</v>
      </c>
      <c r="M502" s="39">
        <f t="shared" si="85"/>
        <v>19168150.82</v>
      </c>
      <c r="N502" s="37">
        <v>0</v>
      </c>
      <c r="O502" s="37">
        <v>0</v>
      </c>
      <c r="P502" s="37">
        <v>0</v>
      </c>
      <c r="Q502" s="40">
        <f>'Таблица 3 '!C491</f>
        <v>19168150.82</v>
      </c>
      <c r="R502" s="37">
        <f t="shared" si="86"/>
        <v>19168150.82</v>
      </c>
      <c r="S502" s="37">
        <v>0</v>
      </c>
      <c r="T502" s="37">
        <f t="shared" si="87"/>
        <v>5858.5949080017117</v>
      </c>
      <c r="U502" s="37">
        <f t="shared" si="88"/>
        <v>5858.5949080017117</v>
      </c>
      <c r="V502" s="41" t="s">
        <v>572</v>
      </c>
      <c r="W502" s="31"/>
    </row>
    <row r="503" s="31" customFormat="1" ht="42.75" customHeight="1">
      <c r="A503" s="33">
        <v>34</v>
      </c>
      <c r="B503" s="42" t="s">
        <v>105</v>
      </c>
      <c r="C503" s="33" t="s">
        <v>43</v>
      </c>
      <c r="D503" s="35" t="s">
        <v>106</v>
      </c>
      <c r="E503" s="35" t="s">
        <v>39</v>
      </c>
      <c r="F503" s="33" t="s">
        <v>44</v>
      </c>
      <c r="G503" s="36">
        <v>5</v>
      </c>
      <c r="H503" s="36">
        <v>3</v>
      </c>
      <c r="I503" s="37">
        <v>2776</v>
      </c>
      <c r="J503" s="37">
        <v>2757.5999999999999</v>
      </c>
      <c r="K503" s="37">
        <v>2632.8000000000002</v>
      </c>
      <c r="L503" s="38">
        <v>144</v>
      </c>
      <c r="M503" s="39">
        <f t="shared" si="85"/>
        <v>5278332.0899999999</v>
      </c>
      <c r="N503" s="37">
        <v>0</v>
      </c>
      <c r="O503" s="37">
        <v>0</v>
      </c>
      <c r="P503" s="37">
        <v>0</v>
      </c>
      <c r="Q503" s="40">
        <f>'Таблица 3 '!C492</f>
        <v>5278332.0899999999</v>
      </c>
      <c r="R503" s="37">
        <f t="shared" si="86"/>
        <v>5278332.0899999999</v>
      </c>
      <c r="S503" s="37">
        <v>0</v>
      </c>
      <c r="T503" s="37">
        <f t="shared" si="87"/>
        <v>1914.1036009573543</v>
      </c>
      <c r="U503" s="37">
        <f t="shared" si="88"/>
        <v>1914.1036009573543</v>
      </c>
      <c r="V503" s="41" t="s">
        <v>572</v>
      </c>
      <c r="W503" s="31"/>
    </row>
    <row r="504" s="31" customFormat="1" ht="42.75" customHeight="1">
      <c r="A504" s="33">
        <v>35</v>
      </c>
      <c r="B504" s="34" t="s">
        <v>107</v>
      </c>
      <c r="C504" s="33" t="s">
        <v>43</v>
      </c>
      <c r="D504" s="33">
        <v>1956</v>
      </c>
      <c r="E504" s="35" t="s">
        <v>39</v>
      </c>
      <c r="F504" s="33" t="s">
        <v>44</v>
      </c>
      <c r="G504" s="36">
        <v>2</v>
      </c>
      <c r="H504" s="36">
        <v>1</v>
      </c>
      <c r="I504" s="37">
        <v>368.10000000000002</v>
      </c>
      <c r="J504" s="37">
        <v>336.19999999999999</v>
      </c>
      <c r="K504" s="37">
        <v>368.89999999999998</v>
      </c>
      <c r="L504" s="38">
        <v>12</v>
      </c>
      <c r="M504" s="39">
        <f t="shared" si="85"/>
        <v>3094672.8599999999</v>
      </c>
      <c r="N504" s="37">
        <v>0</v>
      </c>
      <c r="O504" s="37">
        <v>0</v>
      </c>
      <c r="P504" s="37">
        <v>0</v>
      </c>
      <c r="Q504" s="40">
        <f>'Таблица 3 '!C493</f>
        <v>3094672.8599999999</v>
      </c>
      <c r="R504" s="37">
        <f t="shared" si="86"/>
        <v>3094672.8599999999</v>
      </c>
      <c r="S504" s="37">
        <v>0</v>
      </c>
      <c r="T504" s="37">
        <f t="shared" si="87"/>
        <v>9204.8568114217724</v>
      </c>
      <c r="U504" s="37">
        <f t="shared" si="88"/>
        <v>9204.8568114217724</v>
      </c>
      <c r="V504" s="41" t="s">
        <v>572</v>
      </c>
      <c r="W504" s="31"/>
    </row>
    <row r="505" s="31" customFormat="1" ht="42.75" customHeight="1">
      <c r="A505" s="33">
        <v>36</v>
      </c>
      <c r="B505" s="34" t="s">
        <v>108</v>
      </c>
      <c r="C505" s="33" t="s">
        <v>43</v>
      </c>
      <c r="D505" s="33">
        <v>1986</v>
      </c>
      <c r="E505" s="35" t="s">
        <v>63</v>
      </c>
      <c r="F505" s="33" t="s">
        <v>44</v>
      </c>
      <c r="G505" s="36">
        <v>9</v>
      </c>
      <c r="H505" s="36">
        <v>1</v>
      </c>
      <c r="I505" s="37">
        <v>4246.6000000000004</v>
      </c>
      <c r="J505" s="37">
        <v>4020.8000000000002</v>
      </c>
      <c r="K505" s="37">
        <v>3025.6999999999998</v>
      </c>
      <c r="L505" s="38">
        <v>139</v>
      </c>
      <c r="M505" s="39">
        <f t="shared" si="85"/>
        <v>6465414.7400000002</v>
      </c>
      <c r="N505" s="37">
        <v>0</v>
      </c>
      <c r="O505" s="37">
        <v>0</v>
      </c>
      <c r="P505" s="37">
        <v>0</v>
      </c>
      <c r="Q505" s="40">
        <f>'Таблица 3 '!C494</f>
        <v>6465414.7400000002</v>
      </c>
      <c r="R505" s="37">
        <f t="shared" si="86"/>
        <v>6465414.7400000002</v>
      </c>
      <c r="S505" s="37">
        <v>0</v>
      </c>
      <c r="T505" s="37">
        <f t="shared" si="87"/>
        <v>1607.9921259450855</v>
      </c>
      <c r="U505" s="37">
        <f t="shared" si="88"/>
        <v>1607.9921259450855</v>
      </c>
      <c r="V505" s="41" t="s">
        <v>572</v>
      </c>
      <c r="W505" s="31"/>
    </row>
    <row r="506" s="31" customFormat="1" ht="42.75" customHeight="1">
      <c r="A506" s="33">
        <v>37</v>
      </c>
      <c r="B506" s="34" t="s">
        <v>586</v>
      </c>
      <c r="C506" s="43" t="s">
        <v>43</v>
      </c>
      <c r="D506" s="33">
        <v>1988</v>
      </c>
      <c r="E506" s="44" t="s">
        <v>39</v>
      </c>
      <c r="F506" s="33" t="s">
        <v>44</v>
      </c>
      <c r="G506" s="45">
        <v>9</v>
      </c>
      <c r="H506" s="36">
        <v>1</v>
      </c>
      <c r="I506" s="46">
        <v>4924.1999999999998</v>
      </c>
      <c r="J506" s="37">
        <v>4903.5</v>
      </c>
      <c r="K506" s="46">
        <v>4816</v>
      </c>
      <c r="L506" s="38">
        <v>128</v>
      </c>
      <c r="M506" s="39">
        <f t="shared" si="85"/>
        <v>27237756.780000001</v>
      </c>
      <c r="N506" s="46">
        <v>0</v>
      </c>
      <c r="O506" s="37">
        <v>0</v>
      </c>
      <c r="P506" s="46">
        <v>0</v>
      </c>
      <c r="Q506" s="40">
        <f>'Таблица 3 '!C495</f>
        <v>27237756.780000001</v>
      </c>
      <c r="R506" s="46">
        <f t="shared" si="86"/>
        <v>27237756.780000001</v>
      </c>
      <c r="S506" s="37">
        <v>0</v>
      </c>
      <c r="T506" s="46">
        <f t="shared" si="87"/>
        <v>5554.758189048639</v>
      </c>
      <c r="U506" s="37">
        <f t="shared" si="88"/>
        <v>5554.758189048639</v>
      </c>
      <c r="V506" s="41" t="s">
        <v>572</v>
      </c>
      <c r="W506" s="47"/>
    </row>
    <row r="507" s="31" customFormat="1" ht="42.75" customHeight="1">
      <c r="A507" s="33">
        <v>38</v>
      </c>
      <c r="B507" s="34" t="s">
        <v>110</v>
      </c>
      <c r="C507" s="33" t="s">
        <v>43</v>
      </c>
      <c r="D507" s="33">
        <v>1992</v>
      </c>
      <c r="E507" s="35" t="s">
        <v>39</v>
      </c>
      <c r="F507" s="33" t="s">
        <v>48</v>
      </c>
      <c r="G507" s="36">
        <v>9</v>
      </c>
      <c r="H507" s="36">
        <v>2</v>
      </c>
      <c r="I507" s="37">
        <v>3528.1999999999998</v>
      </c>
      <c r="J507" s="37">
        <v>3528.1999999999998</v>
      </c>
      <c r="K507" s="37">
        <v>3528.1999999999998</v>
      </c>
      <c r="L507" s="38">
        <v>126</v>
      </c>
      <c r="M507" s="39">
        <f t="shared" si="85"/>
        <v>10750862.140000001</v>
      </c>
      <c r="N507" s="37">
        <v>0</v>
      </c>
      <c r="O507" s="37">
        <v>0</v>
      </c>
      <c r="P507" s="37">
        <v>0</v>
      </c>
      <c r="Q507" s="40">
        <f>'Таблица 3 '!C496</f>
        <v>10750862.140000001</v>
      </c>
      <c r="R507" s="37">
        <f t="shared" si="86"/>
        <v>10750862.140000001</v>
      </c>
      <c r="S507" s="37">
        <v>0</v>
      </c>
      <c r="T507" s="37">
        <f t="shared" si="87"/>
        <v>3047.1237854996884</v>
      </c>
      <c r="U507" s="37">
        <f t="shared" si="88"/>
        <v>3047.1237854996884</v>
      </c>
      <c r="V507" s="41" t="s">
        <v>572</v>
      </c>
      <c r="W507" s="31"/>
    </row>
    <row r="508" s="31" customFormat="1" ht="42.75" customHeight="1">
      <c r="A508" s="33">
        <v>39</v>
      </c>
      <c r="B508" s="34" t="s">
        <v>587</v>
      </c>
      <c r="C508" s="33" t="s">
        <v>43</v>
      </c>
      <c r="D508" s="33">
        <v>1986</v>
      </c>
      <c r="E508" s="35" t="s">
        <v>39</v>
      </c>
      <c r="F508" s="33" t="s">
        <v>44</v>
      </c>
      <c r="G508" s="36">
        <v>9</v>
      </c>
      <c r="H508" s="36">
        <v>2</v>
      </c>
      <c r="I508" s="37">
        <v>6205.5</v>
      </c>
      <c r="J508" s="37">
        <v>6205.1999999999998</v>
      </c>
      <c r="K508" s="37">
        <v>5996.3999999999996</v>
      </c>
      <c r="L508" s="38">
        <v>85</v>
      </c>
      <c r="M508" s="39">
        <f t="shared" si="85"/>
        <v>5614866.0700000003</v>
      </c>
      <c r="N508" s="37">
        <v>0</v>
      </c>
      <c r="O508" s="37">
        <v>0</v>
      </c>
      <c r="P508" s="37">
        <v>0</v>
      </c>
      <c r="Q508" s="40">
        <f>'Таблица 3 '!C497</f>
        <v>5614866.0700000003</v>
      </c>
      <c r="R508" s="37">
        <f t="shared" si="86"/>
        <v>5614866.0700000003</v>
      </c>
      <c r="S508" s="37">
        <v>0</v>
      </c>
      <c r="T508" s="37">
        <f t="shared" si="87"/>
        <v>904.86464094630321</v>
      </c>
      <c r="U508" s="37">
        <f t="shared" si="88"/>
        <v>904.86464094630321</v>
      </c>
      <c r="V508" s="41" t="s">
        <v>572</v>
      </c>
      <c r="W508" s="31"/>
      <c r="X508" s="31"/>
    </row>
    <row r="509" s="31" customFormat="1" ht="42.75" customHeight="1">
      <c r="A509" s="33">
        <v>40</v>
      </c>
      <c r="B509" s="34" t="s">
        <v>588</v>
      </c>
      <c r="C509" s="33" t="s">
        <v>43</v>
      </c>
      <c r="D509" s="33">
        <v>1954</v>
      </c>
      <c r="E509" s="35" t="s">
        <v>39</v>
      </c>
      <c r="F509" s="33" t="s">
        <v>44</v>
      </c>
      <c r="G509" s="36">
        <v>3</v>
      </c>
      <c r="H509" s="36">
        <v>2</v>
      </c>
      <c r="I509" s="37">
        <v>1110</v>
      </c>
      <c r="J509" s="37">
        <v>1020</v>
      </c>
      <c r="K509" s="37">
        <v>39.299999999999997</v>
      </c>
      <c r="L509" s="38">
        <v>2</v>
      </c>
      <c r="M509" s="39">
        <f t="shared" si="85"/>
        <v>10451299.939999999</v>
      </c>
      <c r="N509" s="37">
        <v>0</v>
      </c>
      <c r="O509" s="37">
        <v>0</v>
      </c>
      <c r="P509" s="37">
        <v>0</v>
      </c>
      <c r="Q509" s="40">
        <f>'Таблица 3 '!C498</f>
        <v>10451299.939999999</v>
      </c>
      <c r="R509" s="37">
        <f t="shared" si="86"/>
        <v>10451299.939999999</v>
      </c>
      <c r="S509" s="37">
        <v>0</v>
      </c>
      <c r="T509" s="37">
        <f t="shared" si="87"/>
        <v>10246.372490196078</v>
      </c>
      <c r="U509" s="37">
        <f t="shared" si="88"/>
        <v>10246.372490196078</v>
      </c>
      <c r="V509" s="41" t="s">
        <v>572</v>
      </c>
      <c r="W509" s="47"/>
      <c r="X509" s="31"/>
    </row>
    <row r="510" s="31" customFormat="1" ht="42.75" customHeight="1">
      <c r="A510" s="33">
        <v>41</v>
      </c>
      <c r="B510" s="34" t="s">
        <v>589</v>
      </c>
      <c r="C510" s="33" t="s">
        <v>43</v>
      </c>
      <c r="D510" s="33">
        <v>1980</v>
      </c>
      <c r="E510" s="35" t="s">
        <v>39</v>
      </c>
      <c r="F510" s="33" t="s">
        <v>383</v>
      </c>
      <c r="G510" s="36">
        <v>2</v>
      </c>
      <c r="H510" s="36">
        <v>2</v>
      </c>
      <c r="I510" s="37">
        <v>1030.9000000000001</v>
      </c>
      <c r="J510" s="37">
        <v>611.30999999999995</v>
      </c>
      <c r="K510" s="37">
        <v>0</v>
      </c>
      <c r="L510" s="38">
        <v>24</v>
      </c>
      <c r="M510" s="39">
        <f t="shared" si="85"/>
        <v>6158086.96</v>
      </c>
      <c r="N510" s="37">
        <v>0</v>
      </c>
      <c r="O510" s="37">
        <v>0</v>
      </c>
      <c r="P510" s="37">
        <v>0</v>
      </c>
      <c r="Q510" s="40">
        <f>'Таблица 3 '!C499</f>
        <v>6158086.96</v>
      </c>
      <c r="R510" s="37">
        <f t="shared" si="86"/>
        <v>6158086.96</v>
      </c>
      <c r="S510" s="37">
        <v>0</v>
      </c>
      <c r="T510" s="37">
        <f t="shared" si="87"/>
        <v>10073.591074904714</v>
      </c>
      <c r="U510" s="37">
        <f t="shared" si="88"/>
        <v>10073.591074904714</v>
      </c>
      <c r="V510" s="41" t="s">
        <v>572</v>
      </c>
      <c r="W510" s="47"/>
      <c r="X510" s="31"/>
    </row>
    <row r="511" s="31" customFormat="1" ht="42.75" customHeight="1">
      <c r="A511" s="33">
        <v>42</v>
      </c>
      <c r="B511" s="34" t="s">
        <v>590</v>
      </c>
      <c r="C511" s="43" t="s">
        <v>43</v>
      </c>
      <c r="D511" s="33">
        <v>1968</v>
      </c>
      <c r="E511" s="44" t="s">
        <v>39</v>
      </c>
      <c r="F511" s="33" t="s">
        <v>44</v>
      </c>
      <c r="G511" s="45">
        <v>3</v>
      </c>
      <c r="H511" s="36">
        <v>1</v>
      </c>
      <c r="I511" s="46">
        <v>3838.3000000000002</v>
      </c>
      <c r="J511" s="37">
        <v>1284.0999999999999</v>
      </c>
      <c r="K511" s="46">
        <v>0</v>
      </c>
      <c r="L511" s="38">
        <v>2</v>
      </c>
      <c r="M511" s="39">
        <f t="shared" si="85"/>
        <v>22742051.099999998</v>
      </c>
      <c r="N511" s="46">
        <v>0</v>
      </c>
      <c r="O511" s="37">
        <v>0</v>
      </c>
      <c r="P511" s="46">
        <v>0</v>
      </c>
      <c r="Q511" s="40">
        <f>'Таблица 3 '!C500</f>
        <v>22742051.099999998</v>
      </c>
      <c r="R511" s="46">
        <f t="shared" si="86"/>
        <v>22742051.099999998</v>
      </c>
      <c r="S511" s="37">
        <v>0</v>
      </c>
      <c r="T511" s="46">
        <f t="shared" si="87"/>
        <v>17710.498481426679</v>
      </c>
      <c r="U511" s="37">
        <f t="shared" si="88"/>
        <v>17710.498481426679</v>
      </c>
      <c r="V511" s="41" t="s">
        <v>572</v>
      </c>
      <c r="W511" s="47"/>
      <c r="X511" s="31"/>
    </row>
    <row r="512" s="31" customFormat="1" ht="42.75" customHeight="1">
      <c r="A512" s="33">
        <v>43</v>
      </c>
      <c r="B512" s="34" t="s">
        <v>112</v>
      </c>
      <c r="C512" s="33" t="s">
        <v>43</v>
      </c>
      <c r="D512" s="33">
        <v>1971</v>
      </c>
      <c r="E512" s="35" t="s">
        <v>39</v>
      </c>
      <c r="F512" s="33" t="s">
        <v>48</v>
      </c>
      <c r="G512" s="36">
        <v>2</v>
      </c>
      <c r="H512" s="36">
        <v>2</v>
      </c>
      <c r="I512" s="40">
        <v>653.20000000000005</v>
      </c>
      <c r="J512" s="40">
        <v>639.89999999999998</v>
      </c>
      <c r="K512" s="40">
        <v>357.80000000000001</v>
      </c>
      <c r="L512" s="48">
        <v>41</v>
      </c>
      <c r="M512" s="39">
        <f t="shared" si="85"/>
        <v>4174973.77</v>
      </c>
      <c r="N512" s="37">
        <v>0</v>
      </c>
      <c r="O512" s="37">
        <v>0</v>
      </c>
      <c r="P512" s="37">
        <v>0</v>
      </c>
      <c r="Q512" s="40">
        <f>'Таблица 3 '!C501</f>
        <v>4174973.77</v>
      </c>
      <c r="R512" s="37">
        <f t="shared" si="86"/>
        <v>4174973.77</v>
      </c>
      <c r="S512" s="40">
        <v>0</v>
      </c>
      <c r="T512" s="37">
        <f t="shared" si="87"/>
        <v>6524.4159556180657</v>
      </c>
      <c r="U512" s="37">
        <f t="shared" si="88"/>
        <v>6524.4159556180657</v>
      </c>
      <c r="V512" s="41" t="s">
        <v>572</v>
      </c>
      <c r="W512" s="31"/>
    </row>
    <row r="513" s="31" customFormat="1" ht="42.75" customHeight="1">
      <c r="A513" s="33">
        <v>44</v>
      </c>
      <c r="B513" s="42" t="s">
        <v>591</v>
      </c>
      <c r="C513" s="33" t="s">
        <v>43</v>
      </c>
      <c r="D513" s="35" t="s">
        <v>132</v>
      </c>
      <c r="E513" s="35" t="s">
        <v>39</v>
      </c>
      <c r="F513" s="33" t="s">
        <v>44</v>
      </c>
      <c r="G513" s="36">
        <v>5</v>
      </c>
      <c r="H513" s="36">
        <v>6</v>
      </c>
      <c r="I513" s="37">
        <v>4542.3999999999996</v>
      </c>
      <c r="J513" s="37">
        <v>4542.3999999999996</v>
      </c>
      <c r="K513" s="37">
        <v>4417.8000000000002</v>
      </c>
      <c r="L513" s="38">
        <v>216</v>
      </c>
      <c r="M513" s="39">
        <f t="shared" si="85"/>
        <v>6172478.1699999999</v>
      </c>
      <c r="N513" s="37">
        <v>0</v>
      </c>
      <c r="O513" s="37">
        <v>0</v>
      </c>
      <c r="P513" s="37">
        <v>0</v>
      </c>
      <c r="Q513" s="40">
        <f>'Таблица 3 '!C502</f>
        <v>6172478.1699999999</v>
      </c>
      <c r="R513" s="37">
        <f t="shared" si="86"/>
        <v>6172478.1699999999</v>
      </c>
      <c r="S513" s="37">
        <v>0</v>
      </c>
      <c r="T513" s="37">
        <f t="shared" si="87"/>
        <v>1358.8583502113422</v>
      </c>
      <c r="U513" s="37">
        <f t="shared" si="88"/>
        <v>1358.8583502113422</v>
      </c>
      <c r="V513" s="41" t="s">
        <v>572</v>
      </c>
      <c r="W513" s="31"/>
    </row>
    <row r="514" s="31" customFormat="1" ht="42.75" customHeight="1">
      <c r="A514" s="33">
        <v>45</v>
      </c>
      <c r="B514" s="34" t="s">
        <v>117</v>
      </c>
      <c r="C514" s="33" t="s">
        <v>43</v>
      </c>
      <c r="D514" s="33">
        <v>1959</v>
      </c>
      <c r="E514" s="35" t="s">
        <v>39</v>
      </c>
      <c r="F514" s="33" t="s">
        <v>44</v>
      </c>
      <c r="G514" s="36">
        <v>2</v>
      </c>
      <c r="H514" s="36">
        <v>1</v>
      </c>
      <c r="I514" s="37">
        <v>268.89999999999998</v>
      </c>
      <c r="J514" s="37">
        <v>273</v>
      </c>
      <c r="K514" s="37">
        <v>190.69999999999999</v>
      </c>
      <c r="L514" s="38">
        <v>20</v>
      </c>
      <c r="M514" s="39">
        <f t="shared" si="85"/>
        <v>2512925.9100000001</v>
      </c>
      <c r="N514" s="37">
        <v>0</v>
      </c>
      <c r="O514" s="37">
        <v>0</v>
      </c>
      <c r="P514" s="37">
        <v>0</v>
      </c>
      <c r="Q514" s="40">
        <f>'Таблица 3 '!C503</f>
        <v>2512925.9100000001</v>
      </c>
      <c r="R514" s="37">
        <f t="shared" si="86"/>
        <v>2512925.9100000001</v>
      </c>
      <c r="S514" s="37">
        <v>0</v>
      </c>
      <c r="T514" s="37">
        <f t="shared" si="87"/>
        <v>9204.8568131868142</v>
      </c>
      <c r="U514" s="37">
        <f t="shared" si="88"/>
        <v>9204.8568131868142</v>
      </c>
      <c r="V514" s="41" t="s">
        <v>572</v>
      </c>
      <c r="W514" s="31"/>
    </row>
    <row r="515" s="31" customFormat="1" ht="42.75" customHeight="1">
      <c r="A515" s="33">
        <v>46</v>
      </c>
      <c r="B515" s="34" t="s">
        <v>118</v>
      </c>
      <c r="C515" s="33" t="s">
        <v>43</v>
      </c>
      <c r="D515" s="33">
        <v>1960</v>
      </c>
      <c r="E515" s="35" t="s">
        <v>39</v>
      </c>
      <c r="F515" s="33" t="s">
        <v>44</v>
      </c>
      <c r="G515" s="36">
        <v>2</v>
      </c>
      <c r="H515" s="36">
        <v>1</v>
      </c>
      <c r="I515" s="37">
        <v>284.69999999999999</v>
      </c>
      <c r="J515" s="37">
        <v>272.5</v>
      </c>
      <c r="K515" s="37">
        <v>237.59999999999999</v>
      </c>
      <c r="L515" s="38">
        <v>16</v>
      </c>
      <c r="M515" s="39">
        <f t="shared" si="85"/>
        <v>2547866.3100000001</v>
      </c>
      <c r="N515" s="37">
        <v>0</v>
      </c>
      <c r="O515" s="37">
        <v>0</v>
      </c>
      <c r="P515" s="37">
        <v>0</v>
      </c>
      <c r="Q515" s="40">
        <f>'Таблица 3 '!C504</f>
        <v>2547866.3100000001</v>
      </c>
      <c r="R515" s="37">
        <f t="shared" si="86"/>
        <v>2547866.3100000001</v>
      </c>
      <c r="S515" s="37">
        <v>0</v>
      </c>
      <c r="T515" s="37">
        <f t="shared" si="87"/>
        <v>9349.9681100917442</v>
      </c>
      <c r="U515" s="37">
        <f t="shared" si="88"/>
        <v>9349.9681100917442</v>
      </c>
      <c r="V515" s="41" t="s">
        <v>572</v>
      </c>
      <c r="W515" s="31"/>
    </row>
    <row r="516" s="31" customFormat="1" ht="42.75" customHeight="1">
      <c r="A516" s="33">
        <v>47</v>
      </c>
      <c r="B516" s="34" t="s">
        <v>119</v>
      </c>
      <c r="C516" s="33" t="s">
        <v>43</v>
      </c>
      <c r="D516" s="33">
        <v>1958</v>
      </c>
      <c r="E516" s="35" t="s">
        <v>39</v>
      </c>
      <c r="F516" s="33" t="s">
        <v>44</v>
      </c>
      <c r="G516" s="36">
        <v>2</v>
      </c>
      <c r="H516" s="36">
        <v>1</v>
      </c>
      <c r="I516" s="37">
        <v>261.80000000000001</v>
      </c>
      <c r="J516" s="37">
        <v>273.39999999999998</v>
      </c>
      <c r="K516" s="37">
        <v>273.39999999999998</v>
      </c>
      <c r="L516" s="38">
        <v>8</v>
      </c>
      <c r="M516" s="39">
        <f t="shared" si="85"/>
        <v>1016246.5700000001</v>
      </c>
      <c r="N516" s="37">
        <v>0</v>
      </c>
      <c r="O516" s="37">
        <v>0</v>
      </c>
      <c r="P516" s="37">
        <v>0</v>
      </c>
      <c r="Q516" s="40">
        <f>'Таблица 3 '!C505</f>
        <v>1016246.5700000001</v>
      </c>
      <c r="R516" s="37">
        <f t="shared" si="86"/>
        <v>1016246.5700000001</v>
      </c>
      <c r="S516" s="37">
        <v>0</v>
      </c>
      <c r="T516" s="37">
        <f t="shared" si="87"/>
        <v>3717.0686539868329</v>
      </c>
      <c r="U516" s="37">
        <f t="shared" si="88"/>
        <v>3717.0686539868329</v>
      </c>
      <c r="V516" s="41" t="s">
        <v>572</v>
      </c>
      <c r="W516" s="31"/>
    </row>
    <row r="517" s="31" customFormat="1" ht="42.75" customHeight="1">
      <c r="A517" s="33">
        <v>48</v>
      </c>
      <c r="B517" s="34" t="s">
        <v>592</v>
      </c>
      <c r="C517" s="33" t="s">
        <v>43</v>
      </c>
      <c r="D517" s="33">
        <v>1959</v>
      </c>
      <c r="E517" s="35" t="s">
        <v>39</v>
      </c>
      <c r="F517" s="33" t="s">
        <v>44</v>
      </c>
      <c r="G517" s="36">
        <v>2</v>
      </c>
      <c r="H517" s="36">
        <v>1</v>
      </c>
      <c r="I517" s="37">
        <v>231.19999999999999</v>
      </c>
      <c r="J517" s="37">
        <v>273.19999999999999</v>
      </c>
      <c r="K517" s="37">
        <v>242.69999999999999</v>
      </c>
      <c r="L517" s="38">
        <v>8</v>
      </c>
      <c r="M517" s="39">
        <f t="shared" si="85"/>
        <v>2780360.8799999999</v>
      </c>
      <c r="N517" s="37">
        <v>0</v>
      </c>
      <c r="O517" s="37">
        <v>0</v>
      </c>
      <c r="P517" s="37">
        <v>0</v>
      </c>
      <c r="Q517" s="40">
        <f>'Таблица 3 '!C506</f>
        <v>2780360.8799999999</v>
      </c>
      <c r="R517" s="37">
        <f t="shared" si="86"/>
        <v>2780360.8799999999</v>
      </c>
      <c r="S517" s="37">
        <v>0</v>
      </c>
      <c r="T517" s="37">
        <f t="shared" si="87"/>
        <v>10177.016398243046</v>
      </c>
      <c r="U517" s="37">
        <f t="shared" si="88"/>
        <v>10177.016398243046</v>
      </c>
      <c r="V517" s="41" t="s">
        <v>572</v>
      </c>
      <c r="W517" s="31"/>
      <c r="X517" s="31"/>
    </row>
    <row r="518" s="31" customFormat="1" ht="42.75" customHeight="1">
      <c r="A518" s="33">
        <v>49</v>
      </c>
      <c r="B518" s="34" t="s">
        <v>593</v>
      </c>
      <c r="C518" s="33" t="s">
        <v>43</v>
      </c>
      <c r="D518" s="33">
        <v>1958</v>
      </c>
      <c r="E518" s="35" t="s">
        <v>39</v>
      </c>
      <c r="F518" s="33" t="s">
        <v>44</v>
      </c>
      <c r="G518" s="36">
        <v>2</v>
      </c>
      <c r="H518" s="36">
        <v>1</v>
      </c>
      <c r="I518" s="37">
        <v>284.69999999999999</v>
      </c>
      <c r="J518" s="37">
        <v>279.39999999999998</v>
      </c>
      <c r="K518" s="37">
        <v>141.19999999999999</v>
      </c>
      <c r="L518" s="38">
        <v>18</v>
      </c>
      <c r="M518" s="39">
        <f t="shared" si="85"/>
        <v>1261306.53</v>
      </c>
      <c r="N518" s="37">
        <v>0</v>
      </c>
      <c r="O518" s="37">
        <v>0</v>
      </c>
      <c r="P518" s="37">
        <v>0</v>
      </c>
      <c r="Q518" s="40">
        <f>'Таблица 3 '!C507</f>
        <v>1261306.53</v>
      </c>
      <c r="R518" s="37">
        <f t="shared" si="86"/>
        <v>1261306.53</v>
      </c>
      <c r="S518" s="37">
        <v>0</v>
      </c>
      <c r="T518" s="37">
        <f t="shared" si="87"/>
        <v>4514.3397637795279</v>
      </c>
      <c r="U518" s="37">
        <f t="shared" si="88"/>
        <v>4514.3397637795279</v>
      </c>
      <c r="V518" s="41" t="s">
        <v>572</v>
      </c>
      <c r="W518" s="31"/>
    </row>
    <row r="519" s="31" customFormat="1" ht="56.25" customHeight="1">
      <c r="A519" s="33">
        <v>50</v>
      </c>
      <c r="B519" s="34" t="s">
        <v>594</v>
      </c>
      <c r="C519" s="43" t="s">
        <v>85</v>
      </c>
      <c r="D519" s="33">
        <v>2001</v>
      </c>
      <c r="E519" s="44" t="s">
        <v>39</v>
      </c>
      <c r="F519" s="33" t="s">
        <v>44</v>
      </c>
      <c r="G519" s="45">
        <v>9</v>
      </c>
      <c r="H519" s="36">
        <v>2</v>
      </c>
      <c r="I519" s="46">
        <v>4346.8000000000002</v>
      </c>
      <c r="J519" s="37">
        <v>3819.9000000000001</v>
      </c>
      <c r="K519" s="46">
        <v>3819.9000000000001</v>
      </c>
      <c r="L519" s="38">
        <v>73</v>
      </c>
      <c r="M519" s="39">
        <f t="shared" si="85"/>
        <v>5964866.0700000003</v>
      </c>
      <c r="N519" s="46">
        <v>0</v>
      </c>
      <c r="O519" s="37">
        <v>0</v>
      </c>
      <c r="P519" s="46">
        <v>0</v>
      </c>
      <c r="Q519" s="40">
        <f>'Таблица 3 '!C508</f>
        <v>5964866.0700000003</v>
      </c>
      <c r="R519" s="46">
        <f t="shared" si="86"/>
        <v>5964866.0700000003</v>
      </c>
      <c r="S519" s="37">
        <v>0</v>
      </c>
      <c r="T519" s="46">
        <f t="shared" si="87"/>
        <v>1561.5241419932458</v>
      </c>
      <c r="U519" s="37">
        <f t="shared" si="88"/>
        <v>1561.5241419932458</v>
      </c>
      <c r="V519" s="41" t="s">
        <v>572</v>
      </c>
      <c r="W519" s="47"/>
    </row>
    <row r="520" s="31" customFormat="1" ht="42.75" customHeight="1">
      <c r="A520" s="33">
        <v>51</v>
      </c>
      <c r="B520" s="52" t="s">
        <v>121</v>
      </c>
      <c r="C520" s="33" t="s">
        <v>43</v>
      </c>
      <c r="D520" s="35" t="s">
        <v>93</v>
      </c>
      <c r="E520" s="35" t="s">
        <v>39</v>
      </c>
      <c r="F520" s="33" t="s">
        <v>44</v>
      </c>
      <c r="G520" s="36">
        <v>2</v>
      </c>
      <c r="H520" s="36">
        <v>2</v>
      </c>
      <c r="I520" s="37">
        <v>775.89999999999998</v>
      </c>
      <c r="J520" s="37">
        <v>676.70000000000005</v>
      </c>
      <c r="K520" s="37">
        <v>107</v>
      </c>
      <c r="L520" s="38">
        <v>49</v>
      </c>
      <c r="M520" s="39">
        <f t="shared" si="85"/>
        <v>8228321.7000000002</v>
      </c>
      <c r="N520" s="37">
        <v>0</v>
      </c>
      <c r="O520" s="37">
        <v>0</v>
      </c>
      <c r="P520" s="37">
        <v>0</v>
      </c>
      <c r="Q520" s="40">
        <f>'Таблица 3 '!C509</f>
        <v>8228321.7000000002</v>
      </c>
      <c r="R520" s="37">
        <f t="shared" si="86"/>
        <v>8228321.7000000002</v>
      </c>
      <c r="S520" s="37">
        <v>0</v>
      </c>
      <c r="T520" s="37">
        <f t="shared" si="87"/>
        <v>12159.48234077139</v>
      </c>
      <c r="U520" s="37">
        <f t="shared" si="88"/>
        <v>12159.48234077139</v>
      </c>
      <c r="V520" s="41" t="s">
        <v>572</v>
      </c>
      <c r="W520" s="31"/>
    </row>
    <row r="521" s="31" customFormat="1" ht="42.75" customHeight="1">
      <c r="A521" s="33">
        <v>52</v>
      </c>
      <c r="B521" s="34" t="s">
        <v>125</v>
      </c>
      <c r="C521" s="33" t="s">
        <v>43</v>
      </c>
      <c r="D521" s="35" t="s">
        <v>126</v>
      </c>
      <c r="E521" s="35" t="s">
        <v>39</v>
      </c>
      <c r="F521" s="33" t="s">
        <v>44</v>
      </c>
      <c r="G521" s="36">
        <v>4</v>
      </c>
      <c r="H521" s="36">
        <v>1</v>
      </c>
      <c r="I521" s="37">
        <v>869.89999999999998</v>
      </c>
      <c r="J521" s="37">
        <v>847.10000000000002</v>
      </c>
      <c r="K521" s="37">
        <v>642.70000000000005</v>
      </c>
      <c r="L521" s="38">
        <v>52</v>
      </c>
      <c r="M521" s="39">
        <f t="shared" si="85"/>
        <v>4106769.5299999998</v>
      </c>
      <c r="N521" s="37">
        <v>0</v>
      </c>
      <c r="O521" s="37">
        <v>0</v>
      </c>
      <c r="P521" s="37">
        <v>0</v>
      </c>
      <c r="Q521" s="40">
        <f>'Таблица 3 '!C510</f>
        <v>4106769.5299999998</v>
      </c>
      <c r="R521" s="37">
        <f t="shared" si="86"/>
        <v>4106769.5299999998</v>
      </c>
      <c r="S521" s="37">
        <v>0</v>
      </c>
      <c r="T521" s="37">
        <f t="shared" si="87"/>
        <v>4848.0339157124299</v>
      </c>
      <c r="U521" s="37">
        <f t="shared" si="88"/>
        <v>4848.0339157124299</v>
      </c>
      <c r="V521" s="41" t="s">
        <v>572</v>
      </c>
      <c r="W521" s="31"/>
    </row>
    <row r="522" s="31" customFormat="1" ht="42.75" customHeight="1">
      <c r="A522" s="33">
        <v>53</v>
      </c>
      <c r="B522" s="42" t="s">
        <v>595</v>
      </c>
      <c r="C522" s="43" t="s">
        <v>43</v>
      </c>
      <c r="D522" s="35" t="s">
        <v>365</v>
      </c>
      <c r="E522" s="44" t="s">
        <v>39</v>
      </c>
      <c r="F522" s="33" t="s">
        <v>44</v>
      </c>
      <c r="G522" s="45">
        <v>4</v>
      </c>
      <c r="H522" s="36">
        <v>3</v>
      </c>
      <c r="I522" s="46">
        <v>2077.5999999999999</v>
      </c>
      <c r="J522" s="37">
        <v>2038.9000000000001</v>
      </c>
      <c r="K522" s="46">
        <v>1994.4000000000001</v>
      </c>
      <c r="L522" s="38">
        <v>76</v>
      </c>
      <c r="M522" s="39">
        <f t="shared" si="85"/>
        <v>1751910</v>
      </c>
      <c r="N522" s="46">
        <v>0</v>
      </c>
      <c r="O522" s="37">
        <v>0</v>
      </c>
      <c r="P522" s="46">
        <v>0</v>
      </c>
      <c r="Q522" s="40">
        <f>'Таблица 3 '!C511</f>
        <v>1751910</v>
      </c>
      <c r="R522" s="46">
        <f t="shared" si="86"/>
        <v>1751910</v>
      </c>
      <c r="S522" s="37">
        <v>0</v>
      </c>
      <c r="T522" s="46">
        <f t="shared" si="87"/>
        <v>859.24272892245813</v>
      </c>
      <c r="U522" s="37">
        <f t="shared" si="88"/>
        <v>859.24272892245813</v>
      </c>
      <c r="V522" s="41" t="s">
        <v>572</v>
      </c>
      <c r="W522" s="47"/>
    </row>
    <row r="523" s="31" customFormat="1" ht="42.75" customHeight="1">
      <c r="A523" s="33">
        <v>54</v>
      </c>
      <c r="B523" s="42" t="s">
        <v>128</v>
      </c>
      <c r="C523" s="33" t="s">
        <v>43</v>
      </c>
      <c r="D523" s="35" t="s">
        <v>129</v>
      </c>
      <c r="E523" s="35" t="s">
        <v>130</v>
      </c>
      <c r="F523" s="33" t="s">
        <v>44</v>
      </c>
      <c r="G523" s="36">
        <v>4</v>
      </c>
      <c r="H523" s="36">
        <v>6</v>
      </c>
      <c r="I523" s="37">
        <v>4579.6999999999998</v>
      </c>
      <c r="J523" s="37">
        <v>4405.5</v>
      </c>
      <c r="K523" s="37">
        <v>4234.3999999999996</v>
      </c>
      <c r="L523" s="38">
        <v>67</v>
      </c>
      <c r="M523" s="39">
        <f t="shared" si="85"/>
        <v>5840299.6600000001</v>
      </c>
      <c r="N523" s="37">
        <v>0</v>
      </c>
      <c r="O523" s="37">
        <v>0</v>
      </c>
      <c r="P523" s="37">
        <v>0</v>
      </c>
      <c r="Q523" s="40">
        <f>'Таблица 3 '!C512</f>
        <v>5840299.6600000001</v>
      </c>
      <c r="R523" s="37">
        <f t="shared" si="86"/>
        <v>5840299.6600000001</v>
      </c>
      <c r="S523" s="37">
        <v>0</v>
      </c>
      <c r="T523" s="37">
        <f t="shared" si="87"/>
        <v>1325.6837271592328</v>
      </c>
      <c r="U523" s="37">
        <f t="shared" si="88"/>
        <v>1325.6837271592328</v>
      </c>
      <c r="V523" s="41" t="s">
        <v>572</v>
      </c>
      <c r="W523" s="31"/>
    </row>
    <row r="524" s="47" customFormat="1" ht="42.75" customHeight="1">
      <c r="A524" s="33">
        <v>55</v>
      </c>
      <c r="B524" s="42" t="s">
        <v>596</v>
      </c>
      <c r="C524" s="43" t="s">
        <v>43</v>
      </c>
      <c r="D524" s="35" t="s">
        <v>129</v>
      </c>
      <c r="E524" s="35" t="s">
        <v>39</v>
      </c>
      <c r="F524" s="33" t="s">
        <v>44</v>
      </c>
      <c r="G524" s="45">
        <v>4</v>
      </c>
      <c r="H524" s="36">
        <v>6</v>
      </c>
      <c r="I524" s="46">
        <v>4308.1999999999998</v>
      </c>
      <c r="J524" s="37">
        <v>4293.1999999999998</v>
      </c>
      <c r="K524" s="46">
        <v>3678.5999999999999</v>
      </c>
      <c r="L524" s="38">
        <v>68</v>
      </c>
      <c r="M524" s="39">
        <f t="shared" si="85"/>
        <v>1028916</v>
      </c>
      <c r="N524" s="46">
        <v>0</v>
      </c>
      <c r="O524" s="37">
        <v>0</v>
      </c>
      <c r="P524" s="46">
        <v>0</v>
      </c>
      <c r="Q524" s="40">
        <f>'Таблица 3 '!C513</f>
        <v>1028916</v>
      </c>
      <c r="R524" s="46">
        <f t="shared" si="86"/>
        <v>1028916</v>
      </c>
      <c r="S524" s="37">
        <v>0</v>
      </c>
      <c r="T524" s="46">
        <f t="shared" si="87"/>
        <v>239.66179073884283</v>
      </c>
      <c r="U524" s="37">
        <f t="shared" si="88"/>
        <v>239.66179073884283</v>
      </c>
      <c r="V524" s="41" t="s">
        <v>572</v>
      </c>
      <c r="W524" s="47"/>
    </row>
    <row r="525" s="47" customFormat="1" ht="42.75" customHeight="1">
      <c r="A525" s="33">
        <v>56</v>
      </c>
      <c r="B525" s="42" t="s">
        <v>597</v>
      </c>
      <c r="C525" s="33" t="s">
        <v>43</v>
      </c>
      <c r="D525" s="44" t="s">
        <v>129</v>
      </c>
      <c r="E525" s="35" t="s">
        <v>39</v>
      </c>
      <c r="F525" s="43" t="s">
        <v>44</v>
      </c>
      <c r="G525" s="36">
        <v>4</v>
      </c>
      <c r="H525" s="45">
        <v>6</v>
      </c>
      <c r="I525" s="37">
        <v>3769.9000000000001</v>
      </c>
      <c r="J525" s="46">
        <v>3769.9000000000001</v>
      </c>
      <c r="K525" s="37">
        <v>3732.9000000000001</v>
      </c>
      <c r="L525" s="90">
        <v>71</v>
      </c>
      <c r="M525" s="39">
        <f t="shared" si="85"/>
        <v>1028916</v>
      </c>
      <c r="N525" s="37">
        <v>0</v>
      </c>
      <c r="O525" s="46">
        <v>0</v>
      </c>
      <c r="P525" s="37">
        <v>0</v>
      </c>
      <c r="Q525" s="40">
        <f>'Таблица 3 '!C514</f>
        <v>1028916</v>
      </c>
      <c r="R525" s="37">
        <f t="shared" si="86"/>
        <v>1028916</v>
      </c>
      <c r="S525" s="46">
        <v>0</v>
      </c>
      <c r="T525" s="37">
        <f t="shared" si="87"/>
        <v>272.92925541791561</v>
      </c>
      <c r="U525" s="46">
        <f t="shared" si="88"/>
        <v>272.92925541791561</v>
      </c>
      <c r="V525" s="41" t="s">
        <v>572</v>
      </c>
      <c r="W525" s="47"/>
    </row>
    <row r="526" s="31" customFormat="1" ht="42.75" customHeight="1">
      <c r="A526" s="33">
        <v>57</v>
      </c>
      <c r="B526" s="42" t="s">
        <v>131</v>
      </c>
      <c r="C526" s="33" t="s">
        <v>43</v>
      </c>
      <c r="D526" s="35" t="s">
        <v>132</v>
      </c>
      <c r="E526" s="35" t="s">
        <v>39</v>
      </c>
      <c r="F526" s="33" t="s">
        <v>44</v>
      </c>
      <c r="G526" s="36">
        <v>5</v>
      </c>
      <c r="H526" s="36">
        <v>2</v>
      </c>
      <c r="I526" s="37">
        <v>1789.4000000000001</v>
      </c>
      <c r="J526" s="37">
        <v>1785.3</v>
      </c>
      <c r="K526" s="37">
        <v>1785.3</v>
      </c>
      <c r="L526" s="38">
        <v>77</v>
      </c>
      <c r="M526" s="39">
        <f t="shared" si="85"/>
        <v>6105235.8599999994</v>
      </c>
      <c r="N526" s="37">
        <v>0</v>
      </c>
      <c r="O526" s="37">
        <v>0</v>
      </c>
      <c r="P526" s="37">
        <v>0</v>
      </c>
      <c r="Q526" s="40">
        <f>'Таблица 3 '!C515</f>
        <v>6105235.8599999994</v>
      </c>
      <c r="R526" s="37">
        <f t="shared" si="86"/>
        <v>6105235.8599999994</v>
      </c>
      <c r="S526" s="37">
        <v>0</v>
      </c>
      <c r="T526" s="37">
        <f t="shared" si="87"/>
        <v>3419.7254579062342</v>
      </c>
      <c r="U526" s="37">
        <f t="shared" si="88"/>
        <v>3419.7254579062342</v>
      </c>
      <c r="V526" s="41" t="s">
        <v>572</v>
      </c>
      <c r="W526" s="31"/>
    </row>
    <row r="527" s="31" customFormat="1" ht="42.75" customHeight="1">
      <c r="A527" s="33">
        <v>58</v>
      </c>
      <c r="B527" s="34" t="s">
        <v>598</v>
      </c>
      <c r="C527" s="43" t="s">
        <v>43</v>
      </c>
      <c r="D527" s="35" t="s">
        <v>377</v>
      </c>
      <c r="E527" s="44" t="s">
        <v>39</v>
      </c>
      <c r="F527" s="33" t="s">
        <v>44</v>
      </c>
      <c r="G527" s="45">
        <v>5</v>
      </c>
      <c r="H527" s="36">
        <v>8</v>
      </c>
      <c r="I527" s="46">
        <v>7256.8000000000002</v>
      </c>
      <c r="J527" s="37">
        <v>5593.5</v>
      </c>
      <c r="K527" s="46">
        <v>5247.1999999999998</v>
      </c>
      <c r="L527" s="38">
        <v>235</v>
      </c>
      <c r="M527" s="39">
        <f t="shared" si="85"/>
        <v>2138613.8700000001</v>
      </c>
      <c r="N527" s="46">
        <v>0</v>
      </c>
      <c r="O527" s="37">
        <v>0</v>
      </c>
      <c r="P527" s="46">
        <v>0</v>
      </c>
      <c r="Q527" s="40">
        <f>'Таблица 3 '!C516</f>
        <v>2138613.8700000001</v>
      </c>
      <c r="R527" s="46">
        <f t="shared" si="86"/>
        <v>2138613.8700000001</v>
      </c>
      <c r="S527" s="37">
        <v>0</v>
      </c>
      <c r="T527" s="46">
        <f t="shared" si="87"/>
        <v>382.33912040761601</v>
      </c>
      <c r="U527" s="37">
        <f t="shared" si="88"/>
        <v>382.33912040761601</v>
      </c>
      <c r="V527" s="41" t="s">
        <v>572</v>
      </c>
      <c r="W527" s="47"/>
    </row>
    <row r="528" s="31" customFormat="1" ht="42.75" customHeight="1">
      <c r="A528" s="33">
        <v>59</v>
      </c>
      <c r="B528" s="42" t="s">
        <v>136</v>
      </c>
      <c r="C528" s="33" t="s">
        <v>43</v>
      </c>
      <c r="D528" s="35" t="s">
        <v>137</v>
      </c>
      <c r="E528" s="35" t="s">
        <v>63</v>
      </c>
      <c r="F528" s="33" t="s">
        <v>44</v>
      </c>
      <c r="G528" s="36">
        <v>9</v>
      </c>
      <c r="H528" s="36">
        <v>1</v>
      </c>
      <c r="I528" s="37">
        <v>2776.6999999999998</v>
      </c>
      <c r="J528" s="37">
        <v>2774.4000000000001</v>
      </c>
      <c r="K528" s="37">
        <v>2139.5999999999999</v>
      </c>
      <c r="L528" s="38">
        <v>84</v>
      </c>
      <c r="M528" s="39">
        <f t="shared" si="85"/>
        <v>3695801.6000000001</v>
      </c>
      <c r="N528" s="37">
        <v>0</v>
      </c>
      <c r="O528" s="37">
        <v>0</v>
      </c>
      <c r="P528" s="37">
        <v>0</v>
      </c>
      <c r="Q528" s="40">
        <f>'Таблица 3 '!C517</f>
        <v>3695801.6000000001</v>
      </c>
      <c r="R528" s="37">
        <f t="shared" si="86"/>
        <v>3695801.6000000001</v>
      </c>
      <c r="S528" s="37">
        <v>0</v>
      </c>
      <c r="T528" s="37">
        <f t="shared" si="87"/>
        <v>1332.1084198385236</v>
      </c>
      <c r="U528" s="37">
        <f t="shared" si="88"/>
        <v>1332.1084198385236</v>
      </c>
      <c r="V528" s="41" t="s">
        <v>572</v>
      </c>
      <c r="W528" s="31"/>
    </row>
    <row r="529" s="31" customFormat="1" ht="42.75" customHeight="1">
      <c r="A529" s="33">
        <v>60</v>
      </c>
      <c r="B529" s="42" t="s">
        <v>138</v>
      </c>
      <c r="C529" s="33" t="s">
        <v>43</v>
      </c>
      <c r="D529" s="35" t="s">
        <v>126</v>
      </c>
      <c r="E529" s="35" t="s">
        <v>39</v>
      </c>
      <c r="F529" s="33" t="s">
        <v>44</v>
      </c>
      <c r="G529" s="36">
        <v>4</v>
      </c>
      <c r="H529" s="36">
        <v>2</v>
      </c>
      <c r="I529" s="37">
        <v>1259.7</v>
      </c>
      <c r="J529" s="37">
        <v>1266.5999999999999</v>
      </c>
      <c r="K529" s="37">
        <v>1213.0999999999999</v>
      </c>
      <c r="L529" s="38">
        <v>47</v>
      </c>
      <c r="M529" s="39">
        <f t="shared" si="85"/>
        <v>3911748.4399999999</v>
      </c>
      <c r="N529" s="37">
        <v>0</v>
      </c>
      <c r="O529" s="37">
        <v>0</v>
      </c>
      <c r="P529" s="37">
        <v>0</v>
      </c>
      <c r="Q529" s="40">
        <f>'Таблица 3 '!C518</f>
        <v>3911748.4399999999</v>
      </c>
      <c r="R529" s="37">
        <f t="shared" si="86"/>
        <v>3911748.4399999999</v>
      </c>
      <c r="S529" s="37">
        <v>0</v>
      </c>
      <c r="T529" s="37">
        <f t="shared" si="87"/>
        <v>3088.3849992104851</v>
      </c>
      <c r="U529" s="37">
        <f t="shared" si="88"/>
        <v>3088.3849992104851</v>
      </c>
      <c r="V529" s="41" t="s">
        <v>572</v>
      </c>
      <c r="W529" s="31"/>
    </row>
    <row r="530" s="31" customFormat="1" ht="42.75" customHeight="1">
      <c r="A530" s="33">
        <v>61</v>
      </c>
      <c r="B530" s="42" t="s">
        <v>146</v>
      </c>
      <c r="C530" s="33" t="s">
        <v>43</v>
      </c>
      <c r="D530" s="35" t="s">
        <v>147</v>
      </c>
      <c r="E530" s="35" t="s">
        <v>39</v>
      </c>
      <c r="F530" s="33" t="s">
        <v>44</v>
      </c>
      <c r="G530" s="36">
        <v>5</v>
      </c>
      <c r="H530" s="36">
        <v>6</v>
      </c>
      <c r="I530" s="37">
        <v>4515.6999999999998</v>
      </c>
      <c r="J530" s="37">
        <v>4469.6000000000004</v>
      </c>
      <c r="K530" s="37">
        <v>4332.3999999999996</v>
      </c>
      <c r="L530" s="38">
        <v>184</v>
      </c>
      <c r="M530" s="39">
        <f t="shared" si="85"/>
        <v>23522881.729999997</v>
      </c>
      <c r="N530" s="37">
        <v>0</v>
      </c>
      <c r="O530" s="37">
        <v>0</v>
      </c>
      <c r="P530" s="37">
        <v>0</v>
      </c>
      <c r="Q530" s="40">
        <f>'Таблица 3 '!C519</f>
        <v>23522881.729999997</v>
      </c>
      <c r="R530" s="37">
        <f t="shared" si="86"/>
        <v>23522881.729999997</v>
      </c>
      <c r="S530" s="37">
        <v>0</v>
      </c>
      <c r="T530" s="37">
        <f t="shared" si="87"/>
        <v>5262.8605982638255</v>
      </c>
      <c r="U530" s="37">
        <f t="shared" si="88"/>
        <v>5262.8605982638255</v>
      </c>
      <c r="V530" s="41" t="s">
        <v>572</v>
      </c>
      <c r="W530" s="31"/>
    </row>
    <row r="531" s="31" customFormat="1" ht="42.75" customHeight="1">
      <c r="A531" s="33">
        <v>62</v>
      </c>
      <c r="B531" s="50" t="s">
        <v>148</v>
      </c>
      <c r="C531" s="33" t="s">
        <v>43</v>
      </c>
      <c r="D531" s="35" t="s">
        <v>114</v>
      </c>
      <c r="E531" s="35">
        <v>2025</v>
      </c>
      <c r="F531" s="33" t="s">
        <v>44</v>
      </c>
      <c r="G531" s="36">
        <v>5</v>
      </c>
      <c r="H531" s="36">
        <v>6</v>
      </c>
      <c r="I531" s="37">
        <v>4546.1000000000004</v>
      </c>
      <c r="J531" s="37">
        <v>4505.3999999999996</v>
      </c>
      <c r="K531" s="37">
        <v>4458.5</v>
      </c>
      <c r="L531" s="38">
        <v>177</v>
      </c>
      <c r="M531" s="39">
        <f t="shared" si="85"/>
        <v>15333040.25</v>
      </c>
      <c r="N531" s="37">
        <v>0</v>
      </c>
      <c r="O531" s="37">
        <v>0</v>
      </c>
      <c r="P531" s="37">
        <v>0</v>
      </c>
      <c r="Q531" s="40">
        <f>'Таблица 3 '!C520</f>
        <v>15333040.25</v>
      </c>
      <c r="R531" s="37">
        <f t="shared" si="86"/>
        <v>15333040.25</v>
      </c>
      <c r="S531" s="37">
        <v>0</v>
      </c>
      <c r="T531" s="37">
        <f t="shared" si="87"/>
        <v>3403.2583677364942</v>
      </c>
      <c r="U531" s="37">
        <f t="shared" si="88"/>
        <v>3403.2583677364942</v>
      </c>
      <c r="V531" s="41" t="s">
        <v>572</v>
      </c>
      <c r="W531" s="31"/>
    </row>
    <row r="532" s="31" customFormat="1" ht="42.75" customHeight="1">
      <c r="A532" s="33">
        <v>63</v>
      </c>
      <c r="B532" s="50" t="s">
        <v>599</v>
      </c>
      <c r="C532" s="43" t="s">
        <v>43</v>
      </c>
      <c r="D532" s="35" t="s">
        <v>195</v>
      </c>
      <c r="E532" s="44" t="s">
        <v>39</v>
      </c>
      <c r="F532" s="33" t="s">
        <v>44</v>
      </c>
      <c r="G532" s="45">
        <v>2</v>
      </c>
      <c r="H532" s="36">
        <v>2</v>
      </c>
      <c r="I532" s="46">
        <v>555.60000000000002</v>
      </c>
      <c r="J532" s="37">
        <v>550.10000000000002</v>
      </c>
      <c r="K532" s="46">
        <v>550.10000000000002</v>
      </c>
      <c r="L532" s="38">
        <v>45</v>
      </c>
      <c r="M532" s="39">
        <f t="shared" si="85"/>
        <v>5329185.7300000004</v>
      </c>
      <c r="N532" s="46">
        <v>0</v>
      </c>
      <c r="O532" s="37">
        <v>0</v>
      </c>
      <c r="P532" s="46">
        <v>0</v>
      </c>
      <c r="Q532" s="40">
        <f>'Таблица 3 '!C521</f>
        <v>5329185.7300000004</v>
      </c>
      <c r="R532" s="46">
        <f t="shared" si="86"/>
        <v>5329185.7300000004</v>
      </c>
      <c r="S532" s="37">
        <v>0</v>
      </c>
      <c r="T532" s="46">
        <f t="shared" si="87"/>
        <v>9687.6672059625525</v>
      </c>
      <c r="U532" s="37">
        <f t="shared" si="88"/>
        <v>9687.6672059625525</v>
      </c>
      <c r="V532" s="41" t="s">
        <v>572</v>
      </c>
      <c r="W532" s="47"/>
    </row>
    <row r="533" s="31" customFormat="1" ht="42.75" customHeight="1">
      <c r="A533" s="33">
        <v>64</v>
      </c>
      <c r="B533" s="34" t="s">
        <v>156</v>
      </c>
      <c r="C533" s="33" t="s">
        <v>43</v>
      </c>
      <c r="D533" s="33">
        <v>1997</v>
      </c>
      <c r="E533" s="35" t="s">
        <v>39</v>
      </c>
      <c r="F533" s="33" t="s">
        <v>77</v>
      </c>
      <c r="G533" s="36">
        <v>9</v>
      </c>
      <c r="H533" s="36">
        <v>1</v>
      </c>
      <c r="I533" s="40">
        <v>6925.1999999999998</v>
      </c>
      <c r="J533" s="40">
        <v>4721.3999999999996</v>
      </c>
      <c r="K533" s="40">
        <v>3305.8000000000002</v>
      </c>
      <c r="L533" s="48">
        <v>116</v>
      </c>
      <c r="M533" s="39">
        <f t="shared" si="85"/>
        <v>10576704.02</v>
      </c>
      <c r="N533" s="37">
        <v>0</v>
      </c>
      <c r="O533" s="37">
        <v>0</v>
      </c>
      <c r="P533" s="37">
        <v>0</v>
      </c>
      <c r="Q533" s="40">
        <f>'Таблица 3 '!C522</f>
        <v>10576704.02</v>
      </c>
      <c r="R533" s="37">
        <f t="shared" si="86"/>
        <v>10576704.02</v>
      </c>
      <c r="S533" s="40">
        <v>0</v>
      </c>
      <c r="T533" s="37">
        <f t="shared" ref="T533:T596" si="89">M533/J533</f>
        <v>2240.1626678527555</v>
      </c>
      <c r="U533" s="37">
        <f t="shared" ref="U533:U596" si="90">T533</f>
        <v>2240.1626678527555</v>
      </c>
      <c r="V533" s="41" t="s">
        <v>572</v>
      </c>
      <c r="W533" s="31"/>
    </row>
    <row r="534" s="31" customFormat="1" ht="42.75" customHeight="1">
      <c r="A534" s="33">
        <v>65</v>
      </c>
      <c r="B534" s="34" t="s">
        <v>600</v>
      </c>
      <c r="C534" s="43" t="s">
        <v>43</v>
      </c>
      <c r="D534" s="33">
        <v>1971</v>
      </c>
      <c r="E534" s="44" t="s">
        <v>39</v>
      </c>
      <c r="F534" s="33" t="s">
        <v>77</v>
      </c>
      <c r="G534" s="45">
        <v>5</v>
      </c>
      <c r="H534" s="36">
        <v>4</v>
      </c>
      <c r="I534" s="51">
        <v>4688.1000000000004</v>
      </c>
      <c r="J534" s="40">
        <v>4336.3999999999996</v>
      </c>
      <c r="K534" s="51">
        <v>2623</v>
      </c>
      <c r="L534" s="48">
        <v>88</v>
      </c>
      <c r="M534" s="39">
        <f t="shared" ref="M534:M597" si="91">SUM(N534:Q534)</f>
        <v>30593641.459999997</v>
      </c>
      <c r="N534" s="46">
        <v>0</v>
      </c>
      <c r="O534" s="37">
        <v>0</v>
      </c>
      <c r="P534" s="46">
        <v>0</v>
      </c>
      <c r="Q534" s="40">
        <f>'Таблица 3 '!C523</f>
        <v>30593641.459999997</v>
      </c>
      <c r="R534" s="46">
        <f t="shared" ref="R534:R597" si="92">Q534</f>
        <v>30593641.459999997</v>
      </c>
      <c r="S534" s="40">
        <v>0</v>
      </c>
      <c r="T534" s="46">
        <f t="shared" si="89"/>
        <v>7055.0782815238445</v>
      </c>
      <c r="U534" s="37">
        <f t="shared" si="90"/>
        <v>7055.0782815238445</v>
      </c>
      <c r="V534" s="41" t="s">
        <v>572</v>
      </c>
      <c r="W534" s="47"/>
    </row>
    <row r="535" s="31" customFormat="1" ht="42.75" customHeight="1">
      <c r="A535" s="33">
        <v>66</v>
      </c>
      <c r="B535" s="50" t="s">
        <v>161</v>
      </c>
      <c r="C535" s="33" t="s">
        <v>43</v>
      </c>
      <c r="D535" s="35" t="s">
        <v>79</v>
      </c>
      <c r="E535" s="35" t="s">
        <v>70</v>
      </c>
      <c r="F535" s="33" t="s">
        <v>44</v>
      </c>
      <c r="G535" s="36">
        <v>9</v>
      </c>
      <c r="H535" s="36">
        <v>8</v>
      </c>
      <c r="I535" s="37">
        <v>5087.6999999999998</v>
      </c>
      <c r="J535" s="37">
        <v>7642.6999999999998</v>
      </c>
      <c r="K535" s="37">
        <v>6843.1000000000004</v>
      </c>
      <c r="L535" s="38">
        <v>243</v>
      </c>
      <c r="M535" s="39">
        <f t="shared" si="91"/>
        <v>43957015.009999998</v>
      </c>
      <c r="N535" s="37">
        <v>0</v>
      </c>
      <c r="O535" s="37">
        <v>0</v>
      </c>
      <c r="P535" s="37">
        <v>0</v>
      </c>
      <c r="Q535" s="40">
        <f>'Таблица 3 '!C524</f>
        <v>43957015.009999998</v>
      </c>
      <c r="R535" s="37">
        <f t="shared" si="92"/>
        <v>43957015.009999998</v>
      </c>
      <c r="S535" s="37">
        <v>0</v>
      </c>
      <c r="T535" s="37">
        <f t="shared" si="89"/>
        <v>5751.5033967053523</v>
      </c>
      <c r="U535" s="37">
        <f t="shared" si="90"/>
        <v>5751.5033967053523</v>
      </c>
      <c r="V535" s="41" t="s">
        <v>572</v>
      </c>
      <c r="W535" s="31"/>
    </row>
    <row r="536" s="31" customFormat="1" ht="42.75" customHeight="1">
      <c r="A536" s="33">
        <v>67</v>
      </c>
      <c r="B536" s="34" t="s">
        <v>162</v>
      </c>
      <c r="C536" s="33" t="s">
        <v>43</v>
      </c>
      <c r="D536" s="35" t="s">
        <v>163</v>
      </c>
      <c r="E536" s="35" t="s">
        <v>39</v>
      </c>
      <c r="F536" s="33" t="s">
        <v>44</v>
      </c>
      <c r="G536" s="36">
        <v>3</v>
      </c>
      <c r="H536" s="36">
        <v>2</v>
      </c>
      <c r="I536" s="37">
        <v>1323.5999999999999</v>
      </c>
      <c r="J536" s="37">
        <v>1087.9000000000001</v>
      </c>
      <c r="K536" s="37">
        <v>812.35000000000002</v>
      </c>
      <c r="L536" s="38">
        <v>49</v>
      </c>
      <c r="M536" s="39">
        <f t="shared" si="91"/>
        <v>5043925.0300000003</v>
      </c>
      <c r="N536" s="37">
        <v>0</v>
      </c>
      <c r="O536" s="37">
        <v>0</v>
      </c>
      <c r="P536" s="37">
        <v>0</v>
      </c>
      <c r="Q536" s="40">
        <f>'Таблица 3 '!C525</f>
        <v>5043925.0300000003</v>
      </c>
      <c r="R536" s="37">
        <f t="shared" si="92"/>
        <v>5043925.0300000003</v>
      </c>
      <c r="S536" s="37">
        <v>0</v>
      </c>
      <c r="T536" s="37">
        <f t="shared" si="89"/>
        <v>4636.3866439930143</v>
      </c>
      <c r="U536" s="37">
        <f t="shared" si="90"/>
        <v>4636.3866439930143</v>
      </c>
      <c r="V536" s="41" t="s">
        <v>572</v>
      </c>
      <c r="W536" s="31"/>
    </row>
    <row r="537" s="31" customFormat="1" ht="42.75" customHeight="1">
      <c r="A537" s="33">
        <v>68</v>
      </c>
      <c r="B537" s="50" t="s">
        <v>165</v>
      </c>
      <c r="C537" s="33" t="s">
        <v>43</v>
      </c>
      <c r="D537" s="33">
        <v>1995</v>
      </c>
      <c r="E537" s="35" t="s">
        <v>39</v>
      </c>
      <c r="F537" s="33" t="s">
        <v>48</v>
      </c>
      <c r="G537" s="36">
        <v>5</v>
      </c>
      <c r="H537" s="36">
        <v>2</v>
      </c>
      <c r="I537" s="37">
        <v>3251.9000000000001</v>
      </c>
      <c r="J537" s="37">
        <v>3251.8000000000002</v>
      </c>
      <c r="K537" s="37">
        <v>2699.6999999999998</v>
      </c>
      <c r="L537" s="38">
        <v>168</v>
      </c>
      <c r="M537" s="39">
        <f t="shared" si="91"/>
        <v>7419736.3299999991</v>
      </c>
      <c r="N537" s="37">
        <v>0</v>
      </c>
      <c r="O537" s="37">
        <v>0</v>
      </c>
      <c r="P537" s="37">
        <v>0</v>
      </c>
      <c r="Q537" s="40">
        <f>'Таблица 3 '!C526</f>
        <v>7419736.3299999991</v>
      </c>
      <c r="R537" s="37">
        <f t="shared" si="92"/>
        <v>7419736.3299999991</v>
      </c>
      <c r="S537" s="37">
        <v>0</v>
      </c>
      <c r="T537" s="37">
        <f t="shared" si="89"/>
        <v>2281.7320653176698</v>
      </c>
      <c r="U537" s="37">
        <f t="shared" si="90"/>
        <v>2281.7320653176698</v>
      </c>
      <c r="V537" s="41" t="s">
        <v>572</v>
      </c>
      <c r="W537" s="31"/>
    </row>
    <row r="538" s="31" customFormat="1" ht="42.75" customHeight="1">
      <c r="A538" s="33">
        <v>69</v>
      </c>
      <c r="B538" s="50" t="s">
        <v>166</v>
      </c>
      <c r="C538" s="33" t="s">
        <v>43</v>
      </c>
      <c r="D538" s="33">
        <v>1973</v>
      </c>
      <c r="E538" s="35" t="s">
        <v>39</v>
      </c>
      <c r="F538" s="33" t="s">
        <v>48</v>
      </c>
      <c r="G538" s="36">
        <v>5</v>
      </c>
      <c r="H538" s="36">
        <v>4</v>
      </c>
      <c r="I538" s="37">
        <v>3549</v>
      </c>
      <c r="J538" s="37">
        <v>3519.6999999999998</v>
      </c>
      <c r="K538" s="37">
        <v>3419.0999999999999</v>
      </c>
      <c r="L538" s="38">
        <v>190</v>
      </c>
      <c r="M538" s="39">
        <f t="shared" si="91"/>
        <v>8345095.3099999996</v>
      </c>
      <c r="N538" s="37">
        <v>0</v>
      </c>
      <c r="O538" s="37">
        <v>0</v>
      </c>
      <c r="P538" s="37">
        <v>0</v>
      </c>
      <c r="Q538" s="40">
        <f>'Таблица 3 '!C527</f>
        <v>8345095.3099999996</v>
      </c>
      <c r="R538" s="37">
        <f t="shared" si="92"/>
        <v>8345095.3099999996</v>
      </c>
      <c r="S538" s="37">
        <v>0</v>
      </c>
      <c r="T538" s="37">
        <f t="shared" si="89"/>
        <v>2370.9677841861521</v>
      </c>
      <c r="U538" s="37">
        <f t="shared" si="90"/>
        <v>2370.9677841861521</v>
      </c>
      <c r="V538" s="41" t="s">
        <v>572</v>
      </c>
      <c r="W538" s="31"/>
    </row>
    <row r="539" s="31" customFormat="1" ht="42.75" customHeight="1">
      <c r="A539" s="33">
        <v>70</v>
      </c>
      <c r="B539" s="34" t="s">
        <v>601</v>
      </c>
      <c r="C539" s="43" t="s">
        <v>43</v>
      </c>
      <c r="D539" s="35" t="s">
        <v>168</v>
      </c>
      <c r="E539" s="44" t="s">
        <v>39</v>
      </c>
      <c r="F539" s="33" t="s">
        <v>48</v>
      </c>
      <c r="G539" s="45">
        <v>5</v>
      </c>
      <c r="H539" s="36">
        <v>5</v>
      </c>
      <c r="I539" s="46">
        <v>4458.5</v>
      </c>
      <c r="J539" s="37">
        <v>4441.5</v>
      </c>
      <c r="K539" s="46">
        <v>4369.8000000000002</v>
      </c>
      <c r="L539" s="38">
        <v>182</v>
      </c>
      <c r="M539" s="39">
        <f t="shared" si="91"/>
        <v>7304910.2400000002</v>
      </c>
      <c r="N539" s="46">
        <v>0</v>
      </c>
      <c r="O539" s="37">
        <v>0</v>
      </c>
      <c r="P539" s="46">
        <v>0</v>
      </c>
      <c r="Q539" s="40">
        <f>'Таблица 3 '!C528</f>
        <v>7304910.2400000002</v>
      </c>
      <c r="R539" s="51">
        <f t="shared" si="92"/>
        <v>7304910.2400000002</v>
      </c>
      <c r="S539" s="40">
        <v>0</v>
      </c>
      <c r="T539" s="46">
        <f t="shared" si="89"/>
        <v>1644.6944140493076</v>
      </c>
      <c r="U539" s="37">
        <f t="shared" si="90"/>
        <v>1644.6944140493076</v>
      </c>
      <c r="V539" s="41" t="s">
        <v>572</v>
      </c>
      <c r="W539" s="47"/>
    </row>
    <row r="540" s="31" customFormat="1" ht="42.75" customHeight="1">
      <c r="A540" s="33">
        <v>71</v>
      </c>
      <c r="B540" s="34" t="s">
        <v>602</v>
      </c>
      <c r="C540" s="33" t="s">
        <v>43</v>
      </c>
      <c r="D540" s="35" t="s">
        <v>170</v>
      </c>
      <c r="E540" s="35" t="s">
        <v>39</v>
      </c>
      <c r="F540" s="33" t="s">
        <v>48</v>
      </c>
      <c r="G540" s="36">
        <v>5</v>
      </c>
      <c r="H540" s="36">
        <v>6</v>
      </c>
      <c r="I540" s="37">
        <v>6700.1999999999998</v>
      </c>
      <c r="J540" s="37">
        <v>6686.8999999999996</v>
      </c>
      <c r="K540" s="37">
        <v>5877.6000000000004</v>
      </c>
      <c r="L540" s="90">
        <v>250</v>
      </c>
      <c r="M540" s="39">
        <f t="shared" si="91"/>
        <v>36232469.32</v>
      </c>
      <c r="N540" s="37">
        <v>0</v>
      </c>
      <c r="O540" s="37">
        <v>0</v>
      </c>
      <c r="P540" s="37">
        <v>0</v>
      </c>
      <c r="Q540" s="40">
        <f>'Таблица 3 '!C529</f>
        <v>36232469.32</v>
      </c>
      <c r="R540" s="40">
        <f t="shared" si="92"/>
        <v>36232469.32</v>
      </c>
      <c r="S540" s="40">
        <v>0</v>
      </c>
      <c r="T540" s="37">
        <f t="shared" si="89"/>
        <v>5418.4254766782815</v>
      </c>
      <c r="U540" s="46">
        <f t="shared" si="90"/>
        <v>5418.4254766782815</v>
      </c>
      <c r="V540" s="41" t="s">
        <v>572</v>
      </c>
      <c r="W540" s="47"/>
    </row>
    <row r="541" s="31" customFormat="1" ht="42.75" customHeight="1">
      <c r="A541" s="33">
        <v>72</v>
      </c>
      <c r="B541" s="34" t="s">
        <v>171</v>
      </c>
      <c r="C541" s="33" t="s">
        <v>43</v>
      </c>
      <c r="D541" s="35" t="s">
        <v>168</v>
      </c>
      <c r="E541" s="35" t="s">
        <v>39</v>
      </c>
      <c r="F541" s="33" t="s">
        <v>48</v>
      </c>
      <c r="G541" s="36">
        <v>5</v>
      </c>
      <c r="H541" s="36">
        <v>6</v>
      </c>
      <c r="I541" s="37">
        <v>5866.3999999999996</v>
      </c>
      <c r="J541" s="37">
        <v>5742.8000000000002</v>
      </c>
      <c r="K541" s="37">
        <v>5694.1000000000004</v>
      </c>
      <c r="L541" s="38">
        <v>268</v>
      </c>
      <c r="M541" s="39">
        <f t="shared" si="91"/>
        <v>589435</v>
      </c>
      <c r="N541" s="37">
        <v>0</v>
      </c>
      <c r="O541" s="37">
        <v>0</v>
      </c>
      <c r="P541" s="37">
        <v>0</v>
      </c>
      <c r="Q541" s="40">
        <f>'Таблица 3 '!C530</f>
        <v>589435</v>
      </c>
      <c r="R541" s="37">
        <f t="shared" si="92"/>
        <v>589435</v>
      </c>
      <c r="S541" s="37">
        <v>0</v>
      </c>
      <c r="T541" s="37">
        <f t="shared" si="89"/>
        <v>102.6389566065334</v>
      </c>
      <c r="U541" s="37">
        <f t="shared" si="90"/>
        <v>102.6389566065334</v>
      </c>
      <c r="V541" s="41" t="s">
        <v>572</v>
      </c>
      <c r="W541" s="31"/>
    </row>
    <row r="542" s="31" customFormat="1" ht="42.75" customHeight="1">
      <c r="A542" s="33">
        <v>73</v>
      </c>
      <c r="B542" s="34" t="s">
        <v>603</v>
      </c>
      <c r="C542" s="33" t="s">
        <v>43</v>
      </c>
      <c r="D542" s="35" t="s">
        <v>135</v>
      </c>
      <c r="E542" s="35" t="s">
        <v>39</v>
      </c>
      <c r="F542" s="33" t="s">
        <v>77</v>
      </c>
      <c r="G542" s="36">
        <v>5</v>
      </c>
      <c r="H542" s="36">
        <v>8</v>
      </c>
      <c r="I542" s="37">
        <v>6053.8000000000002</v>
      </c>
      <c r="J542" s="37">
        <v>6053.8000000000002</v>
      </c>
      <c r="K542" s="37">
        <v>5869.5</v>
      </c>
      <c r="L542" s="38">
        <v>265</v>
      </c>
      <c r="M542" s="39">
        <f t="shared" si="91"/>
        <v>700764</v>
      </c>
      <c r="N542" s="37">
        <v>0</v>
      </c>
      <c r="O542" s="37">
        <v>0</v>
      </c>
      <c r="P542" s="37">
        <v>0</v>
      </c>
      <c r="Q542" s="40">
        <f>'Таблица 3 '!C531</f>
        <v>700764</v>
      </c>
      <c r="R542" s="40">
        <f t="shared" si="92"/>
        <v>700764</v>
      </c>
      <c r="S542" s="40">
        <v>0</v>
      </c>
      <c r="T542" s="37">
        <f t="shared" si="89"/>
        <v>115.75605404869668</v>
      </c>
      <c r="U542" s="37">
        <f t="shared" si="90"/>
        <v>115.75605404869668</v>
      </c>
      <c r="V542" s="41" t="s">
        <v>572</v>
      </c>
      <c r="W542" s="47"/>
    </row>
    <row r="543" s="31" customFormat="1" ht="42.75" customHeight="1">
      <c r="A543" s="33">
        <v>74</v>
      </c>
      <c r="B543" s="34" t="s">
        <v>604</v>
      </c>
      <c r="C543" s="33" t="s">
        <v>43</v>
      </c>
      <c r="D543" s="35" t="s">
        <v>605</v>
      </c>
      <c r="E543" s="35" t="s">
        <v>39</v>
      </c>
      <c r="F543" s="33" t="s">
        <v>77</v>
      </c>
      <c r="G543" s="36">
        <v>13</v>
      </c>
      <c r="H543" s="36">
        <v>2</v>
      </c>
      <c r="I543" s="37">
        <v>9676.1000000000004</v>
      </c>
      <c r="J543" s="37">
        <v>6957.5</v>
      </c>
      <c r="K543" s="37">
        <v>6957.5</v>
      </c>
      <c r="L543" s="38">
        <v>116</v>
      </c>
      <c r="M543" s="39">
        <f t="shared" si="91"/>
        <v>38153419.770000003</v>
      </c>
      <c r="N543" s="37">
        <v>0</v>
      </c>
      <c r="O543" s="37">
        <v>0</v>
      </c>
      <c r="P543" s="37">
        <v>0</v>
      </c>
      <c r="Q543" s="40">
        <f>'Таблица 3 '!C532</f>
        <v>38153419.770000003</v>
      </c>
      <c r="R543" s="40">
        <f t="shared" si="92"/>
        <v>38153419.770000003</v>
      </c>
      <c r="S543" s="40">
        <v>0</v>
      </c>
      <c r="T543" s="37">
        <f t="shared" si="89"/>
        <v>5483.7829349622716</v>
      </c>
      <c r="U543" s="37">
        <f t="shared" si="90"/>
        <v>5483.7829349622716</v>
      </c>
      <c r="V543" s="41" t="s">
        <v>572</v>
      </c>
      <c r="W543" s="47"/>
    </row>
    <row r="544" s="31" customFormat="1" ht="42.75" customHeight="1">
      <c r="A544" s="33">
        <v>75</v>
      </c>
      <c r="B544" s="34" t="s">
        <v>174</v>
      </c>
      <c r="C544" s="33" t="s">
        <v>43</v>
      </c>
      <c r="D544" s="43">
        <v>1978</v>
      </c>
      <c r="E544" s="35" t="s">
        <v>39</v>
      </c>
      <c r="F544" s="43" t="s">
        <v>77</v>
      </c>
      <c r="G544" s="36">
        <v>5</v>
      </c>
      <c r="H544" s="45">
        <v>4</v>
      </c>
      <c r="I544" s="40">
        <v>3312.1999999999998</v>
      </c>
      <c r="J544" s="51">
        <v>3374</v>
      </c>
      <c r="K544" s="40">
        <v>3160.4000000000001</v>
      </c>
      <c r="L544" s="48">
        <v>124</v>
      </c>
      <c r="M544" s="51">
        <f t="shared" si="91"/>
        <v>9170347.7799999993</v>
      </c>
      <c r="N544" s="40">
        <v>0</v>
      </c>
      <c r="O544" s="51">
        <v>0</v>
      </c>
      <c r="P544" s="40">
        <v>0</v>
      </c>
      <c r="Q544" s="40">
        <f>'Таблица 3 '!C533</f>
        <v>9170347.7799999993</v>
      </c>
      <c r="R544" s="40">
        <f t="shared" si="92"/>
        <v>9170347.7799999993</v>
      </c>
      <c r="S544" s="51">
        <v>0</v>
      </c>
      <c r="T544" s="37">
        <f t="shared" si="89"/>
        <v>2717.9454001185536</v>
      </c>
      <c r="U544" s="37">
        <f t="shared" si="90"/>
        <v>2717.9454001185536</v>
      </c>
      <c r="V544" s="41" t="s">
        <v>572</v>
      </c>
      <c r="W544" s="47"/>
    </row>
    <row r="545" s="31" customFormat="1" ht="42.75" customHeight="1">
      <c r="A545" s="33">
        <v>76</v>
      </c>
      <c r="B545" s="42" t="s">
        <v>177</v>
      </c>
      <c r="C545" s="33" t="s">
        <v>43</v>
      </c>
      <c r="D545" s="35">
        <v>1979</v>
      </c>
      <c r="E545" s="35" t="s">
        <v>39</v>
      </c>
      <c r="F545" s="33" t="s">
        <v>48</v>
      </c>
      <c r="G545" s="36">
        <v>5</v>
      </c>
      <c r="H545" s="36">
        <v>4</v>
      </c>
      <c r="I545" s="37">
        <v>4731.8999999999996</v>
      </c>
      <c r="J545" s="37">
        <v>3440.9000000000001</v>
      </c>
      <c r="K545" s="37">
        <v>3396.4000000000001</v>
      </c>
      <c r="L545" s="38">
        <v>172</v>
      </c>
      <c r="M545" s="39">
        <f t="shared" si="91"/>
        <v>12860270.300000001</v>
      </c>
      <c r="N545" s="37">
        <v>0</v>
      </c>
      <c r="O545" s="37">
        <v>0</v>
      </c>
      <c r="P545" s="37">
        <v>0</v>
      </c>
      <c r="Q545" s="40">
        <f>'Таблица 3 '!C534</f>
        <v>12860270.300000001</v>
      </c>
      <c r="R545" s="37">
        <f t="shared" si="92"/>
        <v>12860270.300000001</v>
      </c>
      <c r="S545" s="37">
        <v>0</v>
      </c>
      <c r="T545" s="37">
        <f t="shared" si="89"/>
        <v>3737.4728414077713</v>
      </c>
      <c r="U545" s="37">
        <f t="shared" si="90"/>
        <v>3737.4728414077713</v>
      </c>
      <c r="V545" s="41" t="s">
        <v>572</v>
      </c>
      <c r="W545" s="31"/>
    </row>
    <row r="546" s="31" customFormat="1" ht="42.75" customHeight="1">
      <c r="A546" s="33">
        <v>77</v>
      </c>
      <c r="B546" s="34" t="s">
        <v>178</v>
      </c>
      <c r="C546" s="33" t="s">
        <v>43</v>
      </c>
      <c r="D546" s="33">
        <v>1977</v>
      </c>
      <c r="E546" s="35" t="s">
        <v>70</v>
      </c>
      <c r="F546" s="33" t="s">
        <v>48</v>
      </c>
      <c r="G546" s="36">
        <v>5</v>
      </c>
      <c r="H546" s="36">
        <v>4</v>
      </c>
      <c r="I546" s="37">
        <v>4698.3000000000002</v>
      </c>
      <c r="J546" s="37">
        <v>3682.8000000000002</v>
      </c>
      <c r="K546" s="37">
        <v>3587.0999999999999</v>
      </c>
      <c r="L546" s="38">
        <v>86</v>
      </c>
      <c r="M546" s="39">
        <f t="shared" si="91"/>
        <v>5508763.9299999997</v>
      </c>
      <c r="N546" s="37">
        <v>0</v>
      </c>
      <c r="O546" s="37">
        <v>0</v>
      </c>
      <c r="P546" s="37">
        <v>0</v>
      </c>
      <c r="Q546" s="40">
        <f>'Таблица 3 '!C535</f>
        <v>5508763.9299999997</v>
      </c>
      <c r="R546" s="37">
        <f t="shared" si="92"/>
        <v>5508763.9299999997</v>
      </c>
      <c r="S546" s="37">
        <v>0</v>
      </c>
      <c r="T546" s="37">
        <f t="shared" si="89"/>
        <v>1495.8086048658627</v>
      </c>
      <c r="U546" s="37">
        <f t="shared" si="90"/>
        <v>1495.8086048658627</v>
      </c>
      <c r="V546" s="41" t="s">
        <v>572</v>
      </c>
      <c r="W546" s="31"/>
    </row>
    <row r="547" s="31" customFormat="1" ht="42.75" customHeight="1">
      <c r="A547" s="33">
        <v>78</v>
      </c>
      <c r="B547" s="42" t="s">
        <v>179</v>
      </c>
      <c r="C547" s="43" t="s">
        <v>43</v>
      </c>
      <c r="D547" s="33">
        <v>1973</v>
      </c>
      <c r="E547" s="44" t="s">
        <v>39</v>
      </c>
      <c r="F547" s="33" t="s">
        <v>48</v>
      </c>
      <c r="G547" s="45">
        <v>5</v>
      </c>
      <c r="H547" s="36">
        <v>4</v>
      </c>
      <c r="I547" s="46">
        <v>4374.1000000000004</v>
      </c>
      <c r="J547" s="37">
        <v>3351.6999999999998</v>
      </c>
      <c r="K547" s="46">
        <v>3236</v>
      </c>
      <c r="L547" s="38">
        <v>73</v>
      </c>
      <c r="M547" s="51">
        <f t="shared" si="91"/>
        <v>17812087.460000001</v>
      </c>
      <c r="N547" s="40">
        <v>0</v>
      </c>
      <c r="O547" s="51">
        <v>0</v>
      </c>
      <c r="P547" s="40">
        <v>0</v>
      </c>
      <c r="Q547" s="40">
        <f>'Таблица 3 '!C536</f>
        <v>17812087.460000001</v>
      </c>
      <c r="R547" s="40">
        <f t="shared" si="92"/>
        <v>17812087.460000001</v>
      </c>
      <c r="S547" s="51">
        <v>0</v>
      </c>
      <c r="T547" s="37">
        <f t="shared" si="89"/>
        <v>5314.3442014500106</v>
      </c>
      <c r="U547" s="46">
        <f t="shared" si="90"/>
        <v>5314.3442014500106</v>
      </c>
      <c r="V547" s="41" t="s">
        <v>572</v>
      </c>
      <c r="W547" s="47"/>
    </row>
    <row r="548" ht="42.75" customHeight="1">
      <c r="A548" s="33">
        <v>79</v>
      </c>
      <c r="B548" s="34" t="s">
        <v>180</v>
      </c>
      <c r="C548" s="33" t="s">
        <v>43</v>
      </c>
      <c r="D548" s="33">
        <v>1991</v>
      </c>
      <c r="E548" s="35" t="s">
        <v>39</v>
      </c>
      <c r="F548" s="33" t="s">
        <v>48</v>
      </c>
      <c r="G548" s="36">
        <v>5</v>
      </c>
      <c r="H548" s="36">
        <v>3</v>
      </c>
      <c r="I548" s="37">
        <v>3716.3000000000002</v>
      </c>
      <c r="J548" s="37">
        <v>3305.9000000000001</v>
      </c>
      <c r="K548" s="37">
        <v>3219.8000000000002</v>
      </c>
      <c r="L548" s="38">
        <v>145</v>
      </c>
      <c r="M548" s="39">
        <f t="shared" si="91"/>
        <v>4802183.9500000002</v>
      </c>
      <c r="N548" s="37">
        <v>0</v>
      </c>
      <c r="O548" s="37">
        <v>0</v>
      </c>
      <c r="P548" s="37">
        <v>0</v>
      </c>
      <c r="Q548" s="40">
        <f>'Таблица 3 '!C537</f>
        <v>4802183.9500000002</v>
      </c>
      <c r="R548" s="37">
        <f t="shared" si="92"/>
        <v>4802183.9500000002</v>
      </c>
      <c r="S548" s="37">
        <v>0</v>
      </c>
      <c r="T548" s="37">
        <f t="shared" si="89"/>
        <v>1452.6101666717082</v>
      </c>
      <c r="U548" s="37">
        <f t="shared" si="90"/>
        <v>1452.6101666717082</v>
      </c>
      <c r="V548" s="41" t="s">
        <v>572</v>
      </c>
      <c r="W548" s="31"/>
    </row>
    <row r="549" s="31" customFormat="1" ht="42.75" customHeight="1">
      <c r="A549" s="33">
        <v>80</v>
      </c>
      <c r="B549" s="34" t="s">
        <v>606</v>
      </c>
      <c r="C549" s="33" t="s">
        <v>43</v>
      </c>
      <c r="D549" s="35" t="s">
        <v>195</v>
      </c>
      <c r="E549" s="35" t="s">
        <v>39</v>
      </c>
      <c r="F549" s="33" t="s">
        <v>44</v>
      </c>
      <c r="G549" s="36">
        <v>4</v>
      </c>
      <c r="H549" s="36">
        <v>2</v>
      </c>
      <c r="I549" s="37">
        <v>1820.5</v>
      </c>
      <c r="J549" s="37">
        <v>1358</v>
      </c>
      <c r="K549" s="37">
        <v>1357.2</v>
      </c>
      <c r="L549" s="38">
        <v>43</v>
      </c>
      <c r="M549" s="39">
        <f t="shared" si="91"/>
        <v>8655050.9400000013</v>
      </c>
      <c r="N549" s="37">
        <v>0</v>
      </c>
      <c r="O549" s="37">
        <v>0</v>
      </c>
      <c r="P549" s="37">
        <v>0</v>
      </c>
      <c r="Q549" s="40">
        <f>'Таблица 3 '!C538</f>
        <v>8655050.9400000013</v>
      </c>
      <c r="R549" s="37">
        <f t="shared" si="92"/>
        <v>8655050.9400000013</v>
      </c>
      <c r="S549" s="37">
        <v>0</v>
      </c>
      <c r="T549" s="37">
        <f t="shared" si="89"/>
        <v>6373.3806627393233</v>
      </c>
      <c r="U549" s="37">
        <f t="shared" si="90"/>
        <v>6373.3806627393233</v>
      </c>
      <c r="V549" s="41" t="s">
        <v>572</v>
      </c>
      <c r="W549" s="31"/>
    </row>
    <row r="550" s="31" customFormat="1" ht="42.75" customHeight="1">
      <c r="A550" s="33">
        <v>81</v>
      </c>
      <c r="B550" s="34" t="s">
        <v>607</v>
      </c>
      <c r="C550" s="43" t="s">
        <v>85</v>
      </c>
      <c r="D550" s="35" t="s">
        <v>608</v>
      </c>
      <c r="E550" s="44" t="s">
        <v>39</v>
      </c>
      <c r="F550" s="33" t="s">
        <v>44</v>
      </c>
      <c r="G550" s="45">
        <v>9</v>
      </c>
      <c r="H550" s="36">
        <v>5</v>
      </c>
      <c r="I550" s="46">
        <v>16738.75</v>
      </c>
      <c r="J550" s="37">
        <v>13391</v>
      </c>
      <c r="K550" s="46">
        <v>13391</v>
      </c>
      <c r="L550" s="38">
        <v>446</v>
      </c>
      <c r="M550" s="39">
        <f t="shared" si="91"/>
        <v>11340297.140000001</v>
      </c>
      <c r="N550" s="46">
        <v>0</v>
      </c>
      <c r="O550" s="37">
        <v>0</v>
      </c>
      <c r="P550" s="46">
        <v>0</v>
      </c>
      <c r="Q550" s="40">
        <f>'Таблица 3 '!C539</f>
        <v>11340297.140000001</v>
      </c>
      <c r="R550" s="46">
        <f t="shared" si="92"/>
        <v>11340297.140000001</v>
      </c>
      <c r="S550" s="37">
        <v>0</v>
      </c>
      <c r="T550" s="46">
        <f t="shared" si="89"/>
        <v>846.859617653648</v>
      </c>
      <c r="U550" s="37">
        <f t="shared" si="90"/>
        <v>846.859617653648</v>
      </c>
      <c r="V550" s="41" t="s">
        <v>572</v>
      </c>
      <c r="W550" s="47"/>
    </row>
    <row r="551" s="31" customFormat="1" ht="42.75" customHeight="1">
      <c r="A551" s="33">
        <v>82</v>
      </c>
      <c r="B551" s="34" t="s">
        <v>184</v>
      </c>
      <c r="C551" s="33" t="s">
        <v>43</v>
      </c>
      <c r="D551" s="33">
        <v>1964</v>
      </c>
      <c r="E551" s="35" t="s">
        <v>39</v>
      </c>
      <c r="F551" s="33" t="s">
        <v>44</v>
      </c>
      <c r="G551" s="36">
        <v>2</v>
      </c>
      <c r="H551" s="36">
        <v>1</v>
      </c>
      <c r="I551" s="37">
        <v>297.5</v>
      </c>
      <c r="J551" s="37">
        <v>297.5</v>
      </c>
      <c r="K551" s="37">
        <v>221</v>
      </c>
      <c r="L551" s="38">
        <v>20</v>
      </c>
      <c r="M551" s="39">
        <f t="shared" si="91"/>
        <v>2738444.8999999999</v>
      </c>
      <c r="N551" s="37">
        <v>0</v>
      </c>
      <c r="O551" s="37">
        <v>0</v>
      </c>
      <c r="P551" s="37">
        <v>0</v>
      </c>
      <c r="Q551" s="40">
        <f>'Таблица 3 '!C540</f>
        <v>2738444.8999999999</v>
      </c>
      <c r="R551" s="37">
        <f t="shared" si="92"/>
        <v>2738444.8999999999</v>
      </c>
      <c r="S551" s="37">
        <v>0</v>
      </c>
      <c r="T551" s="37">
        <f t="shared" si="89"/>
        <v>9204.8568067226879</v>
      </c>
      <c r="U551" s="37">
        <f t="shared" si="90"/>
        <v>9204.8568067226879</v>
      </c>
      <c r="V551" s="41" t="s">
        <v>572</v>
      </c>
      <c r="W551" s="31"/>
    </row>
    <row r="552" s="31" customFormat="1" ht="42.75" customHeight="1">
      <c r="A552" s="33">
        <v>83</v>
      </c>
      <c r="B552" s="34" t="s">
        <v>185</v>
      </c>
      <c r="C552" s="43" t="s">
        <v>43</v>
      </c>
      <c r="D552" s="33">
        <v>1963</v>
      </c>
      <c r="E552" s="44" t="s">
        <v>39</v>
      </c>
      <c r="F552" s="33" t="s">
        <v>77</v>
      </c>
      <c r="G552" s="45">
        <v>2</v>
      </c>
      <c r="H552" s="36">
        <v>2</v>
      </c>
      <c r="I552" s="51">
        <v>632.29999999999995</v>
      </c>
      <c r="J552" s="40">
        <v>633</v>
      </c>
      <c r="K552" s="51">
        <v>630.79999999999995</v>
      </c>
      <c r="L552" s="48">
        <v>28</v>
      </c>
      <c r="M552" s="51">
        <f t="shared" si="91"/>
        <v>3532455.46</v>
      </c>
      <c r="N552" s="40">
        <v>0</v>
      </c>
      <c r="O552" s="51">
        <v>0</v>
      </c>
      <c r="P552" s="40">
        <v>0</v>
      </c>
      <c r="Q552" s="40">
        <f>'Таблица 3 '!C541</f>
        <v>3532455.46</v>
      </c>
      <c r="R552" s="40">
        <f t="shared" si="92"/>
        <v>3532455.46</v>
      </c>
      <c r="S552" s="51">
        <v>0</v>
      </c>
      <c r="T552" s="37">
        <f t="shared" si="89"/>
        <v>5580.4983570300155</v>
      </c>
      <c r="U552" s="46">
        <f t="shared" si="90"/>
        <v>5580.4983570300155</v>
      </c>
      <c r="V552" s="41" t="s">
        <v>572</v>
      </c>
      <c r="W552" s="47"/>
    </row>
    <row r="553" s="31" customFormat="1" ht="42.75" customHeight="1">
      <c r="A553" s="33">
        <v>84</v>
      </c>
      <c r="B553" s="34" t="s">
        <v>188</v>
      </c>
      <c r="C553" s="33" t="s">
        <v>43</v>
      </c>
      <c r="D553" s="33">
        <v>1990</v>
      </c>
      <c r="E553" s="35" t="s">
        <v>47</v>
      </c>
      <c r="F553" s="33" t="s">
        <v>48</v>
      </c>
      <c r="G553" s="36">
        <v>9</v>
      </c>
      <c r="H553" s="36">
        <v>3</v>
      </c>
      <c r="I553" s="40">
        <v>7590.1999999999998</v>
      </c>
      <c r="J553" s="40">
        <v>7326.5</v>
      </c>
      <c r="K553" s="40">
        <v>7397.8999999999996</v>
      </c>
      <c r="L553" s="48">
        <v>298</v>
      </c>
      <c r="M553" s="40">
        <f t="shared" si="91"/>
        <v>21976669.539999999</v>
      </c>
      <c r="N553" s="40">
        <v>0</v>
      </c>
      <c r="O553" s="40">
        <v>0</v>
      </c>
      <c r="P553" s="40">
        <v>0</v>
      </c>
      <c r="Q553" s="40">
        <f>'Таблица 3 '!C542</f>
        <v>21976669.539999999</v>
      </c>
      <c r="R553" s="40">
        <f t="shared" si="92"/>
        <v>21976669.539999999</v>
      </c>
      <c r="S553" s="40">
        <v>0</v>
      </c>
      <c r="T553" s="37">
        <f t="shared" si="89"/>
        <v>2999.6136681908142</v>
      </c>
      <c r="U553" s="37">
        <f t="shared" si="90"/>
        <v>2999.6136681908142</v>
      </c>
      <c r="V553" s="41" t="s">
        <v>572</v>
      </c>
      <c r="W553" s="47"/>
    </row>
    <row r="554" s="31" customFormat="1" ht="42.75" customHeight="1">
      <c r="A554" s="33">
        <v>85</v>
      </c>
      <c r="B554" s="34" t="s">
        <v>609</v>
      </c>
      <c r="C554" s="43" t="s">
        <v>43</v>
      </c>
      <c r="D554" s="33">
        <v>1970</v>
      </c>
      <c r="E554" s="44" t="s">
        <v>39</v>
      </c>
      <c r="F554" s="33" t="s">
        <v>77</v>
      </c>
      <c r="G554" s="45">
        <v>5</v>
      </c>
      <c r="H554" s="36">
        <v>6</v>
      </c>
      <c r="I554" s="51">
        <v>4865.3000000000002</v>
      </c>
      <c r="J554" s="40">
        <v>4865.3000000000002</v>
      </c>
      <c r="K554" s="51">
        <v>4804.6999999999998</v>
      </c>
      <c r="L554" s="48">
        <v>155</v>
      </c>
      <c r="M554" s="51">
        <f t="shared" si="91"/>
        <v>28333171.490000002</v>
      </c>
      <c r="N554" s="40">
        <v>0</v>
      </c>
      <c r="O554" s="40">
        <v>0</v>
      </c>
      <c r="P554" s="40">
        <v>0</v>
      </c>
      <c r="Q554" s="40">
        <f>'Таблица 3 '!C543</f>
        <v>28333171.490000002</v>
      </c>
      <c r="R554" s="40">
        <f t="shared" si="92"/>
        <v>28333171.490000002</v>
      </c>
      <c r="S554" s="51">
        <v>0</v>
      </c>
      <c r="T554" s="37">
        <f t="shared" si="89"/>
        <v>5823.5199247733954</v>
      </c>
      <c r="U554" s="46">
        <f t="shared" si="90"/>
        <v>5823.5199247733954</v>
      </c>
      <c r="V554" s="41" t="s">
        <v>572</v>
      </c>
      <c r="W554" s="47"/>
    </row>
    <row r="555" s="31" customFormat="1" ht="42.75" customHeight="1">
      <c r="A555" s="33">
        <v>86</v>
      </c>
      <c r="B555" s="34" t="s">
        <v>610</v>
      </c>
      <c r="C555" s="33" t="s">
        <v>43</v>
      </c>
      <c r="D555" s="33">
        <v>2013</v>
      </c>
      <c r="E555" s="35" t="s">
        <v>39</v>
      </c>
      <c r="F555" s="33" t="s">
        <v>77</v>
      </c>
      <c r="G555" s="36">
        <v>4</v>
      </c>
      <c r="H555" s="36">
        <v>2</v>
      </c>
      <c r="I555" s="40">
        <v>2239.3000000000002</v>
      </c>
      <c r="J555" s="40">
        <v>1799.2</v>
      </c>
      <c r="K555" s="40">
        <v>936.20000000000005</v>
      </c>
      <c r="L555" s="48">
        <v>68</v>
      </c>
      <c r="M555" s="40">
        <f t="shared" si="91"/>
        <v>712409.46999999997</v>
      </c>
      <c r="N555" s="51">
        <v>0</v>
      </c>
      <c r="O555" s="40">
        <v>0</v>
      </c>
      <c r="P555" s="51">
        <v>0</v>
      </c>
      <c r="Q555" s="40">
        <f>'Таблица 3 '!C544</f>
        <v>712409.46999999997</v>
      </c>
      <c r="R555" s="40">
        <f t="shared" si="92"/>
        <v>712409.46999999997</v>
      </c>
      <c r="S555" s="40">
        <v>0</v>
      </c>
      <c r="T555" s="37">
        <f t="shared" si="89"/>
        <v>395.95902067585592</v>
      </c>
      <c r="U555" s="37">
        <f t="shared" si="90"/>
        <v>395.95902067585592</v>
      </c>
      <c r="V555" s="41" t="s">
        <v>572</v>
      </c>
      <c r="W555" s="47"/>
    </row>
    <row r="556" s="31" customFormat="1" ht="42.75" customHeight="1">
      <c r="A556" s="33">
        <v>87</v>
      </c>
      <c r="B556" s="34" t="s">
        <v>611</v>
      </c>
      <c r="C556" s="43" t="s">
        <v>43</v>
      </c>
      <c r="D556" s="33">
        <v>1988</v>
      </c>
      <c r="E556" s="44" t="s">
        <v>63</v>
      </c>
      <c r="F556" s="33" t="s">
        <v>77</v>
      </c>
      <c r="G556" s="45">
        <v>5</v>
      </c>
      <c r="H556" s="36">
        <v>6</v>
      </c>
      <c r="I556" s="51">
        <v>4511.8999999999996</v>
      </c>
      <c r="J556" s="40">
        <v>4512</v>
      </c>
      <c r="K556" s="51">
        <v>3942.5</v>
      </c>
      <c r="L556" s="48">
        <v>87</v>
      </c>
      <c r="M556" s="51">
        <f t="shared" si="91"/>
        <v>7028444.1699999999</v>
      </c>
      <c r="N556" s="40">
        <v>0</v>
      </c>
      <c r="O556" s="51">
        <v>0</v>
      </c>
      <c r="P556" s="40">
        <v>0</v>
      </c>
      <c r="Q556" s="40">
        <f>'Таблица 3 '!C545</f>
        <v>7028444.1699999999</v>
      </c>
      <c r="R556" s="40">
        <f t="shared" si="92"/>
        <v>7028444.1699999999</v>
      </c>
      <c r="S556" s="51">
        <v>0</v>
      </c>
      <c r="T556" s="37">
        <f t="shared" si="89"/>
        <v>1557.7225554078013</v>
      </c>
      <c r="U556" s="46">
        <f t="shared" si="90"/>
        <v>1557.7225554078013</v>
      </c>
      <c r="V556" s="41" t="s">
        <v>572</v>
      </c>
      <c r="W556" s="47"/>
    </row>
    <row r="557" s="31" customFormat="1" ht="42.75" customHeight="1">
      <c r="A557" s="33">
        <v>88</v>
      </c>
      <c r="B557" s="34" t="s">
        <v>189</v>
      </c>
      <c r="C557" s="33" t="s">
        <v>43</v>
      </c>
      <c r="D557" s="35" t="s">
        <v>152</v>
      </c>
      <c r="E557" s="35" t="s">
        <v>50</v>
      </c>
      <c r="F557" s="33" t="s">
        <v>48</v>
      </c>
      <c r="G557" s="36">
        <v>5</v>
      </c>
      <c r="H557" s="36">
        <v>6</v>
      </c>
      <c r="I557" s="37">
        <v>6587.8000000000002</v>
      </c>
      <c r="J557" s="37">
        <v>4864.3000000000002</v>
      </c>
      <c r="K557" s="37">
        <v>4410.8999999999996</v>
      </c>
      <c r="L557" s="38">
        <v>208</v>
      </c>
      <c r="M557" s="39">
        <f t="shared" si="91"/>
        <v>11551520.75</v>
      </c>
      <c r="N557" s="37">
        <v>0</v>
      </c>
      <c r="O557" s="37">
        <v>0</v>
      </c>
      <c r="P557" s="37">
        <v>0</v>
      </c>
      <c r="Q557" s="40">
        <f>'Таблица 3 '!C546</f>
        <v>11551520.75</v>
      </c>
      <c r="R557" s="37">
        <f t="shared" si="92"/>
        <v>11551520.75</v>
      </c>
      <c r="S557" s="37">
        <v>0</v>
      </c>
      <c r="T557" s="37">
        <f t="shared" si="89"/>
        <v>2374.7550007195277</v>
      </c>
      <c r="U557" s="37">
        <f t="shared" si="90"/>
        <v>2374.7550007195277</v>
      </c>
      <c r="V557" s="41" t="s">
        <v>572</v>
      </c>
      <c r="W557" s="31"/>
    </row>
    <row r="558" s="31" customFormat="1" ht="42.75" customHeight="1">
      <c r="A558" s="33">
        <v>89</v>
      </c>
      <c r="B558" s="34" t="s">
        <v>190</v>
      </c>
      <c r="C558" s="33" t="s">
        <v>43</v>
      </c>
      <c r="D558" s="33">
        <v>1980</v>
      </c>
      <c r="E558" s="35" t="s">
        <v>39</v>
      </c>
      <c r="F558" s="33" t="s">
        <v>48</v>
      </c>
      <c r="G558" s="36">
        <v>5</v>
      </c>
      <c r="H558" s="36">
        <v>6</v>
      </c>
      <c r="I558" s="37">
        <v>6577.8999999999996</v>
      </c>
      <c r="J558" s="37">
        <v>5706.8999999999996</v>
      </c>
      <c r="K558" s="37">
        <v>5085.5</v>
      </c>
      <c r="L558" s="38">
        <v>210</v>
      </c>
      <c r="M558" s="39">
        <f t="shared" si="91"/>
        <v>15511042.599999998</v>
      </c>
      <c r="N558" s="37">
        <v>0</v>
      </c>
      <c r="O558" s="37">
        <v>0</v>
      </c>
      <c r="P558" s="37">
        <v>0</v>
      </c>
      <c r="Q558" s="40">
        <f>'Таблица 3 '!C547</f>
        <v>15511042.599999998</v>
      </c>
      <c r="R558" s="37">
        <f t="shared" si="92"/>
        <v>15511042.599999998</v>
      </c>
      <c r="S558" s="37">
        <v>0</v>
      </c>
      <c r="T558" s="37">
        <f t="shared" si="89"/>
        <v>2717.9453994287614</v>
      </c>
      <c r="U558" s="37">
        <f t="shared" si="90"/>
        <v>2717.9453994287614</v>
      </c>
      <c r="V558" s="41" t="s">
        <v>572</v>
      </c>
      <c r="W558" s="31"/>
    </row>
    <row r="559" s="31" customFormat="1" ht="42.75" customHeight="1">
      <c r="A559" s="33">
        <v>90</v>
      </c>
      <c r="B559" s="34" t="s">
        <v>191</v>
      </c>
      <c r="C559" s="33" t="s">
        <v>43</v>
      </c>
      <c r="D559" s="33">
        <v>1960</v>
      </c>
      <c r="E559" s="35" t="s">
        <v>39</v>
      </c>
      <c r="F559" s="33" t="s">
        <v>44</v>
      </c>
      <c r="G559" s="36">
        <v>2</v>
      </c>
      <c r="H559" s="36">
        <v>1</v>
      </c>
      <c r="I559" s="37">
        <v>288.80000000000001</v>
      </c>
      <c r="J559" s="37">
        <v>230</v>
      </c>
      <c r="K559" s="37">
        <v>263.10000000000002</v>
      </c>
      <c r="L559" s="38">
        <v>13</v>
      </c>
      <c r="M559" s="39">
        <f t="shared" si="91"/>
        <v>1840878.1499999999</v>
      </c>
      <c r="N559" s="37">
        <v>0</v>
      </c>
      <c r="O559" s="37">
        <v>0</v>
      </c>
      <c r="P559" s="37">
        <v>0</v>
      </c>
      <c r="Q559" s="40">
        <f>'Таблица 3 '!C548</f>
        <v>1840878.1499999999</v>
      </c>
      <c r="R559" s="37">
        <f t="shared" si="92"/>
        <v>1840878.1499999999</v>
      </c>
      <c r="S559" s="37">
        <v>0</v>
      </c>
      <c r="T559" s="37">
        <f t="shared" si="89"/>
        <v>8003.8180434782607</v>
      </c>
      <c r="U559" s="37">
        <f t="shared" si="90"/>
        <v>8003.8180434782607</v>
      </c>
      <c r="V559" s="41" t="s">
        <v>572</v>
      </c>
      <c r="W559" s="31"/>
    </row>
    <row r="560" s="31" customFormat="1" ht="42.75" customHeight="1">
      <c r="A560" s="33">
        <v>91</v>
      </c>
      <c r="B560" s="34" t="s">
        <v>612</v>
      </c>
      <c r="C560" s="33" t="s">
        <v>43</v>
      </c>
      <c r="D560" s="33">
        <v>1974</v>
      </c>
      <c r="E560" s="35" t="s">
        <v>39</v>
      </c>
      <c r="F560" s="33" t="s">
        <v>44</v>
      </c>
      <c r="G560" s="36">
        <v>2</v>
      </c>
      <c r="H560" s="36">
        <v>2</v>
      </c>
      <c r="I560" s="37">
        <v>773.5</v>
      </c>
      <c r="J560" s="37">
        <v>738.79999999999995</v>
      </c>
      <c r="K560" s="37">
        <v>681.20000000000005</v>
      </c>
      <c r="L560" s="38">
        <v>38</v>
      </c>
      <c r="M560" s="39">
        <f t="shared" si="91"/>
        <v>6938613.0599999996</v>
      </c>
      <c r="N560" s="37">
        <v>0</v>
      </c>
      <c r="O560" s="37">
        <v>0</v>
      </c>
      <c r="P560" s="37">
        <v>0</v>
      </c>
      <c r="Q560" s="40">
        <f>'Таблица 3 '!C549</f>
        <v>6938613.0599999996</v>
      </c>
      <c r="R560" s="37">
        <f t="shared" si="92"/>
        <v>6938613.0599999996</v>
      </c>
      <c r="S560" s="37">
        <v>0</v>
      </c>
      <c r="T560" s="37">
        <f t="shared" si="89"/>
        <v>9391.7339740119114</v>
      </c>
      <c r="U560" s="37">
        <f t="shared" si="90"/>
        <v>9391.7339740119114</v>
      </c>
      <c r="V560" s="41" t="s">
        <v>572</v>
      </c>
      <c r="W560" s="31"/>
    </row>
    <row r="561" s="31" customFormat="1" ht="42.75" customHeight="1">
      <c r="A561" s="33">
        <v>92</v>
      </c>
      <c r="B561" s="34" t="s">
        <v>192</v>
      </c>
      <c r="C561" s="43" t="s">
        <v>43</v>
      </c>
      <c r="D561" s="33">
        <v>1975</v>
      </c>
      <c r="E561" s="44" t="s">
        <v>39</v>
      </c>
      <c r="F561" s="33" t="s">
        <v>77</v>
      </c>
      <c r="G561" s="45">
        <v>2</v>
      </c>
      <c r="H561" s="36">
        <v>2</v>
      </c>
      <c r="I561" s="51">
        <v>1005.1</v>
      </c>
      <c r="J561" s="40">
        <v>917.39999999999998</v>
      </c>
      <c r="K561" s="51">
        <v>640</v>
      </c>
      <c r="L561" s="48">
        <v>41</v>
      </c>
      <c r="M561" s="51">
        <f t="shared" si="91"/>
        <v>2158813.21</v>
      </c>
      <c r="N561" s="40">
        <v>0</v>
      </c>
      <c r="O561" s="51">
        <v>0</v>
      </c>
      <c r="P561" s="40">
        <v>0</v>
      </c>
      <c r="Q561" s="40">
        <f>'Таблица 3 '!C550</f>
        <v>2158813.21</v>
      </c>
      <c r="R561" s="40">
        <f t="shared" si="92"/>
        <v>2158813.21</v>
      </c>
      <c r="S561" s="51">
        <v>0</v>
      </c>
      <c r="T561" s="37">
        <f t="shared" si="89"/>
        <v>2353.1864072378462</v>
      </c>
      <c r="U561" s="46">
        <f t="shared" si="90"/>
        <v>2353.1864072378462</v>
      </c>
      <c r="V561" s="41" t="s">
        <v>572</v>
      </c>
      <c r="W561" s="47"/>
    </row>
    <row r="562" s="31" customFormat="1" ht="42.75" customHeight="1">
      <c r="A562" s="33">
        <v>93</v>
      </c>
      <c r="B562" s="49" t="s">
        <v>194</v>
      </c>
      <c r="C562" s="33" t="s">
        <v>43</v>
      </c>
      <c r="D562" s="33">
        <v>1960</v>
      </c>
      <c r="E562" s="35" t="s">
        <v>39</v>
      </c>
      <c r="F562" s="33" t="s">
        <v>44</v>
      </c>
      <c r="G562" s="36">
        <v>2</v>
      </c>
      <c r="H562" s="36">
        <v>2</v>
      </c>
      <c r="I562" s="37">
        <v>633</v>
      </c>
      <c r="J562" s="37">
        <v>540.70000000000005</v>
      </c>
      <c r="K562" s="37">
        <v>432.68000000000001</v>
      </c>
      <c r="L562" s="38">
        <v>28</v>
      </c>
      <c r="M562" s="39">
        <f t="shared" si="91"/>
        <v>5241787.7300000004</v>
      </c>
      <c r="N562" s="37">
        <v>0</v>
      </c>
      <c r="O562" s="37">
        <v>0</v>
      </c>
      <c r="P562" s="37">
        <v>0</v>
      </c>
      <c r="Q562" s="40">
        <f>'Таблица 3 '!C551</f>
        <v>5241787.7300000004</v>
      </c>
      <c r="R562" s="37">
        <f t="shared" si="92"/>
        <v>5241787.7300000004</v>
      </c>
      <c r="S562" s="37">
        <v>0</v>
      </c>
      <c r="T562" s="37">
        <f t="shared" si="89"/>
        <v>9694.4474385056401</v>
      </c>
      <c r="U562" s="37">
        <f t="shared" si="90"/>
        <v>9694.4474385056401</v>
      </c>
      <c r="V562" s="41" t="s">
        <v>572</v>
      </c>
      <c r="W562" s="31"/>
    </row>
    <row r="563" s="31" customFormat="1" ht="42.75" customHeight="1">
      <c r="A563" s="33">
        <v>94</v>
      </c>
      <c r="B563" s="49" t="s">
        <v>197</v>
      </c>
      <c r="C563" s="33" t="s">
        <v>43</v>
      </c>
      <c r="D563" s="35">
        <v>1984</v>
      </c>
      <c r="E563" s="35" t="s">
        <v>39</v>
      </c>
      <c r="F563" s="33" t="s">
        <v>48</v>
      </c>
      <c r="G563" s="36">
        <v>5</v>
      </c>
      <c r="H563" s="36">
        <v>6</v>
      </c>
      <c r="I563" s="37">
        <v>4230.8000000000002</v>
      </c>
      <c r="J563" s="37">
        <v>4685.3999999999996</v>
      </c>
      <c r="K563" s="37">
        <v>4223</v>
      </c>
      <c r="L563" s="38">
        <v>90</v>
      </c>
      <c r="M563" s="39">
        <f t="shared" si="91"/>
        <v>27866501.380000003</v>
      </c>
      <c r="N563" s="37">
        <v>0</v>
      </c>
      <c r="O563" s="37">
        <v>0</v>
      </c>
      <c r="P563" s="37">
        <v>0</v>
      </c>
      <c r="Q563" s="40">
        <f>'Таблица 3 '!C552</f>
        <v>27866501.380000003</v>
      </c>
      <c r="R563" s="37">
        <f t="shared" si="92"/>
        <v>27866501.380000003</v>
      </c>
      <c r="S563" s="37">
        <v>0</v>
      </c>
      <c r="T563" s="37">
        <f t="shared" si="89"/>
        <v>5947.5181158492351</v>
      </c>
      <c r="U563" s="37">
        <f t="shared" si="90"/>
        <v>5947.5181158492351</v>
      </c>
      <c r="V563" s="41" t="s">
        <v>572</v>
      </c>
      <c r="W563" s="31"/>
    </row>
    <row r="564" s="31" customFormat="1" ht="42.75" customHeight="1">
      <c r="A564" s="33">
        <v>95</v>
      </c>
      <c r="B564" s="49" t="s">
        <v>613</v>
      </c>
      <c r="C564" s="33" t="s">
        <v>43</v>
      </c>
      <c r="D564" s="35" t="s">
        <v>173</v>
      </c>
      <c r="E564" s="35" t="s">
        <v>39</v>
      </c>
      <c r="F564" s="33" t="s">
        <v>44</v>
      </c>
      <c r="G564" s="36">
        <v>5</v>
      </c>
      <c r="H564" s="36">
        <v>4</v>
      </c>
      <c r="I564" s="37">
        <v>3432.4000000000001</v>
      </c>
      <c r="J564" s="37">
        <v>3160.0999999999999</v>
      </c>
      <c r="K564" s="37">
        <v>2346.9000000000001</v>
      </c>
      <c r="L564" s="38">
        <v>115</v>
      </c>
      <c r="M564" s="39">
        <f t="shared" si="91"/>
        <v>4844433</v>
      </c>
      <c r="N564" s="37">
        <v>0</v>
      </c>
      <c r="O564" s="37">
        <v>0</v>
      </c>
      <c r="P564" s="37">
        <v>0</v>
      </c>
      <c r="Q564" s="40">
        <f>'Таблица 3 '!C553</f>
        <v>4844433</v>
      </c>
      <c r="R564" s="37">
        <f t="shared" si="92"/>
        <v>4844433</v>
      </c>
      <c r="S564" s="37">
        <v>0</v>
      </c>
      <c r="T564" s="37">
        <f t="shared" si="89"/>
        <v>1532.9999050662955</v>
      </c>
      <c r="U564" s="37">
        <f t="shared" si="90"/>
        <v>1532.9999050662955</v>
      </c>
      <c r="V564" s="41" t="s">
        <v>572</v>
      </c>
      <c r="W564" s="31"/>
    </row>
    <row r="565" s="31" customFormat="1" ht="42.75" customHeight="1">
      <c r="A565" s="33">
        <v>96</v>
      </c>
      <c r="B565" s="49" t="s">
        <v>198</v>
      </c>
      <c r="C565" s="33" t="s">
        <v>43</v>
      </c>
      <c r="D565" s="35">
        <v>1984</v>
      </c>
      <c r="E565" s="35" t="s">
        <v>39</v>
      </c>
      <c r="F565" s="33" t="s">
        <v>48</v>
      </c>
      <c r="G565" s="36">
        <v>10</v>
      </c>
      <c r="H565" s="36">
        <v>2</v>
      </c>
      <c r="I565" s="37">
        <v>3764</v>
      </c>
      <c r="J565" s="37">
        <v>3764</v>
      </c>
      <c r="K565" s="37">
        <v>3620.0999999999999</v>
      </c>
      <c r="L565" s="38">
        <v>137</v>
      </c>
      <c r="M565" s="39">
        <f t="shared" si="91"/>
        <v>10750862.140000001</v>
      </c>
      <c r="N565" s="37">
        <v>0</v>
      </c>
      <c r="O565" s="37">
        <v>0</v>
      </c>
      <c r="P565" s="37">
        <v>0</v>
      </c>
      <c r="Q565" s="40">
        <f>'Таблица 3 '!C554</f>
        <v>10750862.140000001</v>
      </c>
      <c r="R565" s="37">
        <f t="shared" si="92"/>
        <v>10750862.140000001</v>
      </c>
      <c r="S565" s="37">
        <v>0</v>
      </c>
      <c r="T565" s="37">
        <f t="shared" si="89"/>
        <v>2856.2332996811906</v>
      </c>
      <c r="U565" s="37">
        <f t="shared" si="90"/>
        <v>2856.2332996811906</v>
      </c>
      <c r="V565" s="41" t="s">
        <v>572</v>
      </c>
      <c r="W565" s="31"/>
    </row>
    <row r="566" s="31" customFormat="1" ht="42.75" customHeight="1">
      <c r="A566" s="33">
        <v>97</v>
      </c>
      <c r="B566" s="49" t="s">
        <v>614</v>
      </c>
      <c r="C566" s="43" t="s">
        <v>43</v>
      </c>
      <c r="D566" s="35" t="s">
        <v>286</v>
      </c>
      <c r="E566" s="44" t="s">
        <v>39</v>
      </c>
      <c r="F566" s="33" t="s">
        <v>77</v>
      </c>
      <c r="G566" s="45">
        <v>2</v>
      </c>
      <c r="H566" s="36">
        <v>2</v>
      </c>
      <c r="I566" s="46">
        <v>825</v>
      </c>
      <c r="J566" s="37">
        <v>626.60000000000002</v>
      </c>
      <c r="K566" s="46">
        <v>0</v>
      </c>
      <c r="L566" s="38">
        <v>14</v>
      </c>
      <c r="M566" s="39">
        <f t="shared" si="91"/>
        <v>6830139.2700000005</v>
      </c>
      <c r="N566" s="46">
        <v>0</v>
      </c>
      <c r="O566" s="37">
        <v>0</v>
      </c>
      <c r="P566" s="46">
        <v>0</v>
      </c>
      <c r="Q566" s="40">
        <f>'Таблица 3 '!C555</f>
        <v>6830139.2700000005</v>
      </c>
      <c r="R566" s="46">
        <f t="shared" si="92"/>
        <v>6830139.2700000005</v>
      </c>
      <c r="S566" s="37">
        <v>0</v>
      </c>
      <c r="T566" s="46">
        <f t="shared" si="89"/>
        <v>10900.318017874242</v>
      </c>
      <c r="U566" s="37">
        <f t="shared" si="90"/>
        <v>10900.318017874242</v>
      </c>
      <c r="V566" s="41" t="s">
        <v>572</v>
      </c>
      <c r="W566" s="47"/>
    </row>
    <row r="567" s="31" customFormat="1" ht="42.75" customHeight="1">
      <c r="A567" s="33">
        <v>98</v>
      </c>
      <c r="B567" s="34" t="s">
        <v>206</v>
      </c>
      <c r="C567" s="33" t="s">
        <v>43</v>
      </c>
      <c r="D567" s="33">
        <v>1970</v>
      </c>
      <c r="E567" s="35" t="s">
        <v>57</v>
      </c>
      <c r="F567" s="33" t="s">
        <v>48</v>
      </c>
      <c r="G567" s="36">
        <v>5</v>
      </c>
      <c r="H567" s="36">
        <v>6</v>
      </c>
      <c r="I567" s="40">
        <v>4715.1999999999998</v>
      </c>
      <c r="J567" s="40">
        <v>4702.1000000000004</v>
      </c>
      <c r="K567" s="40">
        <v>4487.5</v>
      </c>
      <c r="L567" s="48">
        <v>230</v>
      </c>
      <c r="M567" s="39">
        <f t="shared" si="91"/>
        <v>3779744.5300000003</v>
      </c>
      <c r="N567" s="40">
        <v>0</v>
      </c>
      <c r="O567" s="40">
        <v>0</v>
      </c>
      <c r="P567" s="40">
        <v>0</v>
      </c>
      <c r="Q567" s="40">
        <f>'Таблица 3 '!C556</f>
        <v>3779744.5300000003</v>
      </c>
      <c r="R567" s="40">
        <f t="shared" si="92"/>
        <v>3779744.5300000003</v>
      </c>
      <c r="S567" s="40">
        <v>0</v>
      </c>
      <c r="T567" s="37">
        <f t="shared" si="89"/>
        <v>803.84180047212942</v>
      </c>
      <c r="U567" s="37">
        <f t="shared" si="90"/>
        <v>803.84180047212942</v>
      </c>
      <c r="V567" s="41" t="s">
        <v>572</v>
      </c>
      <c r="W567" s="31"/>
    </row>
    <row r="568" s="31" customFormat="1" ht="42.75" customHeight="1">
      <c r="A568" s="33">
        <v>99</v>
      </c>
      <c r="B568" s="34" t="s">
        <v>615</v>
      </c>
      <c r="C568" s="43" t="s">
        <v>43</v>
      </c>
      <c r="D568" s="33">
        <v>1974</v>
      </c>
      <c r="E568" s="44" t="s">
        <v>39</v>
      </c>
      <c r="F568" s="33" t="s">
        <v>77</v>
      </c>
      <c r="G568" s="45">
        <v>9</v>
      </c>
      <c r="H568" s="36">
        <v>1</v>
      </c>
      <c r="I568" s="51">
        <v>3122.0999999999999</v>
      </c>
      <c r="J568" s="40">
        <v>3119.8000000000002</v>
      </c>
      <c r="K568" s="51">
        <v>2064.4000000000001</v>
      </c>
      <c r="L568" s="48">
        <v>74</v>
      </c>
      <c r="M568" s="51">
        <f t="shared" si="91"/>
        <v>589435</v>
      </c>
      <c r="N568" s="40">
        <v>0</v>
      </c>
      <c r="O568" s="51">
        <v>0</v>
      </c>
      <c r="P568" s="40">
        <v>0</v>
      </c>
      <c r="Q568" s="40">
        <f>'Таблица 3 '!C557</f>
        <v>589435</v>
      </c>
      <c r="R568" s="40">
        <f t="shared" si="92"/>
        <v>589435</v>
      </c>
      <c r="S568" s="51">
        <v>0</v>
      </c>
      <c r="T568" s="37">
        <f t="shared" si="89"/>
        <v>188.93358548624911</v>
      </c>
      <c r="U568" s="46">
        <f t="shared" si="90"/>
        <v>188.93358548624911</v>
      </c>
      <c r="V568" s="41" t="s">
        <v>572</v>
      </c>
      <c r="W568" s="47"/>
    </row>
    <row r="569" s="31" customFormat="1" ht="42.75" customHeight="1">
      <c r="A569" s="33">
        <v>100</v>
      </c>
      <c r="B569" s="34" t="s">
        <v>207</v>
      </c>
      <c r="C569" s="33" t="s">
        <v>43</v>
      </c>
      <c r="D569" s="33">
        <v>1978</v>
      </c>
      <c r="E569" s="35">
        <v>2024</v>
      </c>
      <c r="F569" s="33" t="s">
        <v>77</v>
      </c>
      <c r="G569" s="36">
        <v>5</v>
      </c>
      <c r="H569" s="36">
        <v>6</v>
      </c>
      <c r="I569" s="40">
        <v>5770.5</v>
      </c>
      <c r="J569" s="40">
        <v>4274.6999999999998</v>
      </c>
      <c r="K569" s="40">
        <v>4229</v>
      </c>
      <c r="L569" s="48">
        <v>238</v>
      </c>
      <c r="M569" s="40">
        <f t="shared" si="91"/>
        <v>22717227.149999999</v>
      </c>
      <c r="N569" s="40">
        <v>0</v>
      </c>
      <c r="O569" s="40">
        <v>0</v>
      </c>
      <c r="P569" s="51">
        <v>0</v>
      </c>
      <c r="Q569" s="40">
        <f>'Таблица 3 '!C558</f>
        <v>22717227.149999999</v>
      </c>
      <c r="R569" s="40">
        <f t="shared" si="92"/>
        <v>22717227.149999999</v>
      </c>
      <c r="S569" s="40">
        <v>0</v>
      </c>
      <c r="T569" s="37">
        <f t="shared" si="89"/>
        <v>5314.3441995929534</v>
      </c>
      <c r="U569" s="37">
        <f t="shared" si="90"/>
        <v>5314.3441995929534</v>
      </c>
      <c r="V569" s="41" t="s">
        <v>572</v>
      </c>
      <c r="W569" s="47"/>
    </row>
    <row r="570" s="31" customFormat="1" ht="42.75" customHeight="1">
      <c r="A570" s="33">
        <v>101</v>
      </c>
      <c r="B570" s="34" t="s">
        <v>209</v>
      </c>
      <c r="C570" s="33" t="s">
        <v>43</v>
      </c>
      <c r="D570" s="33">
        <v>1983</v>
      </c>
      <c r="E570" s="35" t="s">
        <v>39</v>
      </c>
      <c r="F570" s="33" t="s">
        <v>48</v>
      </c>
      <c r="G570" s="36">
        <v>5</v>
      </c>
      <c r="H570" s="36">
        <v>5</v>
      </c>
      <c r="I570" s="37">
        <v>5025.3000000000002</v>
      </c>
      <c r="J570" s="37">
        <v>3690.4000000000001</v>
      </c>
      <c r="K570" s="37">
        <v>3690.4000000000001</v>
      </c>
      <c r="L570" s="38">
        <v>75</v>
      </c>
      <c r="M570" s="39">
        <f t="shared" si="91"/>
        <v>12328646.449999999</v>
      </c>
      <c r="N570" s="37">
        <v>0</v>
      </c>
      <c r="O570" s="37">
        <v>0</v>
      </c>
      <c r="P570" s="37">
        <v>0</v>
      </c>
      <c r="Q570" s="40">
        <f>'Таблица 3 '!C559</f>
        <v>12328646.449999999</v>
      </c>
      <c r="R570" s="37">
        <f t="shared" si="92"/>
        <v>12328646.449999999</v>
      </c>
      <c r="S570" s="37">
        <v>0</v>
      </c>
      <c r="T570" s="37">
        <f t="shared" si="89"/>
        <v>3340.7344596791672</v>
      </c>
      <c r="U570" s="37">
        <f t="shared" si="90"/>
        <v>3340.7344596791672</v>
      </c>
      <c r="V570" s="41" t="s">
        <v>572</v>
      </c>
      <c r="W570" s="31"/>
    </row>
    <row r="571" s="31" customFormat="1" ht="42.75" customHeight="1">
      <c r="A571" s="33">
        <v>102</v>
      </c>
      <c r="B571" s="34" t="s">
        <v>616</v>
      </c>
      <c r="C571" s="43" t="s">
        <v>43</v>
      </c>
      <c r="D571" s="33">
        <v>2003</v>
      </c>
      <c r="E571" s="44" t="s">
        <v>39</v>
      </c>
      <c r="F571" s="33" t="s">
        <v>77</v>
      </c>
      <c r="G571" s="45">
        <v>9</v>
      </c>
      <c r="H571" s="36">
        <v>4</v>
      </c>
      <c r="I571" s="51">
        <v>5798.6000000000004</v>
      </c>
      <c r="J571" s="40">
        <v>5795.5</v>
      </c>
      <c r="K571" s="51">
        <v>4014.5999999999999</v>
      </c>
      <c r="L571" s="48">
        <v>185</v>
      </c>
      <c r="M571" s="51">
        <f t="shared" si="91"/>
        <v>589435</v>
      </c>
      <c r="N571" s="40">
        <v>0</v>
      </c>
      <c r="O571" s="51">
        <v>0</v>
      </c>
      <c r="P571" s="40">
        <v>0</v>
      </c>
      <c r="Q571" s="40">
        <f>'Таблица 3 '!C560</f>
        <v>589435</v>
      </c>
      <c r="R571" s="40">
        <f t="shared" si="92"/>
        <v>589435</v>
      </c>
      <c r="S571" s="51">
        <v>0</v>
      </c>
      <c r="T571" s="37">
        <f t="shared" si="89"/>
        <v>101.70563368130446</v>
      </c>
      <c r="U571" s="46">
        <f t="shared" si="90"/>
        <v>101.70563368130446</v>
      </c>
      <c r="V571" s="41" t="s">
        <v>572</v>
      </c>
      <c r="W571" s="47"/>
    </row>
    <row r="572" s="31" customFormat="1" ht="42.75" customHeight="1">
      <c r="A572" s="33">
        <v>103</v>
      </c>
      <c r="B572" s="34" t="s">
        <v>210</v>
      </c>
      <c r="C572" s="33" t="s">
        <v>43</v>
      </c>
      <c r="D572" s="33">
        <v>1961</v>
      </c>
      <c r="E572" s="35" t="s">
        <v>39</v>
      </c>
      <c r="F572" s="33" t="s">
        <v>44</v>
      </c>
      <c r="G572" s="36">
        <v>2</v>
      </c>
      <c r="H572" s="36">
        <v>1</v>
      </c>
      <c r="I572" s="37">
        <v>311.60000000000002</v>
      </c>
      <c r="J572" s="37">
        <v>286.30000000000001</v>
      </c>
      <c r="K572" s="37">
        <v>187.19999999999999</v>
      </c>
      <c r="L572" s="38">
        <v>11</v>
      </c>
      <c r="M572" s="39">
        <f t="shared" si="91"/>
        <v>1311967.6100000001</v>
      </c>
      <c r="N572" s="37">
        <v>0</v>
      </c>
      <c r="O572" s="37">
        <v>0</v>
      </c>
      <c r="P572" s="37">
        <v>0</v>
      </c>
      <c r="Q572" s="40">
        <f>'Таблица 3 '!C561</f>
        <v>1311967.6100000001</v>
      </c>
      <c r="R572" s="37">
        <f t="shared" si="92"/>
        <v>1311967.6100000001</v>
      </c>
      <c r="S572" s="37">
        <v>0</v>
      </c>
      <c r="T572" s="37">
        <f t="shared" si="89"/>
        <v>4582.4925253230876</v>
      </c>
      <c r="U572" s="37">
        <f t="shared" si="90"/>
        <v>4582.4925253230876</v>
      </c>
      <c r="V572" s="41" t="s">
        <v>572</v>
      </c>
      <c r="W572" s="31"/>
    </row>
    <row r="573" s="31" customFormat="1" ht="42.75" customHeight="1">
      <c r="A573" s="33">
        <v>104</v>
      </c>
      <c r="B573" s="34" t="s">
        <v>617</v>
      </c>
      <c r="C573" s="43" t="s">
        <v>43</v>
      </c>
      <c r="D573" s="33">
        <v>2004</v>
      </c>
      <c r="E573" s="44" t="s">
        <v>39</v>
      </c>
      <c r="F573" s="33" t="s">
        <v>77</v>
      </c>
      <c r="G573" s="45">
        <v>9</v>
      </c>
      <c r="H573" s="36">
        <v>4</v>
      </c>
      <c r="I573" s="51">
        <v>5912.6999999999998</v>
      </c>
      <c r="J573" s="40">
        <v>5912.3000000000002</v>
      </c>
      <c r="K573" s="51">
        <v>4519.3999999999996</v>
      </c>
      <c r="L573" s="48">
        <v>182</v>
      </c>
      <c r="M573" s="51">
        <f t="shared" si="91"/>
        <v>589435</v>
      </c>
      <c r="N573" s="40">
        <v>0</v>
      </c>
      <c r="O573" s="51">
        <v>0</v>
      </c>
      <c r="P573" s="40">
        <v>0</v>
      </c>
      <c r="Q573" s="40">
        <f>'Таблица 3 '!C562</f>
        <v>589435</v>
      </c>
      <c r="R573" s="40">
        <f t="shared" si="92"/>
        <v>589435</v>
      </c>
      <c r="S573" s="51">
        <v>0</v>
      </c>
      <c r="T573" s="37">
        <f t="shared" si="89"/>
        <v>99.696395649747132</v>
      </c>
      <c r="U573" s="46">
        <f t="shared" si="90"/>
        <v>99.696395649747132</v>
      </c>
      <c r="V573" s="41" t="s">
        <v>572</v>
      </c>
      <c r="W573" s="47"/>
    </row>
    <row r="574" s="31" customFormat="1" ht="42.75" customHeight="1">
      <c r="A574" s="33">
        <v>105</v>
      </c>
      <c r="B574" s="34" t="s">
        <v>618</v>
      </c>
      <c r="C574" s="33" t="s">
        <v>43</v>
      </c>
      <c r="D574" s="35" t="s">
        <v>525</v>
      </c>
      <c r="E574" s="35" t="s">
        <v>39</v>
      </c>
      <c r="F574" s="33" t="s">
        <v>44</v>
      </c>
      <c r="G574" s="36">
        <v>5</v>
      </c>
      <c r="H574" s="36">
        <v>6</v>
      </c>
      <c r="I574" s="37">
        <v>4542.5</v>
      </c>
      <c r="J574" s="37">
        <v>4525.6999999999998</v>
      </c>
      <c r="K574" s="37">
        <v>4256</v>
      </c>
      <c r="L574" s="38">
        <v>212</v>
      </c>
      <c r="M574" s="39">
        <f t="shared" si="91"/>
        <v>26379960.939999998</v>
      </c>
      <c r="N574" s="37">
        <v>0</v>
      </c>
      <c r="O574" s="37">
        <v>0</v>
      </c>
      <c r="P574" s="46">
        <v>0</v>
      </c>
      <c r="Q574" s="40">
        <f>'Таблица 3 '!C563</f>
        <v>26379960.939999998</v>
      </c>
      <c r="R574" s="37">
        <f t="shared" si="92"/>
        <v>26379960.939999998</v>
      </c>
      <c r="S574" s="37">
        <v>0</v>
      </c>
      <c r="T574" s="37">
        <f t="shared" si="89"/>
        <v>5828.9239101133526</v>
      </c>
      <c r="U574" s="37">
        <f t="shared" si="90"/>
        <v>5828.9239101133526</v>
      </c>
      <c r="V574" s="41" t="s">
        <v>572</v>
      </c>
      <c r="W574" s="47"/>
    </row>
    <row r="575" s="31" customFormat="1" ht="42.75" customHeight="1">
      <c r="A575" s="33">
        <v>106</v>
      </c>
      <c r="B575" s="34" t="s">
        <v>619</v>
      </c>
      <c r="C575" s="43" t="s">
        <v>43</v>
      </c>
      <c r="D575" s="35" t="s">
        <v>132</v>
      </c>
      <c r="E575" s="44" t="s">
        <v>39</v>
      </c>
      <c r="F575" s="33" t="s">
        <v>44</v>
      </c>
      <c r="G575" s="45">
        <v>5</v>
      </c>
      <c r="H575" s="36">
        <v>6</v>
      </c>
      <c r="I575" s="46">
        <v>4579.1999999999998</v>
      </c>
      <c r="J575" s="37">
        <v>4571</v>
      </c>
      <c r="K575" s="46">
        <v>4410.3999999999996</v>
      </c>
      <c r="L575" s="38">
        <v>150</v>
      </c>
      <c r="M575" s="51">
        <f t="shared" si="91"/>
        <v>7505333.4299999997</v>
      </c>
      <c r="N575" s="40">
        <v>0</v>
      </c>
      <c r="O575" s="40">
        <v>0</v>
      </c>
      <c r="P575" s="40">
        <v>0</v>
      </c>
      <c r="Q575" s="40">
        <f>'Таблица 3 '!C564</f>
        <v>7505333.4299999997</v>
      </c>
      <c r="R575" s="40">
        <f t="shared" si="92"/>
        <v>7505333.4299999997</v>
      </c>
      <c r="S575" s="51">
        <v>0</v>
      </c>
      <c r="T575" s="37">
        <f t="shared" si="89"/>
        <v>1641.9456202143949</v>
      </c>
      <c r="U575" s="46">
        <f t="shared" si="90"/>
        <v>1641.9456202143949</v>
      </c>
      <c r="V575" s="41" t="s">
        <v>572</v>
      </c>
      <c r="W575" s="47"/>
    </row>
    <row r="576" s="31" customFormat="1" ht="42.75" customHeight="1">
      <c r="A576" s="33">
        <v>107</v>
      </c>
      <c r="B576" s="34" t="s">
        <v>620</v>
      </c>
      <c r="C576" s="33" t="s">
        <v>43</v>
      </c>
      <c r="D576" s="35" t="s">
        <v>132</v>
      </c>
      <c r="E576" s="35" t="s">
        <v>39</v>
      </c>
      <c r="F576" s="33" t="s">
        <v>44</v>
      </c>
      <c r="G576" s="36">
        <v>4</v>
      </c>
      <c r="H576" s="36">
        <v>4</v>
      </c>
      <c r="I576" s="37">
        <v>2860.4000000000001</v>
      </c>
      <c r="J576" s="37">
        <v>2568.4000000000001</v>
      </c>
      <c r="K576" s="37">
        <v>2279.6999999999998</v>
      </c>
      <c r="L576" s="38">
        <v>76</v>
      </c>
      <c r="M576" s="40">
        <f t="shared" si="91"/>
        <v>4372155.2199999997</v>
      </c>
      <c r="N576" s="51">
        <v>0</v>
      </c>
      <c r="O576" s="40">
        <v>0</v>
      </c>
      <c r="P576" s="51">
        <v>0</v>
      </c>
      <c r="Q576" s="40">
        <f>'Таблица 3 '!C565</f>
        <v>4372155.2199999997</v>
      </c>
      <c r="R576" s="40">
        <f t="shared" si="92"/>
        <v>4372155.2199999997</v>
      </c>
      <c r="S576" s="40">
        <v>0</v>
      </c>
      <c r="T576" s="37">
        <f t="shared" si="89"/>
        <v>1702.2875019467372</v>
      </c>
      <c r="U576" s="37">
        <f t="shared" si="90"/>
        <v>1702.2875019467372</v>
      </c>
      <c r="V576" s="41" t="s">
        <v>572</v>
      </c>
      <c r="W576" s="47"/>
    </row>
    <row r="577" s="31" customFormat="1" ht="42.75" customHeight="1">
      <c r="A577" s="33">
        <v>108</v>
      </c>
      <c r="B577" s="34" t="s">
        <v>621</v>
      </c>
      <c r="C577" s="43" t="s">
        <v>43</v>
      </c>
      <c r="D577" s="35" t="s">
        <v>215</v>
      </c>
      <c r="E577" s="44" t="s">
        <v>39</v>
      </c>
      <c r="F577" s="33" t="s">
        <v>44</v>
      </c>
      <c r="G577" s="45">
        <v>4</v>
      </c>
      <c r="H577" s="36">
        <v>8</v>
      </c>
      <c r="I577" s="46">
        <v>7542.8000000000002</v>
      </c>
      <c r="J577" s="37">
        <v>6061</v>
      </c>
      <c r="K577" s="46">
        <v>5446.1000000000004</v>
      </c>
      <c r="L577" s="38">
        <v>112</v>
      </c>
      <c r="M577" s="39">
        <f t="shared" si="91"/>
        <v>1028886</v>
      </c>
      <c r="N577" s="37">
        <v>0</v>
      </c>
      <c r="O577" s="37">
        <v>0</v>
      </c>
      <c r="P577" s="37">
        <v>0</v>
      </c>
      <c r="Q577" s="40">
        <f>'Таблица 3 '!C566</f>
        <v>1028886</v>
      </c>
      <c r="R577" s="37">
        <f t="shared" si="92"/>
        <v>1028886</v>
      </c>
      <c r="S577" s="46">
        <v>0</v>
      </c>
      <c r="T577" s="37">
        <f t="shared" si="89"/>
        <v>169.75515591486553</v>
      </c>
      <c r="U577" s="46">
        <f t="shared" si="90"/>
        <v>169.75515591486553</v>
      </c>
      <c r="V577" s="41" t="s">
        <v>572</v>
      </c>
      <c r="W577" s="47"/>
    </row>
    <row r="578" s="31" customFormat="1" ht="42.75" customHeight="1">
      <c r="A578" s="33">
        <v>109</v>
      </c>
      <c r="B578" s="34" t="s">
        <v>214</v>
      </c>
      <c r="C578" s="33" t="s">
        <v>43</v>
      </c>
      <c r="D578" s="35" t="s">
        <v>215</v>
      </c>
      <c r="E578" s="35" t="s">
        <v>50</v>
      </c>
      <c r="F578" s="33" t="s">
        <v>44</v>
      </c>
      <c r="G578" s="36">
        <v>4</v>
      </c>
      <c r="H578" s="36">
        <v>9</v>
      </c>
      <c r="I578" s="37">
        <v>7379.8000000000002</v>
      </c>
      <c r="J578" s="37">
        <v>7379.3000000000002</v>
      </c>
      <c r="K578" s="37">
        <v>4342.3999999999996</v>
      </c>
      <c r="L578" s="38">
        <v>124</v>
      </c>
      <c r="M578" s="39">
        <f t="shared" si="91"/>
        <v>53551480.270000003</v>
      </c>
      <c r="N578" s="37">
        <v>0</v>
      </c>
      <c r="O578" s="37">
        <v>0</v>
      </c>
      <c r="P578" s="37">
        <v>0</v>
      </c>
      <c r="Q578" s="40">
        <f>'Таблица 3 '!C567</f>
        <v>53551480.270000003</v>
      </c>
      <c r="R578" s="37">
        <f t="shared" si="92"/>
        <v>53551480.270000003</v>
      </c>
      <c r="S578" s="37">
        <v>0</v>
      </c>
      <c r="T578" s="37">
        <f t="shared" si="89"/>
        <v>7256.9864716165494</v>
      </c>
      <c r="U578" s="37">
        <f t="shared" si="90"/>
        <v>7256.9864716165494</v>
      </c>
      <c r="V578" s="41" t="s">
        <v>572</v>
      </c>
      <c r="W578" s="31"/>
    </row>
    <row r="579" s="31" customFormat="1" ht="42.75" customHeight="1">
      <c r="A579" s="33">
        <v>110</v>
      </c>
      <c r="B579" s="34" t="s">
        <v>216</v>
      </c>
      <c r="C579" s="33" t="s">
        <v>43</v>
      </c>
      <c r="D579" s="35" t="s">
        <v>217</v>
      </c>
      <c r="E579" s="35" t="s">
        <v>39</v>
      </c>
      <c r="F579" s="33" t="s">
        <v>44</v>
      </c>
      <c r="G579" s="36">
        <v>4</v>
      </c>
      <c r="H579" s="36">
        <v>6</v>
      </c>
      <c r="I579" s="37">
        <v>5498.8000000000002</v>
      </c>
      <c r="J579" s="37">
        <v>5350.5</v>
      </c>
      <c r="K579" s="37">
        <v>3369.8000000000002</v>
      </c>
      <c r="L579" s="38">
        <v>79</v>
      </c>
      <c r="M579" s="39">
        <f t="shared" si="91"/>
        <v>68543536.25</v>
      </c>
      <c r="N579" s="37">
        <v>0</v>
      </c>
      <c r="O579" s="37">
        <v>0</v>
      </c>
      <c r="P579" s="37">
        <v>0</v>
      </c>
      <c r="Q579" s="40">
        <f>'Таблица 3 '!C568</f>
        <v>68543536.25</v>
      </c>
      <c r="R579" s="37">
        <f t="shared" si="92"/>
        <v>68543536.25</v>
      </c>
      <c r="S579" s="37">
        <v>0</v>
      </c>
      <c r="T579" s="37">
        <f t="shared" si="89"/>
        <v>12810.678674890198</v>
      </c>
      <c r="U579" s="37">
        <f t="shared" si="90"/>
        <v>12810.678674890198</v>
      </c>
      <c r="V579" s="41" t="s">
        <v>572</v>
      </c>
      <c r="W579" s="31"/>
    </row>
    <row r="580" s="31" customFormat="1" ht="42.75" customHeight="1">
      <c r="A580" s="33">
        <v>111</v>
      </c>
      <c r="B580" s="42" t="s">
        <v>218</v>
      </c>
      <c r="C580" s="33" t="s">
        <v>43</v>
      </c>
      <c r="D580" s="35" t="s">
        <v>219</v>
      </c>
      <c r="E580" s="35" t="s">
        <v>39</v>
      </c>
      <c r="F580" s="33" t="s">
        <v>44</v>
      </c>
      <c r="G580" s="36">
        <v>4</v>
      </c>
      <c r="H580" s="36">
        <v>5</v>
      </c>
      <c r="I580" s="37">
        <v>5160.3000000000002</v>
      </c>
      <c r="J580" s="37">
        <v>4617</v>
      </c>
      <c r="K580" s="37">
        <v>3542.5999999999999</v>
      </c>
      <c r="L580" s="38">
        <v>98</v>
      </c>
      <c r="M580" s="39">
        <f t="shared" si="91"/>
        <v>59464145.879999995</v>
      </c>
      <c r="N580" s="37">
        <v>0</v>
      </c>
      <c r="O580" s="37">
        <v>0</v>
      </c>
      <c r="P580" s="37">
        <v>0</v>
      </c>
      <c r="Q580" s="40">
        <f>'Таблица 3 '!C569</f>
        <v>59464145.879999995</v>
      </c>
      <c r="R580" s="37">
        <f t="shared" si="92"/>
        <v>59464145.879999995</v>
      </c>
      <c r="S580" s="37">
        <v>0</v>
      </c>
      <c r="T580" s="37">
        <f t="shared" si="89"/>
        <v>12879.390487329434</v>
      </c>
      <c r="U580" s="37">
        <f t="shared" si="90"/>
        <v>12879.390487329434</v>
      </c>
      <c r="V580" s="41" t="s">
        <v>572</v>
      </c>
      <c r="W580" s="31"/>
    </row>
    <row r="581" ht="42.75" customHeight="1">
      <c r="A581" s="33">
        <v>112</v>
      </c>
      <c r="B581" s="34" t="s">
        <v>622</v>
      </c>
      <c r="C581" s="43" t="s">
        <v>43</v>
      </c>
      <c r="D581" s="35" t="s">
        <v>623</v>
      </c>
      <c r="E581" s="44" t="s">
        <v>39</v>
      </c>
      <c r="F581" s="33" t="s">
        <v>44</v>
      </c>
      <c r="G581" s="45">
        <v>5</v>
      </c>
      <c r="H581" s="36">
        <v>4</v>
      </c>
      <c r="I581" s="46">
        <v>5120.5</v>
      </c>
      <c r="J581" s="37">
        <v>4981.3999999999996</v>
      </c>
      <c r="K581" s="46">
        <v>0</v>
      </c>
      <c r="L581" s="38">
        <v>235</v>
      </c>
      <c r="M581" s="51">
        <f t="shared" si="91"/>
        <v>9885297.6699999999</v>
      </c>
      <c r="N581" s="40">
        <v>0</v>
      </c>
      <c r="O581" s="51">
        <v>0</v>
      </c>
      <c r="P581" s="40">
        <v>0</v>
      </c>
      <c r="Q581" s="40">
        <f>'Таблица 3 '!C570</f>
        <v>9885297.6699999999</v>
      </c>
      <c r="R581" s="40">
        <f t="shared" si="92"/>
        <v>9885297.6699999999</v>
      </c>
      <c r="S581" s="51">
        <v>0</v>
      </c>
      <c r="T581" s="37">
        <f t="shared" si="89"/>
        <v>1984.4416569639059</v>
      </c>
      <c r="U581" s="46">
        <f t="shared" si="90"/>
        <v>1984.4416569639059</v>
      </c>
      <c r="V581" s="41" t="s">
        <v>572</v>
      </c>
      <c r="W581" s="47"/>
    </row>
    <row r="582" s="31" customFormat="1" ht="42.75" customHeight="1">
      <c r="A582" s="33">
        <v>113</v>
      </c>
      <c r="B582" s="42" t="s">
        <v>220</v>
      </c>
      <c r="C582" s="33" t="s">
        <v>43</v>
      </c>
      <c r="D582" s="35" t="s">
        <v>221</v>
      </c>
      <c r="E582" s="35" t="s">
        <v>39</v>
      </c>
      <c r="F582" s="33" t="s">
        <v>44</v>
      </c>
      <c r="G582" s="36">
        <v>4</v>
      </c>
      <c r="H582" s="36">
        <v>5</v>
      </c>
      <c r="I582" s="37">
        <v>5039.1000000000004</v>
      </c>
      <c r="J582" s="37">
        <v>3603.4000000000001</v>
      </c>
      <c r="K582" s="37">
        <v>2886.4000000000001</v>
      </c>
      <c r="L582" s="38">
        <v>47</v>
      </c>
      <c r="M582" s="39">
        <f t="shared" si="91"/>
        <v>45303431.559999995</v>
      </c>
      <c r="N582" s="37">
        <v>0</v>
      </c>
      <c r="O582" s="37">
        <v>0</v>
      </c>
      <c r="P582" s="37">
        <v>0</v>
      </c>
      <c r="Q582" s="40">
        <f>'Таблица 3 '!C571</f>
        <v>45303431.559999995</v>
      </c>
      <c r="R582" s="37">
        <f t="shared" si="92"/>
        <v>45303431.559999995</v>
      </c>
      <c r="S582" s="37">
        <v>0</v>
      </c>
      <c r="T582" s="37">
        <f t="shared" si="89"/>
        <v>12572.412599211853</v>
      </c>
      <c r="U582" s="37">
        <f t="shared" si="90"/>
        <v>12572.412599211853</v>
      </c>
      <c r="V582" s="41" t="s">
        <v>572</v>
      </c>
      <c r="W582" s="31"/>
    </row>
    <row r="583" s="31" customFormat="1" ht="42.75" customHeight="1">
      <c r="A583" s="33">
        <v>114</v>
      </c>
      <c r="B583" s="34" t="s">
        <v>624</v>
      </c>
      <c r="C583" s="43" t="s">
        <v>43</v>
      </c>
      <c r="D583" s="33">
        <v>1959</v>
      </c>
      <c r="E583" s="44" t="s">
        <v>40</v>
      </c>
      <c r="F583" s="33" t="s">
        <v>77</v>
      </c>
      <c r="G583" s="45">
        <v>2</v>
      </c>
      <c r="H583" s="36">
        <v>1</v>
      </c>
      <c r="I583" s="51">
        <v>476.94999999999999</v>
      </c>
      <c r="J583" s="40">
        <v>260.39999999999998</v>
      </c>
      <c r="K583" s="51">
        <v>224.90000000000001</v>
      </c>
      <c r="L583" s="48">
        <v>8</v>
      </c>
      <c r="M583" s="51">
        <f t="shared" si="91"/>
        <v>1308220.2100000002</v>
      </c>
      <c r="N583" s="40">
        <v>0</v>
      </c>
      <c r="O583" s="51">
        <v>0</v>
      </c>
      <c r="P583" s="40">
        <v>0</v>
      </c>
      <c r="Q583" s="40">
        <f>'Таблица 3 '!C572</f>
        <v>1308220.2100000002</v>
      </c>
      <c r="R583" s="40">
        <f t="shared" si="92"/>
        <v>1308220.2100000002</v>
      </c>
      <c r="S583" s="51">
        <v>0</v>
      </c>
      <c r="T583" s="37">
        <f t="shared" si="89"/>
        <v>5023.8871351766529</v>
      </c>
      <c r="U583" s="46">
        <f t="shared" si="90"/>
        <v>5023.8871351766529</v>
      </c>
      <c r="V583" s="41" t="s">
        <v>572</v>
      </c>
      <c r="W583" s="47"/>
    </row>
    <row r="584" s="31" customFormat="1" ht="42.75" customHeight="1">
      <c r="A584" s="33">
        <v>115</v>
      </c>
      <c r="B584" s="34" t="s">
        <v>233</v>
      </c>
      <c r="C584" s="33" t="s">
        <v>43</v>
      </c>
      <c r="D584" s="33">
        <v>1954</v>
      </c>
      <c r="E584" s="35" t="s">
        <v>39</v>
      </c>
      <c r="F584" s="33" t="s">
        <v>44</v>
      </c>
      <c r="G584" s="36">
        <v>4</v>
      </c>
      <c r="H584" s="36">
        <v>5</v>
      </c>
      <c r="I584" s="37">
        <v>5190.6999999999998</v>
      </c>
      <c r="J584" s="37">
        <v>4164.3999999999996</v>
      </c>
      <c r="K584" s="37">
        <v>3706.4000000000001</v>
      </c>
      <c r="L584" s="38">
        <v>93</v>
      </c>
      <c r="M584" s="39">
        <f t="shared" si="91"/>
        <v>6429549.1100000003</v>
      </c>
      <c r="N584" s="37">
        <v>0</v>
      </c>
      <c r="O584" s="37">
        <v>0</v>
      </c>
      <c r="P584" s="37">
        <v>0</v>
      </c>
      <c r="Q584" s="40">
        <f>'Таблица 3 '!C573</f>
        <v>6429549.1100000003</v>
      </c>
      <c r="R584" s="37">
        <f t="shared" si="92"/>
        <v>6429549.1100000003</v>
      </c>
      <c r="S584" s="37">
        <v>0</v>
      </c>
      <c r="T584" s="37">
        <f t="shared" si="89"/>
        <v>1543.931685236769</v>
      </c>
      <c r="U584" s="37">
        <f t="shared" si="90"/>
        <v>1543.931685236769</v>
      </c>
      <c r="V584" s="41" t="s">
        <v>572</v>
      </c>
      <c r="W584" s="31"/>
    </row>
    <row r="585" s="31" customFormat="1" ht="42.75" customHeight="1">
      <c r="A585" s="33">
        <v>116</v>
      </c>
      <c r="B585" s="34" t="s">
        <v>235</v>
      </c>
      <c r="C585" s="33" t="s">
        <v>43</v>
      </c>
      <c r="D585" s="35" t="s">
        <v>145</v>
      </c>
      <c r="E585" s="35" t="s">
        <v>39</v>
      </c>
      <c r="F585" s="33" t="s">
        <v>44</v>
      </c>
      <c r="G585" s="36">
        <v>5</v>
      </c>
      <c r="H585" s="36">
        <v>8</v>
      </c>
      <c r="I585" s="37">
        <v>9456.3999999999996</v>
      </c>
      <c r="J585" s="37">
        <v>5716.3000000000002</v>
      </c>
      <c r="K585" s="37">
        <v>5239.5</v>
      </c>
      <c r="L585" s="38">
        <v>167</v>
      </c>
      <c r="M585" s="39">
        <f t="shared" si="91"/>
        <v>12827901.35</v>
      </c>
      <c r="N585" s="37">
        <v>0</v>
      </c>
      <c r="O585" s="37">
        <v>0</v>
      </c>
      <c r="P585" s="37">
        <v>0</v>
      </c>
      <c r="Q585" s="40">
        <f>'Таблица 3 '!C574</f>
        <v>12827901.35</v>
      </c>
      <c r="R585" s="37">
        <f t="shared" si="92"/>
        <v>12827901.35</v>
      </c>
      <c r="S585" s="37">
        <v>0</v>
      </c>
      <c r="T585" s="37">
        <f t="shared" si="89"/>
        <v>2244.0916939278904</v>
      </c>
      <c r="U585" s="37">
        <f t="shared" si="90"/>
        <v>2244.0916939278904</v>
      </c>
      <c r="V585" s="41" t="s">
        <v>572</v>
      </c>
      <c r="W585" s="31"/>
    </row>
    <row r="586" s="31" customFormat="1" ht="42.75" customHeight="1">
      <c r="A586" s="33">
        <v>117</v>
      </c>
      <c r="B586" s="34" t="s">
        <v>236</v>
      </c>
      <c r="C586" s="33" t="s">
        <v>43</v>
      </c>
      <c r="D586" s="33">
        <v>1959</v>
      </c>
      <c r="E586" s="35" t="s">
        <v>625</v>
      </c>
      <c r="F586" s="33" t="s">
        <v>44</v>
      </c>
      <c r="G586" s="36">
        <v>2</v>
      </c>
      <c r="H586" s="36">
        <v>2</v>
      </c>
      <c r="I586" s="37">
        <v>428.5</v>
      </c>
      <c r="J586" s="37">
        <v>386.10000000000002</v>
      </c>
      <c r="K586" s="37">
        <v>318.69999999999999</v>
      </c>
      <c r="L586" s="38">
        <v>23</v>
      </c>
      <c r="M586" s="39">
        <f t="shared" si="91"/>
        <v>159073.20000000001</v>
      </c>
      <c r="N586" s="37">
        <v>0</v>
      </c>
      <c r="O586" s="37">
        <v>0</v>
      </c>
      <c r="P586" s="37">
        <v>0</v>
      </c>
      <c r="Q586" s="40">
        <f>'Таблица 3 '!C575</f>
        <v>159073.20000000001</v>
      </c>
      <c r="R586" s="37">
        <f t="shared" si="92"/>
        <v>159073.20000000001</v>
      </c>
      <c r="S586" s="37">
        <v>0</v>
      </c>
      <c r="T586" s="37">
        <f t="shared" si="89"/>
        <v>412</v>
      </c>
      <c r="U586" s="37">
        <f t="shared" si="90"/>
        <v>412</v>
      </c>
      <c r="V586" s="41" t="s">
        <v>572</v>
      </c>
      <c r="W586" s="31"/>
    </row>
    <row r="587" s="137" customFormat="1" ht="42.75" customHeight="1">
      <c r="A587" s="33">
        <v>118</v>
      </c>
      <c r="B587" s="34" t="s">
        <v>626</v>
      </c>
      <c r="C587" s="43" t="s">
        <v>43</v>
      </c>
      <c r="D587" s="33">
        <v>1957</v>
      </c>
      <c r="E587" s="44" t="s">
        <v>50</v>
      </c>
      <c r="F587" s="33" t="s">
        <v>77</v>
      </c>
      <c r="G587" s="45">
        <v>2</v>
      </c>
      <c r="H587" s="36">
        <v>1</v>
      </c>
      <c r="I587" s="51">
        <v>937.60000000000002</v>
      </c>
      <c r="J587" s="40">
        <v>514.60000000000002</v>
      </c>
      <c r="K587" s="51">
        <v>458.39999999999998</v>
      </c>
      <c r="L587" s="48">
        <v>22</v>
      </c>
      <c r="M587" s="51">
        <f t="shared" si="91"/>
        <v>871099.53000000003</v>
      </c>
      <c r="N587" s="40">
        <v>0</v>
      </c>
      <c r="O587" s="51">
        <v>0</v>
      </c>
      <c r="P587" s="40">
        <v>0</v>
      </c>
      <c r="Q587" s="40">
        <f>'Таблица 3 '!C576</f>
        <v>871099.53000000003</v>
      </c>
      <c r="R587" s="40">
        <f t="shared" si="92"/>
        <v>871099.53000000003</v>
      </c>
      <c r="S587" s="51">
        <v>0</v>
      </c>
      <c r="T587" s="37">
        <f t="shared" si="89"/>
        <v>1692.7701710066071</v>
      </c>
      <c r="U587" s="46">
        <f t="shared" si="90"/>
        <v>1692.7701710066071</v>
      </c>
      <c r="V587" s="41" t="s">
        <v>572</v>
      </c>
      <c r="W587" s="47"/>
    </row>
    <row r="588" s="31" customFormat="1" ht="42.75" customHeight="1">
      <c r="A588" s="33">
        <v>119</v>
      </c>
      <c r="B588" s="34" t="s">
        <v>238</v>
      </c>
      <c r="C588" s="33" t="s">
        <v>43</v>
      </c>
      <c r="D588" s="35" t="s">
        <v>126</v>
      </c>
      <c r="E588" s="35" t="s">
        <v>140</v>
      </c>
      <c r="F588" s="33" t="s">
        <v>44</v>
      </c>
      <c r="G588" s="36">
        <v>2</v>
      </c>
      <c r="H588" s="36">
        <v>2</v>
      </c>
      <c r="I588" s="37">
        <v>605.79999999999995</v>
      </c>
      <c r="J588" s="37">
        <v>575.20000000000005</v>
      </c>
      <c r="K588" s="37">
        <v>374.30000000000001</v>
      </c>
      <c r="L588" s="38">
        <v>35</v>
      </c>
      <c r="M588" s="39">
        <f t="shared" si="91"/>
        <v>5294633.6300000008</v>
      </c>
      <c r="N588" s="37">
        <v>0</v>
      </c>
      <c r="O588" s="37">
        <v>0</v>
      </c>
      <c r="P588" s="37">
        <v>0</v>
      </c>
      <c r="Q588" s="40">
        <f>'Таблица 3 '!C577</f>
        <v>5294633.6300000008</v>
      </c>
      <c r="R588" s="37">
        <f t="shared" si="92"/>
        <v>5294633.6300000008</v>
      </c>
      <c r="S588" s="37">
        <v>0</v>
      </c>
      <c r="T588" s="37">
        <f t="shared" si="89"/>
        <v>9204.8567976356062</v>
      </c>
      <c r="U588" s="37">
        <f t="shared" si="90"/>
        <v>9204.8567976356062</v>
      </c>
      <c r="V588" s="41" t="s">
        <v>572</v>
      </c>
      <c r="W588" s="31"/>
    </row>
    <row r="589" s="31" customFormat="1" ht="42.75" customHeight="1">
      <c r="A589" s="33">
        <v>120</v>
      </c>
      <c r="B589" s="34" t="s">
        <v>627</v>
      </c>
      <c r="C589" s="43" t="s">
        <v>43</v>
      </c>
      <c r="D589" s="35" t="s">
        <v>163</v>
      </c>
      <c r="E589" s="44" t="s">
        <v>39</v>
      </c>
      <c r="F589" s="33" t="s">
        <v>44</v>
      </c>
      <c r="G589" s="45">
        <v>4</v>
      </c>
      <c r="H589" s="36">
        <v>2</v>
      </c>
      <c r="I589" s="46">
        <v>1385</v>
      </c>
      <c r="J589" s="37">
        <v>1263.8</v>
      </c>
      <c r="K589" s="46">
        <v>905.20000000000005</v>
      </c>
      <c r="L589" s="38">
        <v>43</v>
      </c>
      <c r="M589" s="39">
        <f t="shared" si="91"/>
        <v>350382</v>
      </c>
      <c r="N589" s="46">
        <v>0</v>
      </c>
      <c r="O589" s="37">
        <v>0</v>
      </c>
      <c r="P589" s="46">
        <v>0</v>
      </c>
      <c r="Q589" s="40">
        <f>'Таблица 3 '!C578</f>
        <v>350382</v>
      </c>
      <c r="R589" s="46">
        <f t="shared" si="92"/>
        <v>350382</v>
      </c>
      <c r="S589" s="37">
        <v>0</v>
      </c>
      <c r="T589" s="46">
        <f t="shared" si="89"/>
        <v>277.24481721791426</v>
      </c>
      <c r="U589" s="37">
        <f t="shared" si="90"/>
        <v>277.24481721791426</v>
      </c>
      <c r="V589" s="41" t="s">
        <v>572</v>
      </c>
      <c r="W589" s="47"/>
    </row>
    <row r="590" s="31" customFormat="1" ht="42.75" customHeight="1">
      <c r="A590" s="33">
        <v>121</v>
      </c>
      <c r="B590" s="34" t="s">
        <v>240</v>
      </c>
      <c r="C590" s="33" t="s">
        <v>43</v>
      </c>
      <c r="D590" s="35" t="s">
        <v>230</v>
      </c>
      <c r="E590" s="35" t="s">
        <v>63</v>
      </c>
      <c r="F590" s="33" t="s">
        <v>44</v>
      </c>
      <c r="G590" s="36">
        <v>2</v>
      </c>
      <c r="H590" s="36">
        <v>2</v>
      </c>
      <c r="I590" s="37">
        <v>922.89999999999998</v>
      </c>
      <c r="J590" s="37">
        <v>836.39999999999998</v>
      </c>
      <c r="K590" s="37">
        <v>630.70000000000005</v>
      </c>
      <c r="L590" s="38">
        <v>27</v>
      </c>
      <c r="M590" s="39">
        <f t="shared" si="91"/>
        <v>6755181.2199999997</v>
      </c>
      <c r="N590" s="37">
        <v>0</v>
      </c>
      <c r="O590" s="37">
        <v>0</v>
      </c>
      <c r="P590" s="37">
        <v>0</v>
      </c>
      <c r="Q590" s="40">
        <f>'Таблица 3 '!C579</f>
        <v>6755181.2199999997</v>
      </c>
      <c r="R590" s="37">
        <f t="shared" si="92"/>
        <v>6755181.2199999997</v>
      </c>
      <c r="S590" s="37">
        <v>0</v>
      </c>
      <c r="T590" s="37">
        <f t="shared" si="89"/>
        <v>8076.4959588713537</v>
      </c>
      <c r="U590" s="37">
        <f t="shared" si="90"/>
        <v>8076.4959588713537</v>
      </c>
      <c r="V590" s="41" t="s">
        <v>572</v>
      </c>
      <c r="W590" s="31"/>
    </row>
    <row r="591" s="31" customFormat="1" ht="42.75" customHeight="1">
      <c r="A591" s="33">
        <v>122</v>
      </c>
      <c r="B591" s="34" t="s">
        <v>628</v>
      </c>
      <c r="C591" s="43" t="s">
        <v>43</v>
      </c>
      <c r="D591" s="35" t="s">
        <v>195</v>
      </c>
      <c r="E591" s="44" t="s">
        <v>39</v>
      </c>
      <c r="F591" s="33" t="s">
        <v>44</v>
      </c>
      <c r="G591" s="45">
        <v>2</v>
      </c>
      <c r="H591" s="36">
        <v>2</v>
      </c>
      <c r="I591" s="46">
        <v>676</v>
      </c>
      <c r="J591" s="37">
        <v>632.60000000000002</v>
      </c>
      <c r="K591" s="46">
        <v>632.60000000000002</v>
      </c>
      <c r="L591" s="38">
        <v>29</v>
      </c>
      <c r="M591" s="39">
        <f t="shared" si="91"/>
        <v>4886132.3700000001</v>
      </c>
      <c r="N591" s="46">
        <v>0</v>
      </c>
      <c r="O591" s="37">
        <v>0</v>
      </c>
      <c r="P591" s="46">
        <v>0</v>
      </c>
      <c r="Q591" s="40">
        <f>'Таблица 3 '!C580</f>
        <v>4886132.3700000001</v>
      </c>
      <c r="R591" s="46">
        <f t="shared" si="92"/>
        <v>4886132.3700000001</v>
      </c>
      <c r="S591" s="37">
        <v>0</v>
      </c>
      <c r="T591" s="46">
        <f t="shared" si="89"/>
        <v>7723.8892981346826</v>
      </c>
      <c r="U591" s="37">
        <f t="shared" si="90"/>
        <v>7723.8892981346826</v>
      </c>
      <c r="V591" s="41" t="s">
        <v>572</v>
      </c>
      <c r="W591" s="47"/>
    </row>
    <row r="592" s="31" customFormat="1" ht="42.75" customHeight="1">
      <c r="A592" s="33">
        <v>123</v>
      </c>
      <c r="B592" s="34" t="s">
        <v>243</v>
      </c>
      <c r="C592" s="33" t="s">
        <v>43</v>
      </c>
      <c r="D592" s="35" t="s">
        <v>244</v>
      </c>
      <c r="E592" s="35" t="s">
        <v>39</v>
      </c>
      <c r="F592" s="33" t="s">
        <v>44</v>
      </c>
      <c r="G592" s="36">
        <v>9</v>
      </c>
      <c r="H592" s="36">
        <v>4</v>
      </c>
      <c r="I592" s="37">
        <v>11117.299999999999</v>
      </c>
      <c r="J592" s="37">
        <v>9860.7999999999993</v>
      </c>
      <c r="K592" s="37">
        <v>9860.7999999999993</v>
      </c>
      <c r="L592" s="38">
        <v>217</v>
      </c>
      <c r="M592" s="39">
        <f t="shared" si="91"/>
        <v>16126293.210000001</v>
      </c>
      <c r="N592" s="37">
        <v>0</v>
      </c>
      <c r="O592" s="37">
        <v>0</v>
      </c>
      <c r="P592" s="37">
        <v>0</v>
      </c>
      <c r="Q592" s="40">
        <f>'Таблица 3 '!C581</f>
        <v>16126293.210000001</v>
      </c>
      <c r="R592" s="37">
        <f t="shared" si="92"/>
        <v>16126293.210000001</v>
      </c>
      <c r="S592" s="37">
        <v>0</v>
      </c>
      <c r="T592" s="37">
        <f t="shared" si="89"/>
        <v>1635.3940055573587</v>
      </c>
      <c r="U592" s="37">
        <f t="shared" si="90"/>
        <v>1635.3940055573587</v>
      </c>
      <c r="V592" s="41" t="s">
        <v>572</v>
      </c>
      <c r="W592" s="31"/>
    </row>
    <row r="593" s="31" customFormat="1" ht="42.75" customHeight="1">
      <c r="A593" s="33">
        <v>124</v>
      </c>
      <c r="B593" s="34" t="s">
        <v>246</v>
      </c>
      <c r="C593" s="33" t="s">
        <v>43</v>
      </c>
      <c r="D593" s="33">
        <v>1978</v>
      </c>
      <c r="E593" s="35" t="s">
        <v>63</v>
      </c>
      <c r="F593" s="33" t="s">
        <v>44</v>
      </c>
      <c r="G593" s="36">
        <v>5</v>
      </c>
      <c r="H593" s="36">
        <v>4</v>
      </c>
      <c r="I593" s="37">
        <v>3838</v>
      </c>
      <c r="J593" s="37">
        <v>3393.5999999999999</v>
      </c>
      <c r="K593" s="37">
        <v>3012.3000000000002</v>
      </c>
      <c r="L593" s="38">
        <v>121</v>
      </c>
      <c r="M593" s="39">
        <f t="shared" si="91"/>
        <v>18034758.48</v>
      </c>
      <c r="N593" s="37">
        <v>0</v>
      </c>
      <c r="O593" s="37">
        <v>0</v>
      </c>
      <c r="P593" s="37">
        <v>0</v>
      </c>
      <c r="Q593" s="40">
        <f>'Таблица 3 '!C582</f>
        <v>18034758.48</v>
      </c>
      <c r="R593" s="37">
        <f t="shared" si="92"/>
        <v>18034758.48</v>
      </c>
      <c r="S593" s="37">
        <v>0</v>
      </c>
      <c r="T593" s="37">
        <f t="shared" si="89"/>
        <v>5314.3442008486563</v>
      </c>
      <c r="U593" s="37">
        <f t="shared" si="90"/>
        <v>5314.3442008486563</v>
      </c>
      <c r="V593" s="41" t="s">
        <v>572</v>
      </c>
      <c r="W593" s="31"/>
    </row>
    <row r="594" s="31" customFormat="1" ht="42.75" customHeight="1">
      <c r="A594" s="33">
        <v>125</v>
      </c>
      <c r="B594" s="34" t="s">
        <v>629</v>
      </c>
      <c r="C594" s="33" t="s">
        <v>43</v>
      </c>
      <c r="D594" s="33">
        <v>1952</v>
      </c>
      <c r="E594" s="35" t="s">
        <v>39</v>
      </c>
      <c r="F594" s="33" t="s">
        <v>566</v>
      </c>
      <c r="G594" s="36">
        <v>2</v>
      </c>
      <c r="H594" s="36">
        <v>1</v>
      </c>
      <c r="I594" s="37">
        <v>383.10000000000002</v>
      </c>
      <c r="J594" s="37">
        <v>379.69999999999999</v>
      </c>
      <c r="K594" s="37">
        <v>379.69999999999999</v>
      </c>
      <c r="L594" s="38">
        <v>21</v>
      </c>
      <c r="M594" s="39">
        <f t="shared" si="91"/>
        <v>265594</v>
      </c>
      <c r="N594" s="37">
        <v>0</v>
      </c>
      <c r="O594" s="37">
        <v>0</v>
      </c>
      <c r="P594" s="37">
        <v>0</v>
      </c>
      <c r="Q594" s="40">
        <f>'Таблица 3 '!C583</f>
        <v>265594</v>
      </c>
      <c r="R594" s="37">
        <f t="shared" si="92"/>
        <v>265594</v>
      </c>
      <c r="S594" s="37">
        <v>0</v>
      </c>
      <c r="T594" s="37">
        <f t="shared" si="89"/>
        <v>699.48380300237034</v>
      </c>
      <c r="U594" s="37">
        <f t="shared" si="90"/>
        <v>699.48380300237034</v>
      </c>
      <c r="V594" s="41" t="s">
        <v>572</v>
      </c>
      <c r="W594" s="31"/>
    </row>
    <row r="595" s="31" customFormat="1" ht="42.75" customHeight="1">
      <c r="A595" s="33">
        <v>126</v>
      </c>
      <c r="B595" s="34" t="s">
        <v>630</v>
      </c>
      <c r="C595" s="43" t="s">
        <v>43</v>
      </c>
      <c r="D595" s="33">
        <v>1964</v>
      </c>
      <c r="E595" s="44" t="s">
        <v>39</v>
      </c>
      <c r="F595" s="33" t="s">
        <v>44</v>
      </c>
      <c r="G595" s="45">
        <v>5</v>
      </c>
      <c r="H595" s="36">
        <v>5</v>
      </c>
      <c r="I595" s="46">
        <v>4340.6999999999998</v>
      </c>
      <c r="J595" s="37">
        <v>4340.6999999999998</v>
      </c>
      <c r="K595" s="46">
        <v>4253.6000000000004</v>
      </c>
      <c r="L595" s="38">
        <v>164</v>
      </c>
      <c r="M595" s="39">
        <f t="shared" si="91"/>
        <v>23768737.870000001</v>
      </c>
      <c r="N595" s="46">
        <v>0</v>
      </c>
      <c r="O595" s="37">
        <v>0</v>
      </c>
      <c r="P595" s="46">
        <v>0</v>
      </c>
      <c r="Q595" s="40">
        <f>'Таблица 3 '!C584</f>
        <v>23768737.870000001</v>
      </c>
      <c r="R595" s="46">
        <f t="shared" si="92"/>
        <v>23768737.870000001</v>
      </c>
      <c r="S595" s="37">
        <v>0</v>
      </c>
      <c r="T595" s="46">
        <f t="shared" si="89"/>
        <v>5475.7845209298048</v>
      </c>
      <c r="U595" s="37">
        <f t="shared" si="90"/>
        <v>5475.7845209298048</v>
      </c>
      <c r="V595" s="41" t="s">
        <v>572</v>
      </c>
      <c r="W595" s="47"/>
    </row>
    <row r="596" s="31" customFormat="1" ht="42.75" customHeight="1">
      <c r="A596" s="33">
        <v>127</v>
      </c>
      <c r="B596" s="34" t="s">
        <v>248</v>
      </c>
      <c r="C596" s="33" t="s">
        <v>43</v>
      </c>
      <c r="D596" s="33">
        <v>1962</v>
      </c>
      <c r="E596" s="35" t="s">
        <v>140</v>
      </c>
      <c r="F596" s="33" t="s">
        <v>77</v>
      </c>
      <c r="G596" s="36">
        <v>3</v>
      </c>
      <c r="H596" s="36">
        <v>4</v>
      </c>
      <c r="I596" s="40">
        <v>2536</v>
      </c>
      <c r="J596" s="40">
        <v>2372.1999999999998</v>
      </c>
      <c r="K596" s="40">
        <v>1808.0999999999999</v>
      </c>
      <c r="L596" s="138">
        <v>79</v>
      </c>
      <c r="M596" s="40">
        <f t="shared" si="91"/>
        <v>21835761.299999997</v>
      </c>
      <c r="N596" s="40">
        <v>0</v>
      </c>
      <c r="O596" s="40">
        <v>0</v>
      </c>
      <c r="P596" s="40">
        <v>0</v>
      </c>
      <c r="Q596" s="40">
        <f>'Таблица 3 '!C585</f>
        <v>21835761.299999997</v>
      </c>
      <c r="R596" s="40">
        <f t="shared" si="92"/>
        <v>21835761.299999997</v>
      </c>
      <c r="S596" s="40">
        <v>0</v>
      </c>
      <c r="T596" s="37">
        <f t="shared" si="89"/>
        <v>9204.8567995953126</v>
      </c>
      <c r="U596" s="46">
        <f t="shared" si="90"/>
        <v>9204.8567995953126</v>
      </c>
      <c r="V596" s="41" t="s">
        <v>572</v>
      </c>
      <c r="W596" s="47"/>
    </row>
    <row r="597" s="31" customFormat="1" ht="42.75" customHeight="1">
      <c r="A597" s="33">
        <v>128</v>
      </c>
      <c r="B597" s="34" t="s">
        <v>631</v>
      </c>
      <c r="C597" s="33" t="s">
        <v>43</v>
      </c>
      <c r="D597" s="33">
        <v>1970</v>
      </c>
      <c r="E597" s="35" t="s">
        <v>39</v>
      </c>
      <c r="F597" s="33" t="s">
        <v>48</v>
      </c>
      <c r="G597" s="36">
        <v>5</v>
      </c>
      <c r="H597" s="36">
        <v>7</v>
      </c>
      <c r="I597" s="37">
        <v>8867.6000000000004</v>
      </c>
      <c r="J597" s="37">
        <v>7088.3999999999996</v>
      </c>
      <c r="K597" s="37">
        <v>6924.6000000000004</v>
      </c>
      <c r="L597" s="38">
        <v>279</v>
      </c>
      <c r="M597" s="39">
        <f t="shared" si="91"/>
        <v>25367756.629999995</v>
      </c>
      <c r="N597" s="37">
        <v>0</v>
      </c>
      <c r="O597" s="37">
        <v>0</v>
      </c>
      <c r="P597" s="37">
        <v>0</v>
      </c>
      <c r="Q597" s="40">
        <f>'Таблица 3 '!C586</f>
        <v>25367756.629999995</v>
      </c>
      <c r="R597" s="37">
        <f t="shared" si="92"/>
        <v>25367756.629999995</v>
      </c>
      <c r="S597" s="37">
        <v>0</v>
      </c>
      <c r="T597" s="37">
        <f t="shared" ref="T597:T660" si="93">M597/J597</f>
        <v>3578.7704742960323</v>
      </c>
      <c r="U597" s="37">
        <f t="shared" ref="U597:U657" si="94">T597</f>
        <v>3578.7704742960323</v>
      </c>
      <c r="V597" s="41" t="s">
        <v>572</v>
      </c>
      <c r="W597" s="31"/>
    </row>
    <row r="598" s="31" customFormat="1" ht="42.75" customHeight="1">
      <c r="A598" s="33">
        <v>129</v>
      </c>
      <c r="B598" s="34" t="s">
        <v>249</v>
      </c>
      <c r="C598" s="33" t="s">
        <v>43</v>
      </c>
      <c r="D598" s="33">
        <v>1961</v>
      </c>
      <c r="E598" s="35" t="s">
        <v>228</v>
      </c>
      <c r="F598" s="33" t="s">
        <v>44</v>
      </c>
      <c r="G598" s="36">
        <v>4</v>
      </c>
      <c r="H598" s="36">
        <v>3</v>
      </c>
      <c r="I598" s="37">
        <v>2605.8000000000002</v>
      </c>
      <c r="J598" s="37">
        <v>1807.5999999999999</v>
      </c>
      <c r="K598" s="37">
        <v>1697.0999999999999</v>
      </c>
      <c r="L598" s="38">
        <v>69</v>
      </c>
      <c r="M598" s="39">
        <f t="shared" ref="M598:M640" si="95">SUM(N598:Q598)</f>
        <v>13119684.439999999</v>
      </c>
      <c r="N598" s="37">
        <v>0</v>
      </c>
      <c r="O598" s="37">
        <v>0</v>
      </c>
      <c r="P598" s="37">
        <v>0</v>
      </c>
      <c r="Q598" s="40">
        <f>'Таблица 3 '!C587</f>
        <v>13119684.439999999</v>
      </c>
      <c r="R598" s="37">
        <f t="shared" ref="R598:R640" si="96">Q598</f>
        <v>13119684.439999999</v>
      </c>
      <c r="S598" s="37">
        <v>0</v>
      </c>
      <c r="T598" s="37">
        <f t="shared" si="93"/>
        <v>7258.0684000885149</v>
      </c>
      <c r="U598" s="37">
        <f t="shared" si="94"/>
        <v>7258.0684000885149</v>
      </c>
      <c r="V598" s="41" t="s">
        <v>572</v>
      </c>
      <c r="W598" s="31"/>
    </row>
    <row r="599" s="31" customFormat="1" ht="42.75" customHeight="1">
      <c r="A599" s="33">
        <v>130</v>
      </c>
      <c r="B599" s="34" t="s">
        <v>253</v>
      </c>
      <c r="C599" s="33" t="s">
        <v>43</v>
      </c>
      <c r="D599" s="35" t="s">
        <v>126</v>
      </c>
      <c r="E599" s="35" t="s">
        <v>39</v>
      </c>
      <c r="F599" s="33" t="s">
        <v>44</v>
      </c>
      <c r="G599" s="36">
        <v>4</v>
      </c>
      <c r="H599" s="36">
        <v>3</v>
      </c>
      <c r="I599" s="37">
        <v>1915.0999999999999</v>
      </c>
      <c r="J599" s="37">
        <v>1915.0999999999999</v>
      </c>
      <c r="K599" s="37">
        <v>1618.8</v>
      </c>
      <c r="L599" s="38">
        <v>29</v>
      </c>
      <c r="M599" s="39">
        <f t="shared" si="95"/>
        <v>8575163.8000000007</v>
      </c>
      <c r="N599" s="37">
        <v>0</v>
      </c>
      <c r="O599" s="37">
        <v>0</v>
      </c>
      <c r="P599" s="37">
        <v>0</v>
      </c>
      <c r="Q599" s="40">
        <f>'Таблица 3 '!C588</f>
        <v>8575163.8000000007</v>
      </c>
      <c r="R599" s="37">
        <f t="shared" si="96"/>
        <v>8575163.8000000007</v>
      </c>
      <c r="S599" s="37">
        <v>0</v>
      </c>
      <c r="T599" s="37">
        <f t="shared" si="93"/>
        <v>4477.6585034724039</v>
      </c>
      <c r="U599" s="37">
        <f t="shared" si="94"/>
        <v>4477.6585034724039</v>
      </c>
      <c r="V599" s="41" t="s">
        <v>572</v>
      </c>
      <c r="W599" s="31"/>
    </row>
    <row r="600" s="31" customFormat="1" ht="42.75" customHeight="1">
      <c r="A600" s="33">
        <v>131</v>
      </c>
      <c r="B600" s="34" t="s">
        <v>255</v>
      </c>
      <c r="C600" s="33" t="s">
        <v>43</v>
      </c>
      <c r="D600" s="33">
        <v>1983</v>
      </c>
      <c r="E600" s="35" t="s">
        <v>39</v>
      </c>
      <c r="F600" s="33" t="s">
        <v>44</v>
      </c>
      <c r="G600" s="36">
        <v>5</v>
      </c>
      <c r="H600" s="36">
        <v>4</v>
      </c>
      <c r="I600" s="37">
        <v>3007.9000000000001</v>
      </c>
      <c r="J600" s="37">
        <v>2755.5</v>
      </c>
      <c r="K600" s="37">
        <v>2598.5999999999999</v>
      </c>
      <c r="L600" s="38">
        <v>115</v>
      </c>
      <c r="M600" s="39">
        <f t="shared" si="95"/>
        <v>14643675.439999999</v>
      </c>
      <c r="N600" s="37">
        <v>0</v>
      </c>
      <c r="O600" s="37">
        <v>0</v>
      </c>
      <c r="P600" s="37">
        <v>0</v>
      </c>
      <c r="Q600" s="40">
        <f>'Таблица 3 '!C589</f>
        <v>14643675.439999999</v>
      </c>
      <c r="R600" s="37">
        <f t="shared" si="96"/>
        <v>14643675.439999999</v>
      </c>
      <c r="S600" s="37">
        <v>0</v>
      </c>
      <c r="T600" s="37">
        <f t="shared" si="93"/>
        <v>5314.3441988749773</v>
      </c>
      <c r="U600" s="37">
        <f t="shared" si="94"/>
        <v>5314.3441988749773</v>
      </c>
      <c r="V600" s="41" t="s">
        <v>572</v>
      </c>
      <c r="W600" s="31"/>
      <c r="X600" s="31"/>
    </row>
    <row r="601" s="31" customFormat="1" ht="42.75" customHeight="1">
      <c r="A601" s="33">
        <v>132</v>
      </c>
      <c r="B601" s="34" t="s">
        <v>256</v>
      </c>
      <c r="C601" s="33" t="s">
        <v>43</v>
      </c>
      <c r="D601" s="33">
        <v>1971</v>
      </c>
      <c r="E601" s="35" t="s">
        <v>50</v>
      </c>
      <c r="F601" s="33" t="s">
        <v>48</v>
      </c>
      <c r="G601" s="36">
        <v>5</v>
      </c>
      <c r="H601" s="36">
        <v>4</v>
      </c>
      <c r="I601" s="37">
        <v>3947.1999999999998</v>
      </c>
      <c r="J601" s="37">
        <v>2349.4000000000001</v>
      </c>
      <c r="K601" s="37">
        <v>1939</v>
      </c>
      <c r="L601" s="38">
        <v>80</v>
      </c>
      <c r="M601" s="39">
        <f t="shared" si="95"/>
        <v>8311834.1399999997</v>
      </c>
      <c r="N601" s="37">
        <v>0</v>
      </c>
      <c r="O601" s="37">
        <v>0</v>
      </c>
      <c r="P601" s="37">
        <v>0</v>
      </c>
      <c r="Q601" s="40">
        <f>'Таблица 3 '!C590</f>
        <v>8311834.1399999997</v>
      </c>
      <c r="R601" s="37">
        <f t="shared" si="96"/>
        <v>8311834.1399999997</v>
      </c>
      <c r="S601" s="37">
        <v>0</v>
      </c>
      <c r="T601" s="37">
        <f t="shared" si="93"/>
        <v>3537.8539797395078</v>
      </c>
      <c r="U601" s="37">
        <f t="shared" si="94"/>
        <v>3537.8539797395078</v>
      </c>
      <c r="V601" s="41" t="s">
        <v>572</v>
      </c>
      <c r="W601" s="31"/>
      <c r="X601" s="31"/>
    </row>
    <row r="602" s="31" customFormat="1" ht="42.75" customHeight="1">
      <c r="A602" s="33">
        <v>133</v>
      </c>
      <c r="B602" s="34" t="s">
        <v>259</v>
      </c>
      <c r="C602" s="33" t="s">
        <v>43</v>
      </c>
      <c r="D602" s="33">
        <v>1988</v>
      </c>
      <c r="E602" s="35" t="s">
        <v>39</v>
      </c>
      <c r="F602" s="33" t="s">
        <v>44</v>
      </c>
      <c r="G602" s="36">
        <v>3</v>
      </c>
      <c r="H602" s="36">
        <v>1</v>
      </c>
      <c r="I602" s="37">
        <v>1747.3</v>
      </c>
      <c r="J602" s="37">
        <v>561.60000000000002</v>
      </c>
      <c r="K602" s="37">
        <v>482.80000000000001</v>
      </c>
      <c r="L602" s="38">
        <v>79</v>
      </c>
      <c r="M602" s="39">
        <f t="shared" si="95"/>
        <v>3729108.6899999999</v>
      </c>
      <c r="N602" s="37">
        <v>0</v>
      </c>
      <c r="O602" s="37">
        <v>0</v>
      </c>
      <c r="P602" s="37">
        <v>0</v>
      </c>
      <c r="Q602" s="40">
        <f>'Таблица 3 '!C591</f>
        <v>3729108.6899999999</v>
      </c>
      <c r="R602" s="37">
        <f t="shared" si="96"/>
        <v>3729108.6899999999</v>
      </c>
      <c r="S602" s="37">
        <v>0</v>
      </c>
      <c r="T602" s="37">
        <f t="shared" si="93"/>
        <v>6640.1508012820514</v>
      </c>
      <c r="U602" s="37">
        <f t="shared" si="94"/>
        <v>6640.1508012820514</v>
      </c>
      <c r="V602" s="41" t="s">
        <v>572</v>
      </c>
      <c r="W602" s="31"/>
      <c r="X602" s="31"/>
    </row>
    <row r="603" s="31" customFormat="1" ht="42.75" customHeight="1">
      <c r="A603" s="33">
        <v>134</v>
      </c>
      <c r="B603" s="49" t="s">
        <v>260</v>
      </c>
      <c r="C603" s="43" t="s">
        <v>43</v>
      </c>
      <c r="D603" s="33">
        <v>1984</v>
      </c>
      <c r="E603" s="44" t="s">
        <v>39</v>
      </c>
      <c r="F603" s="33" t="s">
        <v>48</v>
      </c>
      <c r="G603" s="45">
        <v>5</v>
      </c>
      <c r="H603" s="36">
        <v>4</v>
      </c>
      <c r="I603" s="51">
        <v>4013.1199999999999</v>
      </c>
      <c r="J603" s="40">
        <v>2895.0999999999999</v>
      </c>
      <c r="K603" s="51">
        <v>2850.6999999999998</v>
      </c>
      <c r="L603" s="48">
        <v>111</v>
      </c>
      <c r="M603" s="51">
        <f t="shared" si="95"/>
        <v>15385557.889999999</v>
      </c>
      <c r="N603" s="40">
        <v>0</v>
      </c>
      <c r="O603" s="51">
        <v>0</v>
      </c>
      <c r="P603" s="40">
        <v>0</v>
      </c>
      <c r="Q603" s="40">
        <f>'Таблица 3 '!C592</f>
        <v>15385557.889999999</v>
      </c>
      <c r="R603" s="40">
        <f t="shared" si="96"/>
        <v>15385557.889999999</v>
      </c>
      <c r="S603" s="51">
        <v>0</v>
      </c>
      <c r="T603" s="37">
        <f t="shared" si="93"/>
        <v>5314.3441988186933</v>
      </c>
      <c r="U603" s="46">
        <f t="shared" si="94"/>
        <v>5314.3441988186933</v>
      </c>
      <c r="V603" s="41" t="s">
        <v>572</v>
      </c>
      <c r="W603" s="47"/>
      <c r="X603" s="31"/>
    </row>
    <row r="604" s="31" customFormat="1" ht="42.75" customHeight="1">
      <c r="A604" s="33">
        <v>135</v>
      </c>
      <c r="B604" s="49" t="s">
        <v>262</v>
      </c>
      <c r="C604" s="33" t="s">
        <v>43</v>
      </c>
      <c r="D604" s="33">
        <v>1990</v>
      </c>
      <c r="E604" s="35" t="s">
        <v>39</v>
      </c>
      <c r="F604" s="33" t="s">
        <v>77</v>
      </c>
      <c r="G604" s="36">
        <v>5</v>
      </c>
      <c r="H604" s="36">
        <v>4</v>
      </c>
      <c r="I604" s="40">
        <v>3052.25</v>
      </c>
      <c r="J604" s="40">
        <v>2945.5</v>
      </c>
      <c r="K604" s="40">
        <v>2945.4499999999998</v>
      </c>
      <c r="L604" s="48">
        <v>89</v>
      </c>
      <c r="M604" s="39">
        <f t="shared" si="95"/>
        <v>16048707.51</v>
      </c>
      <c r="N604" s="40">
        <v>0</v>
      </c>
      <c r="O604" s="40">
        <v>0</v>
      </c>
      <c r="P604" s="40">
        <v>0</v>
      </c>
      <c r="Q604" s="40">
        <f>'Таблица 3 '!C593</f>
        <v>16048707.51</v>
      </c>
      <c r="R604" s="37">
        <f t="shared" si="96"/>
        <v>16048707.51</v>
      </c>
      <c r="S604" s="37">
        <v>0</v>
      </c>
      <c r="T604" s="37">
        <f t="shared" si="93"/>
        <v>5448.5511831607537</v>
      </c>
      <c r="U604" s="37">
        <f t="shared" si="94"/>
        <v>5448.5511831607537</v>
      </c>
      <c r="V604" s="41" t="s">
        <v>572</v>
      </c>
      <c r="W604" s="31"/>
    </row>
    <row r="605" s="60" customFormat="1" ht="42.75" customHeight="1">
      <c r="A605" s="33">
        <v>136</v>
      </c>
      <c r="B605" s="34" t="s">
        <v>267</v>
      </c>
      <c r="C605" s="33" t="s">
        <v>43</v>
      </c>
      <c r="D605" s="33">
        <v>1945</v>
      </c>
      <c r="E605" s="35" t="s">
        <v>50</v>
      </c>
      <c r="F605" s="33" t="s">
        <v>44</v>
      </c>
      <c r="G605" s="36">
        <v>4</v>
      </c>
      <c r="H605" s="36">
        <v>3</v>
      </c>
      <c r="I605" s="37">
        <v>3103.0999999999999</v>
      </c>
      <c r="J605" s="37">
        <v>2707.9000000000001</v>
      </c>
      <c r="K605" s="37">
        <v>2075.5</v>
      </c>
      <c r="L605" s="38">
        <v>62</v>
      </c>
      <c r="M605" s="39">
        <f t="shared" si="95"/>
        <v>19654123.420000002</v>
      </c>
      <c r="N605" s="37">
        <v>0</v>
      </c>
      <c r="O605" s="37">
        <v>0</v>
      </c>
      <c r="P605" s="37">
        <v>0</v>
      </c>
      <c r="Q605" s="40">
        <f>'Таблица 3 '!C594</f>
        <v>19654123.420000002</v>
      </c>
      <c r="R605" s="37">
        <f t="shared" si="96"/>
        <v>19654123.420000002</v>
      </c>
      <c r="S605" s="37">
        <v>0</v>
      </c>
      <c r="T605" s="37">
        <f t="shared" si="93"/>
        <v>7258.0683998670556</v>
      </c>
      <c r="U605" s="37">
        <f t="shared" si="94"/>
        <v>7258.0683998670556</v>
      </c>
      <c r="V605" s="41" t="s">
        <v>572</v>
      </c>
      <c r="W605" s="60"/>
    </row>
    <row r="606" s="60" customFormat="1" ht="42.75" customHeight="1">
      <c r="A606" s="33">
        <v>137</v>
      </c>
      <c r="B606" s="34" t="s">
        <v>270</v>
      </c>
      <c r="C606" s="33" t="s">
        <v>43</v>
      </c>
      <c r="D606" s="33">
        <v>1978</v>
      </c>
      <c r="E606" s="35" t="s">
        <v>39</v>
      </c>
      <c r="F606" s="33" t="s">
        <v>48</v>
      </c>
      <c r="G606" s="36">
        <v>5</v>
      </c>
      <c r="H606" s="36">
        <v>4</v>
      </c>
      <c r="I606" s="37">
        <v>4063.0999999999999</v>
      </c>
      <c r="J606" s="37">
        <v>3909</v>
      </c>
      <c r="K606" s="37">
        <v>3504.5</v>
      </c>
      <c r="L606" s="38">
        <v>181</v>
      </c>
      <c r="M606" s="39">
        <f t="shared" si="95"/>
        <v>6512253.1500000004</v>
      </c>
      <c r="N606" s="37">
        <v>0</v>
      </c>
      <c r="O606" s="37">
        <v>0</v>
      </c>
      <c r="P606" s="37">
        <v>0</v>
      </c>
      <c r="Q606" s="40">
        <f>'Таблица 3 '!C595</f>
        <v>6512253.1500000004</v>
      </c>
      <c r="R606" s="37">
        <f t="shared" si="96"/>
        <v>6512253.1500000004</v>
      </c>
      <c r="S606" s="37">
        <v>0</v>
      </c>
      <c r="T606" s="37">
        <f t="shared" si="93"/>
        <v>1665.9639677666923</v>
      </c>
      <c r="U606" s="37">
        <f t="shared" si="94"/>
        <v>1665.9639677666923</v>
      </c>
      <c r="V606" s="41" t="s">
        <v>572</v>
      </c>
      <c r="W606" s="60"/>
    </row>
    <row r="607" s="60" customFormat="1" ht="42.75" customHeight="1">
      <c r="A607" s="33">
        <v>138</v>
      </c>
      <c r="B607" s="34" t="s">
        <v>632</v>
      </c>
      <c r="C607" s="33" t="s">
        <v>43</v>
      </c>
      <c r="D607" s="33">
        <v>1987</v>
      </c>
      <c r="E607" s="35" t="s">
        <v>39</v>
      </c>
      <c r="F607" s="33" t="s">
        <v>48</v>
      </c>
      <c r="G607" s="36">
        <v>5</v>
      </c>
      <c r="H607" s="36">
        <v>6</v>
      </c>
      <c r="I607" s="37">
        <v>5449.1999999999998</v>
      </c>
      <c r="J607" s="37">
        <v>5449.1999999999998</v>
      </c>
      <c r="K607" s="37">
        <v>5243.8000000000002</v>
      </c>
      <c r="L607" s="38">
        <v>220</v>
      </c>
      <c r="M607" s="39">
        <f t="shared" si="95"/>
        <v>38192079.560000002</v>
      </c>
      <c r="N607" s="37">
        <v>0</v>
      </c>
      <c r="O607" s="37">
        <v>0</v>
      </c>
      <c r="P607" s="37">
        <v>0</v>
      </c>
      <c r="Q607" s="40">
        <f>'Таблица 3 '!C596</f>
        <v>38192079.560000002</v>
      </c>
      <c r="R607" s="37">
        <f t="shared" si="96"/>
        <v>38192079.560000002</v>
      </c>
      <c r="S607" s="37">
        <v>0</v>
      </c>
      <c r="T607" s="37">
        <f t="shared" si="93"/>
        <v>7008.7498274976151</v>
      </c>
      <c r="U607" s="37">
        <f t="shared" si="94"/>
        <v>7008.7498274976151</v>
      </c>
      <c r="V607" s="41" t="s">
        <v>572</v>
      </c>
      <c r="W607" s="59"/>
    </row>
    <row r="608" s="60" customFormat="1" ht="42.75" customHeight="1">
      <c r="A608" s="33">
        <v>139</v>
      </c>
      <c r="B608" s="34" t="s">
        <v>633</v>
      </c>
      <c r="C608" s="33" t="s">
        <v>43</v>
      </c>
      <c r="D608" s="33">
        <v>1987</v>
      </c>
      <c r="E608" s="35" t="s">
        <v>39</v>
      </c>
      <c r="F608" s="33" t="s">
        <v>48</v>
      </c>
      <c r="G608" s="36">
        <v>5</v>
      </c>
      <c r="H608" s="36">
        <v>6</v>
      </c>
      <c r="I608" s="37">
        <v>5449.1999999999998</v>
      </c>
      <c r="J608" s="37">
        <v>5449.1999999999998</v>
      </c>
      <c r="K608" s="37">
        <v>5243.8000000000002</v>
      </c>
      <c r="L608" s="38">
        <v>220</v>
      </c>
      <c r="M608" s="39">
        <f t="shared" si="95"/>
        <v>36611545.720000006</v>
      </c>
      <c r="N608" s="37">
        <v>0</v>
      </c>
      <c r="O608" s="37">
        <v>0</v>
      </c>
      <c r="P608" s="37">
        <v>0</v>
      </c>
      <c r="Q608" s="40">
        <f>'Таблица 3 '!C597</f>
        <v>36611545.720000006</v>
      </c>
      <c r="R608" s="37">
        <f t="shared" si="96"/>
        <v>36611545.720000006</v>
      </c>
      <c r="S608" s="37">
        <v>0</v>
      </c>
      <c r="T608" s="37">
        <f t="shared" si="93"/>
        <v>6718.7010423548427</v>
      </c>
      <c r="U608" s="37">
        <f t="shared" si="94"/>
        <v>6718.7010423548427</v>
      </c>
      <c r="V608" s="41" t="s">
        <v>572</v>
      </c>
      <c r="W608" s="59"/>
    </row>
    <row r="609" s="60" customFormat="1" ht="42.75" customHeight="1">
      <c r="A609" s="33">
        <v>140</v>
      </c>
      <c r="B609" s="34" t="s">
        <v>273</v>
      </c>
      <c r="C609" s="33" t="s">
        <v>43</v>
      </c>
      <c r="D609" s="33">
        <v>1963</v>
      </c>
      <c r="E609" s="35" t="s">
        <v>39</v>
      </c>
      <c r="F609" s="33" t="s">
        <v>44</v>
      </c>
      <c r="G609" s="36">
        <v>4</v>
      </c>
      <c r="H609" s="36">
        <v>4</v>
      </c>
      <c r="I609" s="37">
        <v>1796</v>
      </c>
      <c r="J609" s="37">
        <v>1759.5999999999999</v>
      </c>
      <c r="K609" s="37">
        <v>1729.8</v>
      </c>
      <c r="L609" s="38">
        <v>60</v>
      </c>
      <c r="M609" s="39">
        <f t="shared" si="95"/>
        <v>11028620.4</v>
      </c>
      <c r="N609" s="37">
        <v>0</v>
      </c>
      <c r="O609" s="37">
        <v>0</v>
      </c>
      <c r="P609" s="37">
        <v>0</v>
      </c>
      <c r="Q609" s="40">
        <f>'Таблица 3 '!C598</f>
        <v>11028620.4</v>
      </c>
      <c r="R609" s="37">
        <f t="shared" si="96"/>
        <v>11028620.4</v>
      </c>
      <c r="S609" s="37">
        <v>0</v>
      </c>
      <c r="T609" s="37">
        <f t="shared" si="93"/>
        <v>6267.6860650147764</v>
      </c>
      <c r="U609" s="37">
        <f t="shared" si="94"/>
        <v>6267.6860650147764</v>
      </c>
      <c r="V609" s="41" t="s">
        <v>572</v>
      </c>
      <c r="W609" s="60"/>
    </row>
    <row r="610" s="60" customFormat="1" ht="42.75" customHeight="1">
      <c r="A610" s="33">
        <v>141</v>
      </c>
      <c r="B610" s="34" t="s">
        <v>274</v>
      </c>
      <c r="C610" s="33" t="s">
        <v>43</v>
      </c>
      <c r="D610" s="33">
        <v>1957</v>
      </c>
      <c r="E610" s="35" t="s">
        <v>39</v>
      </c>
      <c r="F610" s="33" t="s">
        <v>44</v>
      </c>
      <c r="G610" s="36">
        <v>2</v>
      </c>
      <c r="H610" s="36">
        <v>2</v>
      </c>
      <c r="I610" s="37">
        <v>625.20000000000005</v>
      </c>
      <c r="J610" s="37">
        <v>581.5</v>
      </c>
      <c r="K610" s="37">
        <v>391.19999999999999</v>
      </c>
      <c r="L610" s="38">
        <v>31</v>
      </c>
      <c r="M610" s="39">
        <f t="shared" si="95"/>
        <v>5352624.2300000004</v>
      </c>
      <c r="N610" s="37">
        <v>0</v>
      </c>
      <c r="O610" s="37">
        <v>0</v>
      </c>
      <c r="P610" s="37">
        <v>0</v>
      </c>
      <c r="Q610" s="40">
        <f>'Таблица 3 '!C599</f>
        <v>5352624.2300000004</v>
      </c>
      <c r="R610" s="37">
        <f t="shared" si="96"/>
        <v>5352624.2300000004</v>
      </c>
      <c r="S610" s="37">
        <v>0</v>
      </c>
      <c r="T610" s="37">
        <f t="shared" si="93"/>
        <v>9204.856801375754</v>
      </c>
      <c r="U610" s="37">
        <f t="shared" si="94"/>
        <v>9204.856801375754</v>
      </c>
      <c r="V610" s="41" t="s">
        <v>572</v>
      </c>
      <c r="W610" s="60"/>
    </row>
    <row r="611" s="60" customFormat="1" ht="42.75" customHeight="1">
      <c r="A611" s="33">
        <v>142</v>
      </c>
      <c r="B611" s="34" t="s">
        <v>275</v>
      </c>
      <c r="C611" s="33" t="s">
        <v>43</v>
      </c>
      <c r="D611" s="33">
        <v>1960</v>
      </c>
      <c r="E611" s="35" t="s">
        <v>39</v>
      </c>
      <c r="F611" s="33" t="s">
        <v>44</v>
      </c>
      <c r="G611" s="36">
        <v>2</v>
      </c>
      <c r="H611" s="36">
        <v>1</v>
      </c>
      <c r="I611" s="37">
        <v>291.83999999999997</v>
      </c>
      <c r="J611" s="37">
        <v>268.60000000000002</v>
      </c>
      <c r="K611" s="37">
        <v>268.80000000000001</v>
      </c>
      <c r="L611" s="38">
        <v>13</v>
      </c>
      <c r="M611" s="39">
        <f t="shared" si="95"/>
        <v>1007730.5399999999</v>
      </c>
      <c r="N611" s="37">
        <v>0</v>
      </c>
      <c r="O611" s="37">
        <v>0</v>
      </c>
      <c r="P611" s="37">
        <v>0</v>
      </c>
      <c r="Q611" s="40">
        <f>'Таблица 3 '!C600</f>
        <v>1007730.5399999999</v>
      </c>
      <c r="R611" s="37">
        <f t="shared" si="96"/>
        <v>1007730.5399999999</v>
      </c>
      <c r="S611" s="37">
        <v>0</v>
      </c>
      <c r="T611" s="37">
        <f t="shared" si="93"/>
        <v>3751.7890543559188</v>
      </c>
      <c r="U611" s="37">
        <f t="shared" si="94"/>
        <v>3751.7890543559188</v>
      </c>
      <c r="V611" s="41" t="s">
        <v>572</v>
      </c>
      <c r="W611" s="60"/>
    </row>
    <row r="612" s="60" customFormat="1" ht="42.75" customHeight="1">
      <c r="A612" s="33">
        <v>143</v>
      </c>
      <c r="B612" s="34" t="s">
        <v>276</v>
      </c>
      <c r="C612" s="33" t="s">
        <v>43</v>
      </c>
      <c r="D612" s="33">
        <v>1973</v>
      </c>
      <c r="E612" s="35" t="s">
        <v>57</v>
      </c>
      <c r="F612" s="33" t="s">
        <v>48</v>
      </c>
      <c r="G612" s="36">
        <v>5</v>
      </c>
      <c r="H612" s="36">
        <v>5</v>
      </c>
      <c r="I612" s="37">
        <v>4485.3999999999996</v>
      </c>
      <c r="J612" s="37">
        <v>4448.6999999999998</v>
      </c>
      <c r="K612" s="37">
        <v>4253.6000000000004</v>
      </c>
      <c r="L612" s="38">
        <v>199</v>
      </c>
      <c r="M612" s="39">
        <f t="shared" si="95"/>
        <v>8053367.71</v>
      </c>
      <c r="N612" s="37">
        <v>0</v>
      </c>
      <c r="O612" s="37">
        <v>0</v>
      </c>
      <c r="P612" s="37">
        <v>0</v>
      </c>
      <c r="Q612" s="40">
        <f>'Таблица 3 '!C601</f>
        <v>8053367.71</v>
      </c>
      <c r="R612" s="37">
        <f t="shared" si="96"/>
        <v>8053367.71</v>
      </c>
      <c r="S612" s="37">
        <v>0</v>
      </c>
      <c r="T612" s="37">
        <f t="shared" si="93"/>
        <v>1810.2743970148583</v>
      </c>
      <c r="U612" s="37">
        <f t="shared" si="94"/>
        <v>1810.2743970148583</v>
      </c>
      <c r="V612" s="41" t="s">
        <v>572</v>
      </c>
      <c r="W612" s="60"/>
      <c r="X612" s="60"/>
    </row>
    <row r="613" s="60" customFormat="1" ht="42.75" customHeight="1">
      <c r="A613" s="33">
        <v>144</v>
      </c>
      <c r="B613" s="42" t="s">
        <v>634</v>
      </c>
      <c r="C613" s="33" t="s">
        <v>85</v>
      </c>
      <c r="D613" s="122">
        <v>1996</v>
      </c>
      <c r="E613" s="122" t="s">
        <v>39</v>
      </c>
      <c r="F613" s="122" t="s">
        <v>77</v>
      </c>
      <c r="G613" s="124">
        <v>9</v>
      </c>
      <c r="H613" s="124">
        <v>4</v>
      </c>
      <c r="I613" s="139">
        <v>10131.4</v>
      </c>
      <c r="J613" s="139">
        <v>10083.6</v>
      </c>
      <c r="K613" s="139">
        <v>10083.6</v>
      </c>
      <c r="L613" s="140">
        <v>225</v>
      </c>
      <c r="M613" s="139">
        <f t="shared" si="95"/>
        <v>16715728.210000001</v>
      </c>
      <c r="N613" s="139">
        <v>0</v>
      </c>
      <c r="O613" s="139">
        <v>0</v>
      </c>
      <c r="P613" s="139">
        <v>0</v>
      </c>
      <c r="Q613" s="40">
        <f>'Таблица 3 '!C602</f>
        <v>16715728.210000001</v>
      </c>
      <c r="R613" s="139">
        <f t="shared" si="96"/>
        <v>16715728.210000001</v>
      </c>
      <c r="S613" s="139">
        <v>0</v>
      </c>
      <c r="T613" s="37">
        <f t="shared" si="93"/>
        <v>1657.7143292078226</v>
      </c>
      <c r="U613" s="37">
        <f t="shared" si="94"/>
        <v>1657.7143292078226</v>
      </c>
      <c r="V613" s="141" t="s">
        <v>572</v>
      </c>
      <c r="W613" s="142"/>
      <c r="X613" s="60"/>
    </row>
    <row r="614" s="60" customFormat="1" ht="42.75" customHeight="1">
      <c r="A614" s="33">
        <v>145</v>
      </c>
      <c r="B614" s="42" t="s">
        <v>635</v>
      </c>
      <c r="C614" s="33" t="s">
        <v>85</v>
      </c>
      <c r="D614" s="122">
        <v>1998</v>
      </c>
      <c r="E614" s="122" t="s">
        <v>39</v>
      </c>
      <c r="F614" s="122" t="s">
        <v>77</v>
      </c>
      <c r="G614" s="124">
        <v>9</v>
      </c>
      <c r="H614" s="124">
        <v>1</v>
      </c>
      <c r="I614" s="139">
        <v>4862.5600000000004</v>
      </c>
      <c r="J614" s="139">
        <v>4376.3000000000002</v>
      </c>
      <c r="K614" s="139">
        <v>4376.3000000000002</v>
      </c>
      <c r="L614" s="140">
        <v>135</v>
      </c>
      <c r="M614" s="139">
        <f t="shared" si="95"/>
        <v>5964866.0700000003</v>
      </c>
      <c r="N614" s="139">
        <v>0</v>
      </c>
      <c r="O614" s="139">
        <v>0</v>
      </c>
      <c r="P614" s="139">
        <v>0</v>
      </c>
      <c r="Q614" s="40">
        <f>'Таблица 3 '!C603</f>
        <v>5964866.0700000003</v>
      </c>
      <c r="R614" s="139">
        <f t="shared" si="96"/>
        <v>5964866.0700000003</v>
      </c>
      <c r="S614" s="139">
        <v>0</v>
      </c>
      <c r="T614" s="37">
        <f t="shared" si="93"/>
        <v>1362.9929552361584</v>
      </c>
      <c r="U614" s="37">
        <f t="shared" si="94"/>
        <v>1362.9929552361584</v>
      </c>
      <c r="V614" s="141" t="s">
        <v>572</v>
      </c>
      <c r="W614" s="142"/>
      <c r="X614" s="60"/>
    </row>
    <row r="615" s="60" customFormat="1" ht="42.75" customHeight="1">
      <c r="A615" s="33">
        <v>146</v>
      </c>
      <c r="B615" s="34" t="s">
        <v>278</v>
      </c>
      <c r="C615" s="33" t="s">
        <v>43</v>
      </c>
      <c r="D615" s="33">
        <v>1999</v>
      </c>
      <c r="E615" s="35" t="s">
        <v>39</v>
      </c>
      <c r="F615" s="33" t="s">
        <v>44</v>
      </c>
      <c r="G615" s="36">
        <v>10</v>
      </c>
      <c r="H615" s="36">
        <v>10</v>
      </c>
      <c r="I615" s="37">
        <v>24768.5</v>
      </c>
      <c r="J615" s="37">
        <v>24763.099999999999</v>
      </c>
      <c r="K615" s="37">
        <v>23772.200000000001</v>
      </c>
      <c r="L615" s="38">
        <v>346</v>
      </c>
      <c r="M615" s="39">
        <f t="shared" si="95"/>
        <v>142389394.52000001</v>
      </c>
      <c r="N615" s="37">
        <v>0</v>
      </c>
      <c r="O615" s="37">
        <v>0</v>
      </c>
      <c r="P615" s="37">
        <v>0</v>
      </c>
      <c r="Q615" s="40">
        <f>'Таблица 3 '!C604</f>
        <v>142389394.52000001</v>
      </c>
      <c r="R615" s="37">
        <f t="shared" si="96"/>
        <v>142389394.52000001</v>
      </c>
      <c r="S615" s="37">
        <v>0</v>
      </c>
      <c r="T615" s="37">
        <f t="shared" si="93"/>
        <v>5750.0633814021676</v>
      </c>
      <c r="U615" s="37">
        <f t="shared" si="94"/>
        <v>5750.0633814021676</v>
      </c>
      <c r="V615" s="41" t="s">
        <v>572</v>
      </c>
      <c r="W615" s="60"/>
    </row>
    <row r="616" s="60" customFormat="1" ht="42.75" customHeight="1">
      <c r="A616" s="33">
        <v>147</v>
      </c>
      <c r="B616" s="34" t="s">
        <v>279</v>
      </c>
      <c r="C616" s="33" t="s">
        <v>43</v>
      </c>
      <c r="D616" s="33">
        <v>1988</v>
      </c>
      <c r="E616" s="35" t="s">
        <v>60</v>
      </c>
      <c r="F616" s="33" t="s">
        <v>44</v>
      </c>
      <c r="G616" s="36">
        <v>5</v>
      </c>
      <c r="H616" s="36">
        <v>1</v>
      </c>
      <c r="I616" s="37">
        <v>3584.8000000000002</v>
      </c>
      <c r="J616" s="37">
        <v>2034.8</v>
      </c>
      <c r="K616" s="37">
        <v>2065.0999999999999</v>
      </c>
      <c r="L616" s="38">
        <v>72</v>
      </c>
      <c r="M616" s="39">
        <f t="shared" si="95"/>
        <v>3649798.7000000002</v>
      </c>
      <c r="N616" s="37">
        <v>0</v>
      </c>
      <c r="O616" s="37">
        <v>0</v>
      </c>
      <c r="P616" s="37">
        <v>0</v>
      </c>
      <c r="Q616" s="40">
        <f>'Таблица 3 '!C605</f>
        <v>3649798.7000000002</v>
      </c>
      <c r="R616" s="37">
        <f t="shared" si="96"/>
        <v>3649798.7000000002</v>
      </c>
      <c r="S616" s="37">
        <v>0</v>
      </c>
      <c r="T616" s="37">
        <f t="shared" si="93"/>
        <v>1793.6891586396698</v>
      </c>
      <c r="U616" s="37">
        <f t="shared" si="94"/>
        <v>1793.6891586396698</v>
      </c>
      <c r="V616" s="41" t="s">
        <v>572</v>
      </c>
      <c r="W616" s="60"/>
    </row>
    <row r="617" s="60" customFormat="1" ht="42.75" customHeight="1">
      <c r="A617" s="33">
        <v>148</v>
      </c>
      <c r="B617" s="34" t="s">
        <v>636</v>
      </c>
      <c r="C617" s="43" t="s">
        <v>43</v>
      </c>
      <c r="D617" s="33">
        <v>1988</v>
      </c>
      <c r="E617" s="44" t="s">
        <v>39</v>
      </c>
      <c r="F617" s="33" t="s">
        <v>44</v>
      </c>
      <c r="G617" s="45">
        <v>5</v>
      </c>
      <c r="H617" s="36">
        <v>4</v>
      </c>
      <c r="I617" s="46">
        <v>2950.8000000000002</v>
      </c>
      <c r="J617" s="37">
        <v>2950.8000000000002</v>
      </c>
      <c r="K617" s="46">
        <v>2864.5999999999999</v>
      </c>
      <c r="L617" s="38">
        <v>94</v>
      </c>
      <c r="M617" s="39">
        <f t="shared" si="95"/>
        <v>16382330.870000001</v>
      </c>
      <c r="N617" s="46">
        <v>0</v>
      </c>
      <c r="O617" s="37">
        <v>0</v>
      </c>
      <c r="P617" s="46">
        <v>0</v>
      </c>
      <c r="Q617" s="40">
        <f>'Таблица 3 '!C606</f>
        <v>16382330.870000001</v>
      </c>
      <c r="R617" s="46">
        <f t="shared" si="96"/>
        <v>16382330.870000001</v>
      </c>
      <c r="S617" s="37">
        <v>0</v>
      </c>
      <c r="T617" s="46">
        <f t="shared" si="93"/>
        <v>5551.8269181238984</v>
      </c>
      <c r="U617" s="37">
        <f t="shared" si="94"/>
        <v>5551.8269181238984</v>
      </c>
      <c r="V617" s="41" t="s">
        <v>572</v>
      </c>
      <c r="W617" s="59"/>
    </row>
    <row r="618" s="60" customFormat="1" ht="42.75" customHeight="1">
      <c r="A618" s="33">
        <v>149</v>
      </c>
      <c r="B618" s="34" t="s">
        <v>280</v>
      </c>
      <c r="C618" s="33" t="s">
        <v>43</v>
      </c>
      <c r="D618" s="33">
        <v>1973</v>
      </c>
      <c r="E618" s="35" t="s">
        <v>39</v>
      </c>
      <c r="F618" s="33" t="s">
        <v>48</v>
      </c>
      <c r="G618" s="36">
        <v>5</v>
      </c>
      <c r="H618" s="36">
        <v>5</v>
      </c>
      <c r="I618" s="37">
        <v>6004.6999999999998</v>
      </c>
      <c r="J618" s="37">
        <v>5100.7600000000002</v>
      </c>
      <c r="K618" s="37">
        <v>4498</v>
      </c>
      <c r="L618" s="38">
        <v>181</v>
      </c>
      <c r="M618" s="39">
        <f t="shared" si="95"/>
        <v>8911648.7200000007</v>
      </c>
      <c r="N618" s="37">
        <v>0</v>
      </c>
      <c r="O618" s="37">
        <v>0</v>
      </c>
      <c r="P618" s="37">
        <v>0</v>
      </c>
      <c r="Q618" s="40">
        <f>'Таблица 3 '!C607</f>
        <v>8911648.7200000007</v>
      </c>
      <c r="R618" s="37">
        <f t="shared" si="96"/>
        <v>8911648.7200000007</v>
      </c>
      <c r="S618" s="37">
        <v>0</v>
      </c>
      <c r="T618" s="37">
        <f t="shared" si="93"/>
        <v>1747.1217465632574</v>
      </c>
      <c r="U618" s="37">
        <f t="shared" si="94"/>
        <v>1747.1217465632574</v>
      </c>
      <c r="V618" s="41" t="s">
        <v>572</v>
      </c>
      <c r="W618" s="60"/>
    </row>
    <row r="619" s="60" customFormat="1" ht="42.75" customHeight="1">
      <c r="A619" s="33">
        <v>150</v>
      </c>
      <c r="B619" s="34" t="s">
        <v>637</v>
      </c>
      <c r="C619" s="33" t="s">
        <v>43</v>
      </c>
      <c r="D619" s="33">
        <v>1987</v>
      </c>
      <c r="E619" s="35" t="s">
        <v>39</v>
      </c>
      <c r="F619" s="33" t="s">
        <v>44</v>
      </c>
      <c r="G619" s="36">
        <v>5</v>
      </c>
      <c r="H619" s="36">
        <v>6</v>
      </c>
      <c r="I619" s="37">
        <v>4113.3000000000002</v>
      </c>
      <c r="J619" s="37">
        <v>4113.3000000000002</v>
      </c>
      <c r="K619" s="37">
        <v>3757.5</v>
      </c>
      <c r="L619" s="38">
        <v>138</v>
      </c>
      <c r="M619" s="39">
        <f t="shared" si="95"/>
        <v>6284318.4000000004</v>
      </c>
      <c r="N619" s="37">
        <v>0</v>
      </c>
      <c r="O619" s="37">
        <v>0</v>
      </c>
      <c r="P619" s="37">
        <v>0</v>
      </c>
      <c r="Q619" s="40">
        <f>'Таблица 3 '!C608</f>
        <v>6284318.4000000004</v>
      </c>
      <c r="R619" s="37">
        <f t="shared" si="96"/>
        <v>6284318.4000000004</v>
      </c>
      <c r="S619" s="37">
        <v>0</v>
      </c>
      <c r="T619" s="37">
        <f t="shared" si="93"/>
        <v>1527.8045365035373</v>
      </c>
      <c r="U619" s="37">
        <f t="shared" si="94"/>
        <v>1527.8045365035373</v>
      </c>
      <c r="V619" s="41" t="s">
        <v>572</v>
      </c>
      <c r="W619" s="59"/>
    </row>
    <row r="620" s="60" customFormat="1" ht="42.75" customHeight="1">
      <c r="A620" s="33">
        <v>151</v>
      </c>
      <c r="B620" s="34" t="s">
        <v>281</v>
      </c>
      <c r="C620" s="33" t="s">
        <v>43</v>
      </c>
      <c r="D620" s="33">
        <v>1965</v>
      </c>
      <c r="E620" s="35" t="s">
        <v>39</v>
      </c>
      <c r="F620" s="33" t="s">
        <v>44</v>
      </c>
      <c r="G620" s="36">
        <v>5</v>
      </c>
      <c r="H620" s="36">
        <v>3</v>
      </c>
      <c r="I620" s="37">
        <v>2515.1999999999998</v>
      </c>
      <c r="J620" s="37">
        <v>2498.0999999999999</v>
      </c>
      <c r="K620" s="37">
        <v>2269.0999999999999</v>
      </c>
      <c r="L620" s="38">
        <v>95</v>
      </c>
      <c r="M620" s="39">
        <f t="shared" si="95"/>
        <v>350382</v>
      </c>
      <c r="N620" s="37">
        <v>0</v>
      </c>
      <c r="O620" s="37">
        <v>0</v>
      </c>
      <c r="P620" s="37">
        <v>0</v>
      </c>
      <c r="Q620" s="40">
        <f>'Таблица 3 '!C609</f>
        <v>350382</v>
      </c>
      <c r="R620" s="37">
        <f t="shared" si="96"/>
        <v>350382</v>
      </c>
      <c r="S620" s="37">
        <v>0</v>
      </c>
      <c r="T620" s="37">
        <f t="shared" si="93"/>
        <v>140.2593971418278</v>
      </c>
      <c r="U620" s="37">
        <f t="shared" si="94"/>
        <v>140.2593971418278</v>
      </c>
      <c r="V620" s="41" t="s">
        <v>572</v>
      </c>
      <c r="W620" s="59"/>
    </row>
    <row r="621" s="60" customFormat="1" ht="42.75" customHeight="1">
      <c r="A621" s="33">
        <v>152</v>
      </c>
      <c r="B621" s="34" t="s">
        <v>283</v>
      </c>
      <c r="C621" s="33" t="s">
        <v>43</v>
      </c>
      <c r="D621" s="33">
        <v>1990</v>
      </c>
      <c r="E621" s="35" t="s">
        <v>39</v>
      </c>
      <c r="F621" s="33" t="s">
        <v>44</v>
      </c>
      <c r="G621" s="36">
        <v>5</v>
      </c>
      <c r="H621" s="36">
        <v>1</v>
      </c>
      <c r="I621" s="37">
        <v>5603.3999999999996</v>
      </c>
      <c r="J621" s="37">
        <v>3662.6999999999998</v>
      </c>
      <c r="K621" s="37">
        <v>2385.6999999999998</v>
      </c>
      <c r="L621" s="38">
        <v>240</v>
      </c>
      <c r="M621" s="39">
        <f t="shared" si="95"/>
        <v>19470694.279999997</v>
      </c>
      <c r="N621" s="37">
        <v>0</v>
      </c>
      <c r="O621" s="37">
        <v>0</v>
      </c>
      <c r="P621" s="37">
        <v>0</v>
      </c>
      <c r="Q621" s="40">
        <f>'Таблица 3 '!C610</f>
        <v>19470694.279999997</v>
      </c>
      <c r="R621" s="37">
        <f t="shared" si="96"/>
        <v>19470694.279999997</v>
      </c>
      <c r="S621" s="37">
        <v>0</v>
      </c>
      <c r="T621" s="37">
        <f t="shared" si="93"/>
        <v>5315.9402298850573</v>
      </c>
      <c r="U621" s="37">
        <f t="shared" si="94"/>
        <v>5315.9402298850573</v>
      </c>
      <c r="V621" s="41" t="s">
        <v>572</v>
      </c>
      <c r="W621" s="60"/>
    </row>
    <row r="622" s="60" customFormat="1" ht="42.75" customHeight="1">
      <c r="A622" s="33">
        <v>153</v>
      </c>
      <c r="B622" s="34" t="s">
        <v>284</v>
      </c>
      <c r="C622" s="33" t="s">
        <v>43</v>
      </c>
      <c r="D622" s="33">
        <v>1993</v>
      </c>
      <c r="E622" s="35" t="s">
        <v>50</v>
      </c>
      <c r="F622" s="33" t="s">
        <v>48</v>
      </c>
      <c r="G622" s="36">
        <v>9</v>
      </c>
      <c r="H622" s="36">
        <v>1</v>
      </c>
      <c r="I622" s="37">
        <v>3810.71</v>
      </c>
      <c r="J622" s="37">
        <v>3608.9000000000001</v>
      </c>
      <c r="K622" s="37">
        <v>3441.5999999999999</v>
      </c>
      <c r="L622" s="38">
        <v>165</v>
      </c>
      <c r="M622" s="39">
        <f t="shared" si="95"/>
        <v>23984959.150000002</v>
      </c>
      <c r="N622" s="37">
        <v>0</v>
      </c>
      <c r="O622" s="37">
        <v>0</v>
      </c>
      <c r="P622" s="37">
        <v>0</v>
      </c>
      <c r="Q622" s="40">
        <f>'Таблица 3 '!C611</f>
        <v>23984959.150000002</v>
      </c>
      <c r="R622" s="37">
        <f t="shared" si="96"/>
        <v>23984959.150000002</v>
      </c>
      <c r="S622" s="37">
        <v>0</v>
      </c>
      <c r="T622" s="37">
        <f t="shared" si="93"/>
        <v>6646.0581202028325</v>
      </c>
      <c r="U622" s="37">
        <f t="shared" si="94"/>
        <v>6646.0581202028325</v>
      </c>
      <c r="V622" s="41" t="s">
        <v>572</v>
      </c>
      <c r="W622" s="51"/>
    </row>
    <row r="623" s="60" customFormat="1" ht="42.75" customHeight="1">
      <c r="A623" s="33">
        <v>154</v>
      </c>
      <c r="B623" s="34" t="s">
        <v>285</v>
      </c>
      <c r="C623" s="33" t="s">
        <v>43</v>
      </c>
      <c r="D623" s="33">
        <v>1993</v>
      </c>
      <c r="E623" s="35" t="s">
        <v>39</v>
      </c>
      <c r="F623" s="33" t="s">
        <v>48</v>
      </c>
      <c r="G623" s="36">
        <v>9</v>
      </c>
      <c r="H623" s="36">
        <v>1</v>
      </c>
      <c r="I623" s="37">
        <v>2551.0999999999999</v>
      </c>
      <c r="J623" s="37">
        <v>2551.0999999999999</v>
      </c>
      <c r="K623" s="37">
        <v>2381.5</v>
      </c>
      <c r="L623" s="38">
        <v>111</v>
      </c>
      <c r="M623" s="39">
        <f t="shared" si="95"/>
        <v>19347777.290000003</v>
      </c>
      <c r="N623" s="37">
        <v>0</v>
      </c>
      <c r="O623" s="37">
        <v>0</v>
      </c>
      <c r="P623" s="37">
        <v>0</v>
      </c>
      <c r="Q623" s="40">
        <f>'Таблица 3 '!C612</f>
        <v>19347777.290000003</v>
      </c>
      <c r="R623" s="37">
        <f t="shared" si="96"/>
        <v>19347777.290000003</v>
      </c>
      <c r="S623" s="37">
        <v>0</v>
      </c>
      <c r="T623" s="37">
        <f t="shared" si="93"/>
        <v>7584.0920740072925</v>
      </c>
      <c r="U623" s="37">
        <f t="shared" si="94"/>
        <v>7584.0920740072925</v>
      </c>
      <c r="V623" s="41" t="s">
        <v>572</v>
      </c>
      <c r="W623" s="143"/>
    </row>
    <row r="624" s="60" customFormat="1" ht="42.75" customHeight="1">
      <c r="A624" s="33">
        <v>155</v>
      </c>
      <c r="B624" s="34" t="s">
        <v>638</v>
      </c>
      <c r="C624" s="43" t="s">
        <v>43</v>
      </c>
      <c r="D624" s="33">
        <v>1968</v>
      </c>
      <c r="E624" s="44" t="s">
        <v>39</v>
      </c>
      <c r="F624" s="33" t="s">
        <v>44</v>
      </c>
      <c r="G624" s="45">
        <v>2</v>
      </c>
      <c r="H624" s="36">
        <v>2</v>
      </c>
      <c r="I624" s="46">
        <v>391</v>
      </c>
      <c r="J624" s="37">
        <v>347.39999999999998</v>
      </c>
      <c r="K624" s="46">
        <v>0</v>
      </c>
      <c r="L624" s="38">
        <v>8</v>
      </c>
      <c r="M624" s="39">
        <f t="shared" si="95"/>
        <v>4739524.4699999988</v>
      </c>
      <c r="N624" s="46">
        <v>0</v>
      </c>
      <c r="O624" s="37">
        <v>0</v>
      </c>
      <c r="P624" s="46">
        <v>0</v>
      </c>
      <c r="Q624" s="40">
        <f>'Таблица 3 '!C613</f>
        <v>4739524.4699999988</v>
      </c>
      <c r="R624" s="46">
        <f t="shared" si="96"/>
        <v>4739524.4699999988</v>
      </c>
      <c r="S624" s="37">
        <v>0</v>
      </c>
      <c r="T624" s="46">
        <f t="shared" si="93"/>
        <v>13642.845336787563</v>
      </c>
      <c r="U624" s="37">
        <f t="shared" si="94"/>
        <v>13642.845336787563</v>
      </c>
      <c r="V624" s="41" t="s">
        <v>572</v>
      </c>
      <c r="W624" s="143"/>
    </row>
    <row r="625" s="60" customFormat="1" ht="42.75" customHeight="1">
      <c r="A625" s="33">
        <v>156</v>
      </c>
      <c r="B625" s="34" t="s">
        <v>639</v>
      </c>
      <c r="C625" s="33" t="s">
        <v>43</v>
      </c>
      <c r="D625" s="33">
        <v>1985</v>
      </c>
      <c r="E625" s="35" t="s">
        <v>39</v>
      </c>
      <c r="F625" s="33" t="s">
        <v>44</v>
      </c>
      <c r="G625" s="36">
        <v>2</v>
      </c>
      <c r="H625" s="36">
        <v>3</v>
      </c>
      <c r="I625" s="37">
        <v>1126.3</v>
      </c>
      <c r="J625" s="37">
        <v>1072.8</v>
      </c>
      <c r="K625" s="37">
        <v>0</v>
      </c>
      <c r="L625" s="38">
        <v>13</v>
      </c>
      <c r="M625" s="39">
        <f t="shared" si="95"/>
        <v>10661627.030000001</v>
      </c>
      <c r="N625" s="37">
        <v>0</v>
      </c>
      <c r="O625" s="37">
        <v>0</v>
      </c>
      <c r="P625" s="37">
        <v>0</v>
      </c>
      <c r="Q625" s="40">
        <f>'Таблица 3 '!C614</f>
        <v>10661627.030000001</v>
      </c>
      <c r="R625" s="37">
        <f t="shared" si="96"/>
        <v>10661627.030000001</v>
      </c>
      <c r="S625" s="37">
        <v>0</v>
      </c>
      <c r="T625" s="37">
        <f t="shared" si="93"/>
        <v>9938.1310868754681</v>
      </c>
      <c r="U625" s="37">
        <f t="shared" si="94"/>
        <v>9938.1310868754681</v>
      </c>
      <c r="V625" s="41" t="s">
        <v>572</v>
      </c>
      <c r="W625" s="143"/>
    </row>
    <row r="626" s="60" customFormat="1" ht="42.75" customHeight="1">
      <c r="A626" s="33">
        <v>157</v>
      </c>
      <c r="B626" s="34" t="s">
        <v>287</v>
      </c>
      <c r="C626" s="33" t="s">
        <v>43</v>
      </c>
      <c r="D626" s="33">
        <v>1976</v>
      </c>
      <c r="E626" s="35" t="s">
        <v>39</v>
      </c>
      <c r="F626" s="33" t="s">
        <v>44</v>
      </c>
      <c r="G626" s="36">
        <v>5</v>
      </c>
      <c r="H626" s="36">
        <v>4</v>
      </c>
      <c r="I626" s="37">
        <v>4484</v>
      </c>
      <c r="J626" s="37">
        <v>4401.8999999999996</v>
      </c>
      <c r="K626" s="37">
        <v>3843.8000000000002</v>
      </c>
      <c r="L626" s="38">
        <v>166</v>
      </c>
      <c r="M626" s="39">
        <f t="shared" si="95"/>
        <v>7619386.1600000001</v>
      </c>
      <c r="N626" s="37">
        <v>0</v>
      </c>
      <c r="O626" s="37">
        <v>0</v>
      </c>
      <c r="P626" s="37">
        <v>0</v>
      </c>
      <c r="Q626" s="40">
        <f>'Таблица 3 '!C615</f>
        <v>7619386.1600000001</v>
      </c>
      <c r="R626" s="37">
        <f t="shared" si="96"/>
        <v>7619386.1600000001</v>
      </c>
      <c r="S626" s="37">
        <v>0</v>
      </c>
      <c r="T626" s="37">
        <f t="shared" si="93"/>
        <v>1730.9312251527751</v>
      </c>
      <c r="U626" s="37">
        <f t="shared" si="94"/>
        <v>1730.9312251527751</v>
      </c>
      <c r="V626" s="41" t="s">
        <v>572</v>
      </c>
      <c r="W626" s="60"/>
    </row>
    <row r="627" s="60" customFormat="1" ht="42.75" customHeight="1">
      <c r="A627" s="33">
        <v>158</v>
      </c>
      <c r="B627" s="49" t="s">
        <v>640</v>
      </c>
      <c r="C627" s="43" t="s">
        <v>43</v>
      </c>
      <c r="D627" s="33">
        <v>1960</v>
      </c>
      <c r="E627" s="44" t="s">
        <v>39</v>
      </c>
      <c r="F627" s="33" t="s">
        <v>44</v>
      </c>
      <c r="G627" s="45">
        <v>3</v>
      </c>
      <c r="H627" s="36">
        <v>2</v>
      </c>
      <c r="I627" s="46">
        <v>1774.2</v>
      </c>
      <c r="J627" s="37">
        <v>915.20000000000005</v>
      </c>
      <c r="K627" s="46">
        <v>821.10000000000002</v>
      </c>
      <c r="L627" s="38">
        <v>41</v>
      </c>
      <c r="M627" s="39">
        <f t="shared" si="95"/>
        <v>8689878.9399999995</v>
      </c>
      <c r="N627" s="46">
        <v>0</v>
      </c>
      <c r="O627" s="37">
        <v>0</v>
      </c>
      <c r="P627" s="46">
        <v>0</v>
      </c>
      <c r="Q627" s="40">
        <f>'Таблица 3 '!C616</f>
        <v>8689878.9399999995</v>
      </c>
      <c r="R627" s="46">
        <f t="shared" si="96"/>
        <v>8689878.9399999995</v>
      </c>
      <c r="S627" s="37">
        <v>0</v>
      </c>
      <c r="T627" s="46">
        <f t="shared" si="93"/>
        <v>9495.0600305944045</v>
      </c>
      <c r="U627" s="37">
        <f t="shared" si="94"/>
        <v>9495.0600305944045</v>
      </c>
      <c r="V627" s="41" t="s">
        <v>572</v>
      </c>
      <c r="W627" s="59"/>
    </row>
    <row r="628" s="60" customFormat="1" ht="42.75" customHeight="1">
      <c r="A628" s="33">
        <v>159</v>
      </c>
      <c r="B628" s="49" t="s">
        <v>289</v>
      </c>
      <c r="C628" s="33" t="s">
        <v>43</v>
      </c>
      <c r="D628" s="33">
        <v>1960</v>
      </c>
      <c r="E628" s="35" t="s">
        <v>39</v>
      </c>
      <c r="F628" s="33" t="s">
        <v>44</v>
      </c>
      <c r="G628" s="36">
        <v>2</v>
      </c>
      <c r="H628" s="36">
        <v>2</v>
      </c>
      <c r="I628" s="37">
        <v>511</v>
      </c>
      <c r="J628" s="37">
        <v>264.64999999999998</v>
      </c>
      <c r="K628" s="37">
        <v>281.69999999999999</v>
      </c>
      <c r="L628" s="38">
        <v>12</v>
      </c>
      <c r="M628" s="39">
        <f t="shared" si="95"/>
        <v>1000722.5700000001</v>
      </c>
      <c r="N628" s="37">
        <v>0</v>
      </c>
      <c r="O628" s="37">
        <v>0</v>
      </c>
      <c r="P628" s="37">
        <v>0</v>
      </c>
      <c r="Q628" s="40">
        <f>'Таблица 3 '!C617</f>
        <v>1000722.5700000001</v>
      </c>
      <c r="R628" s="37">
        <f t="shared" si="96"/>
        <v>1000722.5700000001</v>
      </c>
      <c r="S628" s="37">
        <v>0</v>
      </c>
      <c r="T628" s="37">
        <f t="shared" si="93"/>
        <v>3781.3057623276031</v>
      </c>
      <c r="U628" s="37">
        <f t="shared" si="94"/>
        <v>3781.3057623276031</v>
      </c>
      <c r="V628" s="41" t="s">
        <v>572</v>
      </c>
      <c r="W628" s="60"/>
    </row>
    <row r="629" s="59" customFormat="1" ht="42.75" customHeight="1">
      <c r="A629" s="33">
        <v>160</v>
      </c>
      <c r="B629" s="34" t="s">
        <v>290</v>
      </c>
      <c r="C629" s="43" t="s">
        <v>43</v>
      </c>
      <c r="D629" s="33">
        <v>1958</v>
      </c>
      <c r="E629" s="44" t="s">
        <v>39</v>
      </c>
      <c r="F629" s="33" t="s">
        <v>77</v>
      </c>
      <c r="G629" s="45">
        <v>2</v>
      </c>
      <c r="H629" s="36">
        <v>1</v>
      </c>
      <c r="I629" s="51">
        <v>508</v>
      </c>
      <c r="J629" s="40">
        <v>283.69999999999999</v>
      </c>
      <c r="K629" s="51">
        <v>283.69999999999999</v>
      </c>
      <c r="L629" s="48">
        <v>8</v>
      </c>
      <c r="M629" s="51">
        <f t="shared" si="95"/>
        <v>1876305.8199999998</v>
      </c>
      <c r="N629" s="40">
        <v>0</v>
      </c>
      <c r="O629" s="51">
        <v>0</v>
      </c>
      <c r="P629" s="40">
        <v>0</v>
      </c>
      <c r="Q629" s="40">
        <f>'Таблица 3 '!C618</f>
        <v>1876305.8199999998</v>
      </c>
      <c r="R629" s="40">
        <f t="shared" si="96"/>
        <v>1876305.8199999998</v>
      </c>
      <c r="S629" s="51">
        <v>0</v>
      </c>
      <c r="T629" s="37">
        <f t="shared" si="93"/>
        <v>6613.6969333803308</v>
      </c>
      <c r="U629" s="46">
        <f t="shared" si="94"/>
        <v>6613.6969333803308</v>
      </c>
      <c r="V629" s="41" t="s">
        <v>572</v>
      </c>
      <c r="W629" s="47"/>
    </row>
    <row r="630" s="60" customFormat="1" ht="42.75" customHeight="1">
      <c r="A630" s="33">
        <v>161</v>
      </c>
      <c r="B630" s="34" t="s">
        <v>291</v>
      </c>
      <c r="C630" s="33" t="s">
        <v>43</v>
      </c>
      <c r="D630" s="33">
        <v>1959</v>
      </c>
      <c r="E630" s="35" t="s">
        <v>39</v>
      </c>
      <c r="F630" s="33" t="s">
        <v>44</v>
      </c>
      <c r="G630" s="36">
        <v>3</v>
      </c>
      <c r="H630" s="36">
        <v>2</v>
      </c>
      <c r="I630" s="37">
        <v>1419.2</v>
      </c>
      <c r="J630" s="37">
        <v>849</v>
      </c>
      <c r="K630" s="37">
        <v>848.10000000000002</v>
      </c>
      <c r="L630" s="38">
        <v>24</v>
      </c>
      <c r="M630" s="39">
        <f t="shared" si="95"/>
        <v>7814923.4199999999</v>
      </c>
      <c r="N630" s="37">
        <v>0</v>
      </c>
      <c r="O630" s="37">
        <v>0</v>
      </c>
      <c r="P630" s="37">
        <v>0</v>
      </c>
      <c r="Q630" s="40">
        <f>'Таблица 3 '!C619</f>
        <v>7814923.4199999999</v>
      </c>
      <c r="R630" s="37">
        <f t="shared" si="96"/>
        <v>7814923.4199999999</v>
      </c>
      <c r="S630" s="37">
        <v>0</v>
      </c>
      <c r="T630" s="37">
        <f t="shared" si="93"/>
        <v>9204.8567962308589</v>
      </c>
      <c r="U630" s="37">
        <f t="shared" si="94"/>
        <v>9204.8567962308589</v>
      </c>
      <c r="V630" s="41" t="s">
        <v>572</v>
      </c>
      <c r="W630" s="60"/>
    </row>
    <row r="631" s="60" customFormat="1" ht="42.75" customHeight="1">
      <c r="A631" s="33">
        <v>162</v>
      </c>
      <c r="B631" s="50" t="s">
        <v>641</v>
      </c>
      <c r="C631" s="33" t="s">
        <v>43</v>
      </c>
      <c r="D631" s="35" t="s">
        <v>203</v>
      </c>
      <c r="E631" s="35" t="s">
        <v>39</v>
      </c>
      <c r="F631" s="33" t="s">
        <v>48</v>
      </c>
      <c r="G631" s="36">
        <v>9</v>
      </c>
      <c r="H631" s="36">
        <v>5</v>
      </c>
      <c r="I631" s="37">
        <v>9817.3299999999999</v>
      </c>
      <c r="J631" s="37">
        <v>8837.3299999999999</v>
      </c>
      <c r="K631" s="37">
        <v>8515.8999999999996</v>
      </c>
      <c r="L631" s="38">
        <v>261</v>
      </c>
      <c r="M631" s="39">
        <f t="shared" si="95"/>
        <v>21741159.280000001</v>
      </c>
      <c r="N631" s="37">
        <v>0</v>
      </c>
      <c r="O631" s="37">
        <v>0</v>
      </c>
      <c r="P631" s="37">
        <v>0</v>
      </c>
      <c r="Q631" s="40">
        <f>'Таблица 3 '!C620</f>
        <v>21741159.280000001</v>
      </c>
      <c r="R631" s="37">
        <f t="shared" si="96"/>
        <v>21741159.280000001</v>
      </c>
      <c r="S631" s="37">
        <v>0</v>
      </c>
      <c r="T631" s="37">
        <f t="shared" si="93"/>
        <v>2460.1502127905151</v>
      </c>
      <c r="U631" s="37">
        <f t="shared" si="94"/>
        <v>2460.1502127905151</v>
      </c>
      <c r="V631" s="41" t="s">
        <v>572</v>
      </c>
      <c r="W631" s="60"/>
    </row>
    <row r="632" s="60" customFormat="1" ht="42.75" customHeight="1">
      <c r="A632" s="33">
        <v>163</v>
      </c>
      <c r="B632" s="52" t="s">
        <v>642</v>
      </c>
      <c r="C632" s="43" t="s">
        <v>85</v>
      </c>
      <c r="D632" s="33">
        <v>2003</v>
      </c>
      <c r="E632" s="44" t="s">
        <v>39</v>
      </c>
      <c r="F632" s="33" t="s">
        <v>44</v>
      </c>
      <c r="G632" s="45">
        <v>9</v>
      </c>
      <c r="H632" s="36">
        <v>2</v>
      </c>
      <c r="I632" s="51">
        <v>5906</v>
      </c>
      <c r="J632" s="40">
        <v>3576.8000000000002</v>
      </c>
      <c r="K632" s="51">
        <v>3576.8000000000002</v>
      </c>
      <c r="L632" s="48">
        <v>96</v>
      </c>
      <c r="M632" s="39">
        <f t="shared" si="95"/>
        <v>589435</v>
      </c>
      <c r="N632" s="46">
        <v>0</v>
      </c>
      <c r="O632" s="37">
        <v>0</v>
      </c>
      <c r="P632" s="46">
        <v>0</v>
      </c>
      <c r="Q632" s="40">
        <f>'Таблица 3 '!C621</f>
        <v>589435</v>
      </c>
      <c r="R632" s="46">
        <f t="shared" si="96"/>
        <v>589435</v>
      </c>
      <c r="S632" s="37">
        <v>0</v>
      </c>
      <c r="T632" s="46">
        <f t="shared" si="93"/>
        <v>164.79394989935136</v>
      </c>
      <c r="U632" s="37">
        <f t="shared" si="94"/>
        <v>164.79394989935136</v>
      </c>
      <c r="V632" s="41" t="s">
        <v>572</v>
      </c>
      <c r="W632" s="59"/>
    </row>
    <row r="633" s="60" customFormat="1" ht="42.75" customHeight="1">
      <c r="A633" s="33">
        <v>164</v>
      </c>
      <c r="B633" s="52" t="s">
        <v>643</v>
      </c>
      <c r="C633" s="33" t="s">
        <v>43</v>
      </c>
      <c r="D633" s="33">
        <v>1975</v>
      </c>
      <c r="E633" s="35" t="s">
        <v>39</v>
      </c>
      <c r="F633" s="33" t="s">
        <v>44</v>
      </c>
      <c r="G633" s="36">
        <v>5</v>
      </c>
      <c r="H633" s="36">
        <v>4</v>
      </c>
      <c r="I633" s="40">
        <v>5269.6999999999998</v>
      </c>
      <c r="J633" s="40">
        <v>3623.5</v>
      </c>
      <c r="K633" s="40">
        <v>3522.3000000000002</v>
      </c>
      <c r="L633" s="138">
        <v>136</v>
      </c>
      <c r="M633" s="39">
        <f t="shared" si="95"/>
        <v>1751910</v>
      </c>
      <c r="N633" s="37">
        <v>0</v>
      </c>
      <c r="O633" s="37">
        <v>0</v>
      </c>
      <c r="P633" s="37">
        <v>0</v>
      </c>
      <c r="Q633" s="40">
        <f>'Таблица 3 '!C622</f>
        <v>1751910</v>
      </c>
      <c r="R633" s="37">
        <f t="shared" si="96"/>
        <v>1751910</v>
      </c>
      <c r="S633" s="37">
        <v>0</v>
      </c>
      <c r="T633" s="37">
        <f t="shared" si="93"/>
        <v>483.48558024009935</v>
      </c>
      <c r="U633" s="46">
        <f t="shared" si="94"/>
        <v>483.48558024009935</v>
      </c>
      <c r="V633" s="41" t="s">
        <v>572</v>
      </c>
      <c r="W633" s="59"/>
    </row>
    <row r="634" s="60" customFormat="1" ht="42.75" customHeight="1">
      <c r="A634" s="33">
        <v>165</v>
      </c>
      <c r="B634" s="52" t="s">
        <v>644</v>
      </c>
      <c r="C634" s="33" t="s">
        <v>43</v>
      </c>
      <c r="D634" s="33">
        <v>1979</v>
      </c>
      <c r="E634" s="35">
        <v>2023</v>
      </c>
      <c r="F634" s="33" t="s">
        <v>44</v>
      </c>
      <c r="G634" s="36">
        <v>2</v>
      </c>
      <c r="H634" s="36">
        <v>1</v>
      </c>
      <c r="I634" s="40">
        <v>493.89999999999998</v>
      </c>
      <c r="J634" s="40">
        <v>485.80000000000001</v>
      </c>
      <c r="K634" s="40">
        <v>424.89999999999998</v>
      </c>
      <c r="L634" s="48">
        <v>10</v>
      </c>
      <c r="M634" s="39">
        <f t="shared" si="95"/>
        <v>2777418.3599999999</v>
      </c>
      <c r="N634" s="37">
        <v>0</v>
      </c>
      <c r="O634" s="37">
        <v>0</v>
      </c>
      <c r="P634" s="37">
        <v>0</v>
      </c>
      <c r="Q634" s="40">
        <f>'Таблица 3 '!C623</f>
        <v>2777418.3599999999</v>
      </c>
      <c r="R634" s="37">
        <f t="shared" si="96"/>
        <v>2777418.3599999999</v>
      </c>
      <c r="S634" s="37">
        <v>0</v>
      </c>
      <c r="T634" s="37">
        <f t="shared" si="93"/>
        <v>5717.2053519967058</v>
      </c>
      <c r="U634" s="37">
        <f t="shared" si="94"/>
        <v>5717.2053519967058</v>
      </c>
      <c r="V634" s="41" t="s">
        <v>572</v>
      </c>
      <c r="W634" s="60"/>
    </row>
    <row r="635" s="60" customFormat="1" ht="42.75" customHeight="1">
      <c r="A635" s="33">
        <v>166</v>
      </c>
      <c r="B635" s="34" t="s">
        <v>645</v>
      </c>
      <c r="C635" s="33" t="s">
        <v>43</v>
      </c>
      <c r="D635" s="33">
        <v>2004</v>
      </c>
      <c r="E635" s="35" t="s">
        <v>39</v>
      </c>
      <c r="F635" s="33" t="s">
        <v>44</v>
      </c>
      <c r="G635" s="36">
        <v>10</v>
      </c>
      <c r="H635" s="36">
        <v>3</v>
      </c>
      <c r="I635" s="40">
        <v>7532</v>
      </c>
      <c r="J635" s="40">
        <v>6239.6000000000004</v>
      </c>
      <c r="K635" s="40">
        <v>5707.9799999999996</v>
      </c>
      <c r="L635" s="48">
        <v>173</v>
      </c>
      <c r="M635" s="39">
        <f t="shared" si="95"/>
        <v>16715728.210000001</v>
      </c>
      <c r="N635" s="37">
        <v>0</v>
      </c>
      <c r="O635" s="37">
        <v>0</v>
      </c>
      <c r="P635" s="37">
        <v>0</v>
      </c>
      <c r="Q635" s="40">
        <f>'Таблица 3 '!C624</f>
        <v>16715728.210000001</v>
      </c>
      <c r="R635" s="37">
        <f t="shared" si="96"/>
        <v>16715728.210000001</v>
      </c>
      <c r="S635" s="40">
        <v>0</v>
      </c>
      <c r="T635" s="37">
        <f t="shared" si="93"/>
        <v>2678.9743268799284</v>
      </c>
      <c r="U635" s="37">
        <f t="shared" si="94"/>
        <v>2678.9743268799284</v>
      </c>
      <c r="V635" s="41" t="s">
        <v>572</v>
      </c>
      <c r="W635" s="60"/>
    </row>
    <row r="636" s="60" customFormat="1" ht="42.75" customHeight="1">
      <c r="A636" s="33">
        <v>167</v>
      </c>
      <c r="B636" s="34" t="s">
        <v>296</v>
      </c>
      <c r="C636" s="33" t="s">
        <v>43</v>
      </c>
      <c r="D636" s="33">
        <v>1973</v>
      </c>
      <c r="E636" s="35" t="s">
        <v>39</v>
      </c>
      <c r="F636" s="33" t="s">
        <v>48</v>
      </c>
      <c r="G636" s="36">
        <v>5</v>
      </c>
      <c r="H636" s="36">
        <v>4</v>
      </c>
      <c r="I636" s="40">
        <v>4583</v>
      </c>
      <c r="J636" s="40">
        <v>3295.8000000000002</v>
      </c>
      <c r="K636" s="40">
        <v>3137.6999999999998</v>
      </c>
      <c r="L636" s="48">
        <v>120</v>
      </c>
      <c r="M636" s="39">
        <f t="shared" si="95"/>
        <v>6308502.6400000006</v>
      </c>
      <c r="N636" s="37">
        <v>0</v>
      </c>
      <c r="O636" s="37">
        <v>0</v>
      </c>
      <c r="P636" s="37">
        <v>0</v>
      </c>
      <c r="Q636" s="40">
        <f>'Таблица 3 '!C625</f>
        <v>6308502.6400000006</v>
      </c>
      <c r="R636" s="37">
        <f t="shared" si="96"/>
        <v>6308502.6400000006</v>
      </c>
      <c r="S636" s="40">
        <v>0</v>
      </c>
      <c r="T636" s="37">
        <f t="shared" si="93"/>
        <v>1914.1035985193278</v>
      </c>
      <c r="U636" s="37">
        <f t="shared" si="94"/>
        <v>1914.1035985193278</v>
      </c>
      <c r="V636" s="41" t="s">
        <v>572</v>
      </c>
      <c r="W636" s="60"/>
    </row>
    <row r="637" s="60" customFormat="1" ht="42.75" customHeight="1">
      <c r="A637" s="33">
        <v>168</v>
      </c>
      <c r="B637" s="34" t="s">
        <v>297</v>
      </c>
      <c r="C637" s="43" t="s">
        <v>85</v>
      </c>
      <c r="D637" s="33">
        <v>2010</v>
      </c>
      <c r="E637" s="44" t="s">
        <v>39</v>
      </c>
      <c r="F637" s="33" t="s">
        <v>44</v>
      </c>
      <c r="G637" s="45">
        <v>16</v>
      </c>
      <c r="H637" s="36">
        <v>5</v>
      </c>
      <c r="I637" s="51">
        <v>32374.330000000002</v>
      </c>
      <c r="J637" s="40">
        <v>32374.330000000002</v>
      </c>
      <c r="K637" s="51">
        <v>32280.43</v>
      </c>
      <c r="L637" s="48">
        <v>376</v>
      </c>
      <c r="M637" s="39">
        <f t="shared" si="95"/>
        <v>27466590.350000001</v>
      </c>
      <c r="N637" s="46">
        <v>0</v>
      </c>
      <c r="O637" s="37">
        <v>0</v>
      </c>
      <c r="P637" s="46">
        <v>0</v>
      </c>
      <c r="Q637" s="40">
        <f>'Таблица 3 '!C626</f>
        <v>27466590.350000001</v>
      </c>
      <c r="R637" s="46">
        <f t="shared" si="96"/>
        <v>27466590.350000001</v>
      </c>
      <c r="S637" s="40">
        <v>0</v>
      </c>
      <c r="T637" s="46">
        <f t="shared" si="93"/>
        <v>848.40644887477208</v>
      </c>
      <c r="U637" s="37">
        <f t="shared" si="94"/>
        <v>848.40644887477208</v>
      </c>
      <c r="V637" s="41" t="s">
        <v>572</v>
      </c>
      <c r="W637" s="59"/>
    </row>
    <row r="638" s="60" customFormat="1" ht="42.75" customHeight="1">
      <c r="A638" s="33">
        <v>169</v>
      </c>
      <c r="B638" s="34" t="s">
        <v>298</v>
      </c>
      <c r="C638" s="33" t="s">
        <v>43</v>
      </c>
      <c r="D638" s="33">
        <v>1992</v>
      </c>
      <c r="E638" s="35" t="s">
        <v>60</v>
      </c>
      <c r="F638" s="33" t="s">
        <v>48</v>
      </c>
      <c r="G638" s="36">
        <v>10</v>
      </c>
      <c r="H638" s="36">
        <v>3</v>
      </c>
      <c r="I638" s="40">
        <v>7301.3999999999996</v>
      </c>
      <c r="J638" s="40">
        <v>7242.6000000000004</v>
      </c>
      <c r="K638" s="40">
        <v>7095.1000000000004</v>
      </c>
      <c r="L638" s="48">
        <v>239</v>
      </c>
      <c r="M638" s="40">
        <f t="shared" si="95"/>
        <v>13863086.73</v>
      </c>
      <c r="N638" s="40">
        <v>0</v>
      </c>
      <c r="O638" s="40">
        <v>0</v>
      </c>
      <c r="P638" s="40">
        <v>0</v>
      </c>
      <c r="Q638" s="40">
        <f>'Таблица 3 '!C627</f>
        <v>13863086.73</v>
      </c>
      <c r="R638" s="40">
        <f t="shared" si="96"/>
        <v>13863086.73</v>
      </c>
      <c r="S638" s="40">
        <v>0</v>
      </c>
      <c r="T638" s="37">
        <f t="shared" si="93"/>
        <v>1914.1035995360783</v>
      </c>
      <c r="U638" s="37">
        <f t="shared" si="94"/>
        <v>1914.1035995360783</v>
      </c>
      <c r="V638" s="41" t="s">
        <v>572</v>
      </c>
      <c r="W638" s="47"/>
    </row>
    <row r="639" s="60" customFormat="1" ht="42.75" customHeight="1">
      <c r="A639" s="33">
        <v>170</v>
      </c>
      <c r="B639" s="34" t="s">
        <v>646</v>
      </c>
      <c r="C639" s="43" t="s">
        <v>43</v>
      </c>
      <c r="D639" s="33">
        <v>1972</v>
      </c>
      <c r="E639" s="44" t="s">
        <v>39</v>
      </c>
      <c r="F639" s="33" t="s">
        <v>44</v>
      </c>
      <c r="G639" s="45">
        <v>5</v>
      </c>
      <c r="H639" s="36">
        <v>4</v>
      </c>
      <c r="I639" s="51">
        <v>4526.8000000000002</v>
      </c>
      <c r="J639" s="40">
        <v>3277.8000000000002</v>
      </c>
      <c r="K639" s="40">
        <v>3068.3000000000002</v>
      </c>
      <c r="L639" s="48">
        <v>155</v>
      </c>
      <c r="M639" s="40">
        <f t="shared" si="95"/>
        <v>17769739.419999998</v>
      </c>
      <c r="N639" s="40">
        <v>0</v>
      </c>
      <c r="O639" s="40">
        <v>0</v>
      </c>
      <c r="P639" s="40">
        <v>0</v>
      </c>
      <c r="Q639" s="40">
        <f>'Таблица 3 '!C628</f>
        <v>17769739.419999998</v>
      </c>
      <c r="R639" s="40">
        <f t="shared" si="96"/>
        <v>17769739.419999998</v>
      </c>
      <c r="S639" s="40">
        <v>0</v>
      </c>
      <c r="T639" s="37">
        <f t="shared" si="93"/>
        <v>5421.2396790530229</v>
      </c>
      <c r="U639" s="37">
        <f t="shared" si="94"/>
        <v>5421.2396790530229</v>
      </c>
      <c r="V639" s="41" t="s">
        <v>572</v>
      </c>
      <c r="W639" s="47"/>
    </row>
    <row r="640" s="60" customFormat="1" ht="42.75" customHeight="1">
      <c r="A640" s="33">
        <v>171</v>
      </c>
      <c r="B640" s="34" t="s">
        <v>302</v>
      </c>
      <c r="C640" s="33" t="s">
        <v>43</v>
      </c>
      <c r="D640" s="33">
        <v>1984</v>
      </c>
      <c r="E640" s="35" t="s">
        <v>39</v>
      </c>
      <c r="F640" s="33" t="s">
        <v>48</v>
      </c>
      <c r="G640" s="36">
        <v>5</v>
      </c>
      <c r="H640" s="36">
        <v>4</v>
      </c>
      <c r="I640" s="37">
        <v>3963.4000000000001</v>
      </c>
      <c r="J640" s="37">
        <v>2717.4000000000001</v>
      </c>
      <c r="K640" s="37">
        <v>2560.8000000000002</v>
      </c>
      <c r="L640" s="38">
        <v>138</v>
      </c>
      <c r="M640" s="39">
        <f t="shared" si="95"/>
        <v>4261657.0999999996</v>
      </c>
      <c r="N640" s="37">
        <v>0</v>
      </c>
      <c r="O640" s="37">
        <v>0</v>
      </c>
      <c r="P640" s="37">
        <v>0</v>
      </c>
      <c r="Q640" s="40">
        <f>'Таблица 3 '!C629</f>
        <v>4261657.0999999996</v>
      </c>
      <c r="R640" s="37">
        <f t="shared" si="96"/>
        <v>4261657.0999999996</v>
      </c>
      <c r="S640" s="37">
        <v>0</v>
      </c>
      <c r="T640" s="37">
        <f t="shared" si="93"/>
        <v>1568.2847942886581</v>
      </c>
      <c r="U640" s="37">
        <f t="shared" si="94"/>
        <v>1568.2847942886581</v>
      </c>
      <c r="V640" s="41" t="s">
        <v>572</v>
      </c>
      <c r="W640" s="60"/>
    </row>
    <row r="641" s="60" customFormat="1" ht="25.5" customHeight="1">
      <c r="A641" s="61" t="s">
        <v>303</v>
      </c>
      <c r="B641" s="61"/>
      <c r="C641" s="26" t="s">
        <v>40</v>
      </c>
      <c r="D641" s="26" t="s">
        <v>40</v>
      </c>
      <c r="E641" s="27" t="s">
        <v>40</v>
      </c>
      <c r="F641" s="26" t="s">
        <v>40</v>
      </c>
      <c r="G641" s="28" t="s">
        <v>40</v>
      </c>
      <c r="H641" s="28" t="s">
        <v>40</v>
      </c>
      <c r="I641" s="29">
        <f>I642</f>
        <v>1106.2</v>
      </c>
      <c r="J641" s="29">
        <f>J642</f>
        <v>903.54999999999995</v>
      </c>
      <c r="K641" s="29">
        <f>K642</f>
        <v>903.54999999999995</v>
      </c>
      <c r="L641" s="30">
        <f>L642</f>
        <v>33</v>
      </c>
      <c r="M641" s="29">
        <f>M642</f>
        <v>4801450.8500000006</v>
      </c>
      <c r="N641" s="29">
        <f>N642</f>
        <v>0</v>
      </c>
      <c r="O641" s="29">
        <f>O642</f>
        <v>0</v>
      </c>
      <c r="P641" s="29">
        <f>P642</f>
        <v>0</v>
      </c>
      <c r="Q641" s="29">
        <f>Q642</f>
        <v>4801450.8500000006</v>
      </c>
      <c r="R641" s="29">
        <f>R642</f>
        <v>4801450.8500000006</v>
      </c>
      <c r="S641" s="29">
        <f>S642</f>
        <v>0</v>
      </c>
      <c r="T641" s="62" t="s">
        <v>40</v>
      </c>
      <c r="U641" s="32" t="s">
        <v>40</v>
      </c>
      <c r="V641" s="63" t="s">
        <v>40</v>
      </c>
      <c r="W641" s="31"/>
      <c r="X641" s="60"/>
    </row>
    <row r="642" s="60" customFormat="1" ht="42.75" customHeight="1">
      <c r="A642" s="33">
        <v>1</v>
      </c>
      <c r="B642" s="52" t="s">
        <v>647</v>
      </c>
      <c r="C642" s="33" t="s">
        <v>43</v>
      </c>
      <c r="D642" s="33">
        <v>1985</v>
      </c>
      <c r="E642" s="35" t="s">
        <v>39</v>
      </c>
      <c r="F642" s="33" t="s">
        <v>44</v>
      </c>
      <c r="G642" s="36">
        <v>2</v>
      </c>
      <c r="H642" s="36">
        <v>3</v>
      </c>
      <c r="I642" s="40">
        <v>1106.2</v>
      </c>
      <c r="J642" s="40">
        <v>903.54999999999995</v>
      </c>
      <c r="K642" s="40">
        <v>903.54999999999995</v>
      </c>
      <c r="L642" s="48">
        <v>33</v>
      </c>
      <c r="M642" s="40">
        <f>SUM(N642:Q642)</f>
        <v>4801450.8500000006</v>
      </c>
      <c r="N642" s="37">
        <v>0</v>
      </c>
      <c r="O642" s="37">
        <v>0</v>
      </c>
      <c r="P642" s="37">
        <v>0</v>
      </c>
      <c r="Q642" s="40">
        <f>'Таблица 3 '!C631</f>
        <v>4801450.8500000006</v>
      </c>
      <c r="R642" s="40">
        <f>Q642</f>
        <v>4801450.8500000006</v>
      </c>
      <c r="S642" s="37">
        <v>0</v>
      </c>
      <c r="T642" s="37">
        <f t="shared" si="93"/>
        <v>5313.9846715732401</v>
      </c>
      <c r="U642" s="40">
        <f t="shared" si="94"/>
        <v>5313.9846715732401</v>
      </c>
      <c r="V642" s="41" t="s">
        <v>572</v>
      </c>
      <c r="W642" s="31"/>
      <c r="X642" s="60"/>
    </row>
    <row r="643" s="60" customFormat="1" ht="27" customHeight="1">
      <c r="A643" s="25" t="s">
        <v>308</v>
      </c>
      <c r="B643" s="25"/>
      <c r="C643" s="26" t="s">
        <v>39</v>
      </c>
      <c r="D643" s="26" t="s">
        <v>39</v>
      </c>
      <c r="E643" s="27" t="s">
        <v>39</v>
      </c>
      <c r="F643" s="26" t="s">
        <v>39</v>
      </c>
      <c r="G643" s="28" t="s">
        <v>39</v>
      </c>
      <c r="H643" s="28" t="s">
        <v>39</v>
      </c>
      <c r="I643" s="64">
        <f>SUM(I644:I646)</f>
        <v>11786</v>
      </c>
      <c r="J643" s="64">
        <f>SUM(J644:J646)</f>
        <v>8582.9200000000001</v>
      </c>
      <c r="K643" s="64">
        <f>SUM(K644:K646)</f>
        <v>7227.6800000000003</v>
      </c>
      <c r="L643" s="65">
        <f>SUM(L644:L646)</f>
        <v>417</v>
      </c>
      <c r="M643" s="64">
        <f>SUM(M644:M646)</f>
        <v>26413494.32</v>
      </c>
      <c r="N643" s="64">
        <f>SUM(N644:N646)</f>
        <v>0</v>
      </c>
      <c r="O643" s="64">
        <f>SUM(O644:O646)</f>
        <v>0</v>
      </c>
      <c r="P643" s="64">
        <f>SUM(P644:P646)</f>
        <v>0</v>
      </c>
      <c r="Q643" s="64">
        <f>SUM(Q644:Q646)</f>
        <v>26413494.32</v>
      </c>
      <c r="R643" s="64">
        <f>SUM(R644:R646)</f>
        <v>26413494.32</v>
      </c>
      <c r="S643" s="64">
        <f>SUM(S644:S646)</f>
        <v>0</v>
      </c>
      <c r="T643" s="62" t="s">
        <v>39</v>
      </c>
      <c r="U643" s="32" t="s">
        <v>39</v>
      </c>
      <c r="V643" s="66" t="s">
        <v>39</v>
      </c>
      <c r="W643" s="60"/>
    </row>
    <row r="644" s="60" customFormat="1" ht="42.75" customHeight="1">
      <c r="A644" s="33">
        <v>1</v>
      </c>
      <c r="B644" s="50" t="s">
        <v>648</v>
      </c>
      <c r="C644" s="33" t="s">
        <v>43</v>
      </c>
      <c r="D644" s="33">
        <v>1987</v>
      </c>
      <c r="E644" s="35" t="s">
        <v>39</v>
      </c>
      <c r="F644" s="33" t="s">
        <v>44</v>
      </c>
      <c r="G644" s="36">
        <v>5</v>
      </c>
      <c r="H644" s="36">
        <v>4</v>
      </c>
      <c r="I644" s="40">
        <v>3644</v>
      </c>
      <c r="J644" s="40">
        <v>2483</v>
      </c>
      <c r="K644" s="40">
        <v>2052.5799999999999</v>
      </c>
      <c r="L644" s="48">
        <v>134</v>
      </c>
      <c r="M644" s="39">
        <f t="shared" ref="M644:M646" si="97">SUM(N644:Q644)</f>
        <v>16260493.48</v>
      </c>
      <c r="N644" s="37">
        <v>0</v>
      </c>
      <c r="O644" s="37">
        <v>0</v>
      </c>
      <c r="P644" s="37">
        <v>0</v>
      </c>
      <c r="Q644" s="40">
        <f>'Таблица 3 '!C633</f>
        <v>16260493.48</v>
      </c>
      <c r="R644" s="40">
        <f t="shared" ref="R644:R646" si="98">Q644</f>
        <v>16260493.48</v>
      </c>
      <c r="S644" s="37">
        <v>0</v>
      </c>
      <c r="T644" s="56">
        <f t="shared" si="93"/>
        <v>6548.7287474828836</v>
      </c>
      <c r="U644" s="40">
        <f t="shared" si="94"/>
        <v>6548.7287474828836</v>
      </c>
      <c r="V644" s="41" t="s">
        <v>572</v>
      </c>
      <c r="W644" s="60"/>
    </row>
    <row r="645" s="60" customFormat="1" ht="42.75" customHeight="1">
      <c r="A645" s="33">
        <v>2</v>
      </c>
      <c r="B645" s="50" t="s">
        <v>312</v>
      </c>
      <c r="C645" s="33" t="s">
        <v>43</v>
      </c>
      <c r="D645" s="33">
        <v>1987</v>
      </c>
      <c r="E645" s="35" t="s">
        <v>39</v>
      </c>
      <c r="F645" s="33" t="s">
        <v>44</v>
      </c>
      <c r="G645" s="36">
        <v>5</v>
      </c>
      <c r="H645" s="36">
        <v>4</v>
      </c>
      <c r="I645" s="40">
        <v>4083</v>
      </c>
      <c r="J645" s="40">
        <v>2582.3400000000001</v>
      </c>
      <c r="K645" s="40">
        <v>2176.5500000000002</v>
      </c>
      <c r="L645" s="48">
        <v>134</v>
      </c>
      <c r="M645" s="39">
        <f t="shared" si="97"/>
        <v>5500095.0100000007</v>
      </c>
      <c r="N645" s="37">
        <v>0</v>
      </c>
      <c r="O645" s="37">
        <v>0</v>
      </c>
      <c r="P645" s="37">
        <v>0</v>
      </c>
      <c r="Q645" s="40">
        <f>'Таблица 3 '!C634</f>
        <v>5500095.0100000007</v>
      </c>
      <c r="R645" s="40">
        <f t="shared" si="98"/>
        <v>5500095.0100000007</v>
      </c>
      <c r="S645" s="37">
        <v>0</v>
      </c>
      <c r="T645" s="56">
        <f t="shared" si="93"/>
        <v>2129.8880124228413</v>
      </c>
      <c r="U645" s="40">
        <f t="shared" si="94"/>
        <v>2129.8880124228413</v>
      </c>
      <c r="V645" s="41" t="s">
        <v>572</v>
      </c>
      <c r="W645" s="60"/>
    </row>
    <row r="646" s="60" customFormat="1" ht="42.75" customHeight="1">
      <c r="A646" s="33">
        <v>3</v>
      </c>
      <c r="B646" s="50" t="s">
        <v>316</v>
      </c>
      <c r="C646" s="33" t="s">
        <v>43</v>
      </c>
      <c r="D646" s="33">
        <v>1981</v>
      </c>
      <c r="E646" s="35" t="s">
        <v>39</v>
      </c>
      <c r="F646" s="33" t="s">
        <v>44</v>
      </c>
      <c r="G646" s="36">
        <v>5</v>
      </c>
      <c r="H646" s="36">
        <v>4</v>
      </c>
      <c r="I646" s="40">
        <v>4059</v>
      </c>
      <c r="J646" s="40">
        <v>3517.5799999999999</v>
      </c>
      <c r="K646" s="40">
        <v>2998.5500000000002</v>
      </c>
      <c r="L646" s="48">
        <v>149</v>
      </c>
      <c r="M646" s="39">
        <f t="shared" si="97"/>
        <v>4652905.8300000001</v>
      </c>
      <c r="N646" s="37">
        <v>0</v>
      </c>
      <c r="O646" s="37">
        <v>0</v>
      </c>
      <c r="P646" s="37">
        <v>0</v>
      </c>
      <c r="Q646" s="40">
        <f>'Таблица 3 '!C635</f>
        <v>4652905.8300000001</v>
      </c>
      <c r="R646" s="40">
        <f t="shared" si="98"/>
        <v>4652905.8300000001</v>
      </c>
      <c r="S646" s="37">
        <v>0</v>
      </c>
      <c r="T646" s="56">
        <f t="shared" si="93"/>
        <v>1322.75764303868</v>
      </c>
      <c r="U646" s="40">
        <f t="shared" si="94"/>
        <v>1322.75764303868</v>
      </c>
      <c r="V646" s="41" t="s">
        <v>572</v>
      </c>
      <c r="W646" s="60"/>
    </row>
    <row r="647" s="31" customFormat="1" ht="24" customHeight="1">
      <c r="A647" s="25" t="s">
        <v>317</v>
      </c>
      <c r="B647" s="25"/>
      <c r="C647" s="28" t="s">
        <v>39</v>
      </c>
      <c r="D647" s="28" t="s">
        <v>39</v>
      </c>
      <c r="E647" s="66" t="s">
        <v>39</v>
      </c>
      <c r="F647" s="28" t="s">
        <v>39</v>
      </c>
      <c r="G647" s="28" t="s">
        <v>39</v>
      </c>
      <c r="H647" s="28" t="s">
        <v>39</v>
      </c>
      <c r="I647" s="64">
        <f>SUM(I648:I655)</f>
        <v>8795.7799999999988</v>
      </c>
      <c r="J647" s="64">
        <f>SUM(J648:J655)</f>
        <v>7942.6799999999994</v>
      </c>
      <c r="K647" s="64">
        <f>SUM(K648:K655)</f>
        <v>7480.0299999999997</v>
      </c>
      <c r="L647" s="65">
        <f>SUM(L648:L655)</f>
        <v>305</v>
      </c>
      <c r="M647" s="64">
        <f>SUM(M648:M655)</f>
        <v>32293446.030000001</v>
      </c>
      <c r="N647" s="64">
        <f>SUM(N648:N655)</f>
        <v>0</v>
      </c>
      <c r="O647" s="64">
        <f>SUM(O648:O655)</f>
        <v>0</v>
      </c>
      <c r="P647" s="64">
        <f>SUM(P648:P655)</f>
        <v>0</v>
      </c>
      <c r="Q647" s="64">
        <f>SUM(Q648:Q655)</f>
        <v>32293446.030000001</v>
      </c>
      <c r="R647" s="64">
        <f>SUM(R648:R655)</f>
        <v>32293446.030000001</v>
      </c>
      <c r="S647" s="64">
        <f>SUM(S648:S655)</f>
        <v>0</v>
      </c>
      <c r="T647" s="32" t="s">
        <v>39</v>
      </c>
      <c r="U647" s="32" t="s">
        <v>39</v>
      </c>
      <c r="V647" s="66" t="s">
        <v>39</v>
      </c>
      <c r="W647" s="31"/>
    </row>
    <row r="648" s="31" customFormat="1" ht="44.25" customHeight="1">
      <c r="A648" s="33">
        <v>1</v>
      </c>
      <c r="B648" s="52" t="s">
        <v>649</v>
      </c>
      <c r="C648" s="33" t="s">
        <v>43</v>
      </c>
      <c r="D648" s="36">
        <v>1990</v>
      </c>
      <c r="E648" s="67" t="s">
        <v>39</v>
      </c>
      <c r="F648" s="33" t="s">
        <v>77</v>
      </c>
      <c r="G648" s="36">
        <v>3</v>
      </c>
      <c r="H648" s="36">
        <v>3</v>
      </c>
      <c r="I648" s="37">
        <v>1570.8599999999999</v>
      </c>
      <c r="J648" s="37">
        <v>1522.5999999999999</v>
      </c>
      <c r="K648" s="37">
        <v>1296.8</v>
      </c>
      <c r="L648" s="38">
        <v>58</v>
      </c>
      <c r="M648" s="39">
        <f t="shared" ref="M648:M655" si="99">SUM(N648:Q648)</f>
        <v>1062376</v>
      </c>
      <c r="N648" s="37">
        <v>0</v>
      </c>
      <c r="O648" s="37">
        <v>0</v>
      </c>
      <c r="P648" s="37">
        <v>0</v>
      </c>
      <c r="Q648" s="37">
        <f>'Таблица 3 '!C637</f>
        <v>1062376</v>
      </c>
      <c r="R648" s="37">
        <f t="shared" ref="R648:R655" si="100">Q648</f>
        <v>1062376</v>
      </c>
      <c r="S648" s="37">
        <v>0</v>
      </c>
      <c r="T648" s="37">
        <f t="shared" si="93"/>
        <v>697.73807960068314</v>
      </c>
      <c r="U648" s="37">
        <f t="shared" si="94"/>
        <v>697.73807960068314</v>
      </c>
      <c r="V648" s="41" t="s">
        <v>572</v>
      </c>
      <c r="W648" s="59"/>
    </row>
    <row r="649" s="31" customFormat="1" ht="44.25" customHeight="1">
      <c r="A649" s="33">
        <v>2</v>
      </c>
      <c r="B649" s="52" t="s">
        <v>650</v>
      </c>
      <c r="C649" s="33" t="s">
        <v>43</v>
      </c>
      <c r="D649" s="36">
        <v>1975</v>
      </c>
      <c r="E649" s="67" t="s">
        <v>39</v>
      </c>
      <c r="F649" s="33" t="s">
        <v>77</v>
      </c>
      <c r="G649" s="36">
        <v>3</v>
      </c>
      <c r="H649" s="36">
        <v>3</v>
      </c>
      <c r="I649" s="37">
        <v>1648</v>
      </c>
      <c r="J649" s="37">
        <v>1099.8499999999999</v>
      </c>
      <c r="K649" s="37">
        <v>1028.3</v>
      </c>
      <c r="L649" s="38">
        <v>35</v>
      </c>
      <c r="M649" s="39">
        <f t="shared" si="99"/>
        <v>1783496.54</v>
      </c>
      <c r="N649" s="37">
        <v>0</v>
      </c>
      <c r="O649" s="37">
        <v>0</v>
      </c>
      <c r="P649" s="37">
        <v>0</v>
      </c>
      <c r="Q649" s="37">
        <f>'Таблица 3 '!C638</f>
        <v>1783496.54</v>
      </c>
      <c r="R649" s="37">
        <f t="shared" si="100"/>
        <v>1783496.54</v>
      </c>
      <c r="S649" s="37">
        <v>0</v>
      </c>
      <c r="T649" s="37">
        <f t="shared" si="93"/>
        <v>1621.5816156748649</v>
      </c>
      <c r="U649" s="37">
        <f t="shared" si="94"/>
        <v>1621.5816156748649</v>
      </c>
      <c r="V649" s="41" t="s">
        <v>572</v>
      </c>
      <c r="W649" s="59"/>
    </row>
    <row r="650" s="31" customFormat="1" ht="44.25" customHeight="1">
      <c r="A650" s="33">
        <v>3</v>
      </c>
      <c r="B650" s="52" t="s">
        <v>651</v>
      </c>
      <c r="C650" s="33" t="s">
        <v>43</v>
      </c>
      <c r="D650" s="36">
        <v>1972</v>
      </c>
      <c r="E650" s="67">
        <v>2019</v>
      </c>
      <c r="F650" s="33" t="s">
        <v>77</v>
      </c>
      <c r="G650" s="36">
        <v>3</v>
      </c>
      <c r="H650" s="36">
        <v>2</v>
      </c>
      <c r="I650" s="37">
        <v>1143.1199999999999</v>
      </c>
      <c r="J650" s="37">
        <v>1091.55</v>
      </c>
      <c r="K650" s="37">
        <v>1091.55</v>
      </c>
      <c r="L650" s="90">
        <v>40</v>
      </c>
      <c r="M650" s="37">
        <f t="shared" si="99"/>
        <v>1549969.3600000001</v>
      </c>
      <c r="N650" s="37">
        <v>0</v>
      </c>
      <c r="O650" s="37">
        <v>0</v>
      </c>
      <c r="P650" s="37">
        <v>0</v>
      </c>
      <c r="Q650" s="37">
        <f>'Таблица 3 '!C639</f>
        <v>1549969.3600000001</v>
      </c>
      <c r="R650" s="37">
        <f t="shared" si="100"/>
        <v>1549969.3600000001</v>
      </c>
      <c r="S650" s="37">
        <v>0</v>
      </c>
      <c r="T650" s="37">
        <f t="shared" si="93"/>
        <v>1419.9710136961203</v>
      </c>
      <c r="U650" s="46">
        <f t="shared" si="94"/>
        <v>1419.9710136961203</v>
      </c>
      <c r="V650" s="41" t="s">
        <v>572</v>
      </c>
      <c r="W650" s="59"/>
    </row>
    <row r="651" s="60" customFormat="1" ht="42.75">
      <c r="A651" s="33">
        <v>4</v>
      </c>
      <c r="B651" s="75" t="s">
        <v>321</v>
      </c>
      <c r="C651" s="33" t="s">
        <v>43</v>
      </c>
      <c r="D651" s="36">
        <v>1977</v>
      </c>
      <c r="E651" s="67">
        <v>2019</v>
      </c>
      <c r="F651" s="36" t="s">
        <v>319</v>
      </c>
      <c r="G651" s="36">
        <v>2</v>
      </c>
      <c r="H651" s="36">
        <v>2</v>
      </c>
      <c r="I651" s="37">
        <v>828.60000000000002</v>
      </c>
      <c r="J651" s="37">
        <v>729.41999999999996</v>
      </c>
      <c r="K651" s="37">
        <v>729.41999999999996</v>
      </c>
      <c r="L651" s="38">
        <v>30</v>
      </c>
      <c r="M651" s="39">
        <f t="shared" si="99"/>
        <v>2167883.4500000002</v>
      </c>
      <c r="N651" s="37">
        <v>0</v>
      </c>
      <c r="O651" s="37">
        <v>0</v>
      </c>
      <c r="P651" s="37">
        <v>0</v>
      </c>
      <c r="Q651" s="37">
        <f>'Таблица 3 '!C640</f>
        <v>2167883.4500000002</v>
      </c>
      <c r="R651" s="37">
        <f t="shared" si="100"/>
        <v>2167883.4500000002</v>
      </c>
      <c r="S651" s="37">
        <v>0</v>
      </c>
      <c r="T651" s="37">
        <f t="shared" si="93"/>
        <v>2972.0647226563574</v>
      </c>
      <c r="U651" s="37">
        <f t="shared" si="94"/>
        <v>2972.0647226563574</v>
      </c>
      <c r="V651" s="41" t="s">
        <v>572</v>
      </c>
      <c r="W651" s="60"/>
    </row>
    <row r="652" s="60" customFormat="1" ht="42.75">
      <c r="A652" s="33">
        <v>5</v>
      </c>
      <c r="B652" s="50" t="s">
        <v>652</v>
      </c>
      <c r="C652" s="33" t="s">
        <v>43</v>
      </c>
      <c r="D652" s="33">
        <v>1988</v>
      </c>
      <c r="E652" s="35" t="s">
        <v>40</v>
      </c>
      <c r="F652" s="33" t="s">
        <v>77</v>
      </c>
      <c r="G652" s="36">
        <v>2</v>
      </c>
      <c r="H652" s="36">
        <v>3</v>
      </c>
      <c r="I652" s="37">
        <v>966</v>
      </c>
      <c r="J652" s="37">
        <v>953.82000000000005</v>
      </c>
      <c r="K652" s="37">
        <v>893.22000000000003</v>
      </c>
      <c r="L652" s="38">
        <v>42</v>
      </c>
      <c r="M652" s="39">
        <f t="shared" si="99"/>
        <v>9045370.5099999998</v>
      </c>
      <c r="N652" s="37">
        <v>0</v>
      </c>
      <c r="O652" s="37">
        <v>0</v>
      </c>
      <c r="P652" s="37">
        <v>0</v>
      </c>
      <c r="Q652" s="37">
        <f>'Таблица 3 '!C641</f>
        <v>9045370.5099999998</v>
      </c>
      <c r="R652" s="37">
        <f t="shared" si="100"/>
        <v>9045370.5099999998</v>
      </c>
      <c r="S652" s="37">
        <v>0</v>
      </c>
      <c r="T652" s="37">
        <f t="shared" si="93"/>
        <v>9483.3097544610082</v>
      </c>
      <c r="U652" s="37">
        <f t="shared" si="94"/>
        <v>9483.3097544610082</v>
      </c>
      <c r="V652" s="41" t="s">
        <v>572</v>
      </c>
      <c r="W652" s="59"/>
    </row>
    <row r="653" s="60" customFormat="1" ht="42.75">
      <c r="A653" s="33">
        <v>6</v>
      </c>
      <c r="B653" s="50" t="s">
        <v>653</v>
      </c>
      <c r="C653" s="33" t="s">
        <v>43</v>
      </c>
      <c r="D653" s="33">
        <v>1986</v>
      </c>
      <c r="E653" s="35" t="s">
        <v>40</v>
      </c>
      <c r="F653" s="33" t="s">
        <v>77</v>
      </c>
      <c r="G653" s="36">
        <v>2</v>
      </c>
      <c r="H653" s="36">
        <v>3</v>
      </c>
      <c r="I653" s="37">
        <v>957.90999999999997</v>
      </c>
      <c r="J653" s="37">
        <v>957.90999999999997</v>
      </c>
      <c r="K653" s="37">
        <v>897.71000000000004</v>
      </c>
      <c r="L653" s="38">
        <v>48</v>
      </c>
      <c r="M653" s="39">
        <f t="shared" si="99"/>
        <v>9086700.3200000003</v>
      </c>
      <c r="N653" s="37">
        <v>0</v>
      </c>
      <c r="O653" s="37">
        <v>0</v>
      </c>
      <c r="P653" s="37">
        <v>0</v>
      </c>
      <c r="Q653" s="37">
        <f>'Таблица 3 '!C642</f>
        <v>9086700.3200000003</v>
      </c>
      <c r="R653" s="37">
        <f t="shared" si="100"/>
        <v>9086700.3200000003</v>
      </c>
      <c r="S653" s="37">
        <v>0</v>
      </c>
      <c r="T653" s="37">
        <f t="shared" si="93"/>
        <v>9485.9645686964341</v>
      </c>
      <c r="U653" s="37">
        <f t="shared" si="94"/>
        <v>9485.9645686964341</v>
      </c>
      <c r="V653" s="41" t="s">
        <v>572</v>
      </c>
      <c r="W653" s="59"/>
    </row>
    <row r="654" s="60" customFormat="1" ht="42.75">
      <c r="A654" s="33">
        <v>7</v>
      </c>
      <c r="B654" s="50" t="s">
        <v>654</v>
      </c>
      <c r="C654" s="33" t="s">
        <v>43</v>
      </c>
      <c r="D654" s="33">
        <v>1968</v>
      </c>
      <c r="E654" s="35" t="s">
        <v>40</v>
      </c>
      <c r="F654" s="43" t="s">
        <v>319</v>
      </c>
      <c r="G654" s="36">
        <v>2</v>
      </c>
      <c r="H654" s="36">
        <v>2</v>
      </c>
      <c r="I654" s="37">
        <v>626.86000000000001</v>
      </c>
      <c r="J654" s="37">
        <v>626.86000000000001</v>
      </c>
      <c r="K654" s="37">
        <v>582.36000000000001</v>
      </c>
      <c r="L654" s="38">
        <v>26</v>
      </c>
      <c r="M654" s="39">
        <f t="shared" si="99"/>
        <v>6035750.5300000003</v>
      </c>
      <c r="N654" s="37">
        <v>0</v>
      </c>
      <c r="O654" s="37">
        <v>0</v>
      </c>
      <c r="P654" s="37">
        <v>0</v>
      </c>
      <c r="Q654" s="37">
        <f>'Таблица 3 '!C643</f>
        <v>6035750.5300000003</v>
      </c>
      <c r="R654" s="37">
        <f t="shared" si="100"/>
        <v>6035750.5300000003</v>
      </c>
      <c r="S654" s="37">
        <v>0</v>
      </c>
      <c r="T654" s="37">
        <f t="shared" si="93"/>
        <v>9628.5462942283757</v>
      </c>
      <c r="U654" s="37">
        <f t="shared" si="94"/>
        <v>9628.5462942283757</v>
      </c>
      <c r="V654" s="41" t="s">
        <v>572</v>
      </c>
      <c r="W654" s="59"/>
    </row>
    <row r="655" s="60" customFormat="1" ht="42.75">
      <c r="A655" s="33">
        <v>8</v>
      </c>
      <c r="B655" s="50" t="s">
        <v>323</v>
      </c>
      <c r="C655" s="33" t="s">
        <v>43</v>
      </c>
      <c r="D655" s="33">
        <v>1991</v>
      </c>
      <c r="E655" s="35" t="s">
        <v>40</v>
      </c>
      <c r="F655" s="33" t="s">
        <v>77</v>
      </c>
      <c r="G655" s="36">
        <v>2</v>
      </c>
      <c r="H655" s="36">
        <v>3</v>
      </c>
      <c r="I655" s="37">
        <v>1054.4300000000001</v>
      </c>
      <c r="J655" s="37">
        <v>960.66999999999996</v>
      </c>
      <c r="K655" s="37">
        <v>960.66999999999996</v>
      </c>
      <c r="L655" s="38">
        <v>26</v>
      </c>
      <c r="M655" s="39">
        <f t="shared" si="99"/>
        <v>1561899.3200000001</v>
      </c>
      <c r="N655" s="37">
        <v>0</v>
      </c>
      <c r="O655" s="37">
        <v>0</v>
      </c>
      <c r="P655" s="37">
        <v>0</v>
      </c>
      <c r="Q655" s="37">
        <f>'Таблица 3 '!C644</f>
        <v>1561899.3200000001</v>
      </c>
      <c r="R655" s="37">
        <f t="shared" si="100"/>
        <v>1561899.3200000001</v>
      </c>
      <c r="S655" s="37">
        <v>0</v>
      </c>
      <c r="T655" s="37">
        <f t="shared" si="93"/>
        <v>1625.8437548794072</v>
      </c>
      <c r="U655" s="37">
        <f t="shared" si="94"/>
        <v>1625.8437548794072</v>
      </c>
      <c r="V655" s="41" t="s">
        <v>572</v>
      </c>
      <c r="W655" s="60"/>
    </row>
    <row r="656" s="60" customFormat="1" ht="27" customHeight="1">
      <c r="A656" s="25" t="s">
        <v>324</v>
      </c>
      <c r="B656" s="25"/>
      <c r="C656" s="26" t="s">
        <v>39</v>
      </c>
      <c r="D656" s="26" t="s">
        <v>39</v>
      </c>
      <c r="E656" s="27" t="s">
        <v>39</v>
      </c>
      <c r="F656" s="26" t="s">
        <v>39</v>
      </c>
      <c r="G656" s="28" t="s">
        <v>39</v>
      </c>
      <c r="H656" s="28" t="s">
        <v>39</v>
      </c>
      <c r="I656" s="64">
        <f>SUM(I657:I670)</f>
        <v>30319.500000000004</v>
      </c>
      <c r="J656" s="64">
        <f>SUM(J657:J670)</f>
        <v>24882.460000000003</v>
      </c>
      <c r="K656" s="64">
        <f>SUM(K657:K670)</f>
        <v>23670.460000000003</v>
      </c>
      <c r="L656" s="65">
        <f>SUM(L657:L670)</f>
        <v>1119</v>
      </c>
      <c r="M656" s="64">
        <f>SUM(M657:M670)</f>
        <v>46314136.319999993</v>
      </c>
      <c r="N656" s="64">
        <f>SUM(N657:N670)</f>
        <v>0</v>
      </c>
      <c r="O656" s="64">
        <f>SUM(O657:O670)</f>
        <v>0</v>
      </c>
      <c r="P656" s="64">
        <f>SUM(P657:P670)</f>
        <v>0</v>
      </c>
      <c r="Q656" s="64">
        <f>SUM(Q657:Q670)</f>
        <v>46314136.319999993</v>
      </c>
      <c r="R656" s="64">
        <f>SUM(R657:R670)</f>
        <v>46314136.319999993</v>
      </c>
      <c r="S656" s="64">
        <f>SUM(S657:S670)</f>
        <v>0</v>
      </c>
      <c r="T656" s="32" t="s">
        <v>39</v>
      </c>
      <c r="U656" s="32" t="s">
        <v>39</v>
      </c>
      <c r="V656" s="66" t="s">
        <v>39</v>
      </c>
      <c r="W656" s="60"/>
    </row>
    <row r="657" s="59" customFormat="1" ht="43.5" customHeight="1">
      <c r="A657" s="33">
        <v>1</v>
      </c>
      <c r="B657" s="52" t="s">
        <v>328</v>
      </c>
      <c r="C657" s="43" t="s">
        <v>43</v>
      </c>
      <c r="D657" s="33">
        <v>1970</v>
      </c>
      <c r="E657" s="44">
        <v>2018</v>
      </c>
      <c r="F657" s="33" t="s">
        <v>77</v>
      </c>
      <c r="G657" s="45">
        <v>2</v>
      </c>
      <c r="H657" s="36">
        <v>2</v>
      </c>
      <c r="I657" s="46">
        <v>757.20000000000005</v>
      </c>
      <c r="J657" s="37">
        <v>719</v>
      </c>
      <c r="K657" s="46">
        <v>618.89999999999998</v>
      </c>
      <c r="L657" s="38">
        <v>35</v>
      </c>
      <c r="M657" s="46">
        <f t="shared" ref="M657:M670" si="101">SUM(N657:Q657)</f>
        <v>3094197.23</v>
      </c>
      <c r="N657" s="37">
        <v>0</v>
      </c>
      <c r="O657" s="46">
        <v>0</v>
      </c>
      <c r="P657" s="37">
        <v>0</v>
      </c>
      <c r="Q657" s="37">
        <f>'Таблица 3 '!C646</f>
        <v>3094197.23</v>
      </c>
      <c r="R657" s="37">
        <f t="shared" ref="R657:R670" si="102">Q657</f>
        <v>3094197.23</v>
      </c>
      <c r="S657" s="46">
        <v>0</v>
      </c>
      <c r="T657" s="37">
        <f t="shared" si="93"/>
        <v>4303.4731988873436</v>
      </c>
      <c r="U657" s="46">
        <f t="shared" si="94"/>
        <v>4303.4731988873436</v>
      </c>
      <c r="V657" s="41" t="s">
        <v>572</v>
      </c>
      <c r="W657" s="47"/>
    </row>
    <row r="658" s="60" customFormat="1" ht="45.75" customHeight="1">
      <c r="A658" s="33">
        <v>2</v>
      </c>
      <c r="B658" s="50" t="s">
        <v>329</v>
      </c>
      <c r="C658" s="33" t="s">
        <v>43</v>
      </c>
      <c r="D658" s="33">
        <v>1976</v>
      </c>
      <c r="E658" s="35" t="s">
        <v>39</v>
      </c>
      <c r="F658" s="33" t="s">
        <v>77</v>
      </c>
      <c r="G658" s="36">
        <v>2</v>
      </c>
      <c r="H658" s="36">
        <v>2</v>
      </c>
      <c r="I658" s="37">
        <v>1181.5999999999999</v>
      </c>
      <c r="J658" s="37">
        <v>736.70000000000005</v>
      </c>
      <c r="K658" s="37">
        <v>695.5</v>
      </c>
      <c r="L658" s="38">
        <v>26</v>
      </c>
      <c r="M658" s="39">
        <f t="shared" si="101"/>
        <v>2545081.46</v>
      </c>
      <c r="N658" s="37">
        <v>0</v>
      </c>
      <c r="O658" s="37">
        <v>0</v>
      </c>
      <c r="P658" s="37">
        <v>0</v>
      </c>
      <c r="Q658" s="37">
        <f>'Таблица 3 '!C647</f>
        <v>2545081.46</v>
      </c>
      <c r="R658" s="37">
        <f t="shared" si="102"/>
        <v>2545081.46</v>
      </c>
      <c r="S658" s="37">
        <v>0</v>
      </c>
      <c r="T658" s="37">
        <f t="shared" si="93"/>
        <v>3454.7053888964297</v>
      </c>
      <c r="U658" s="37">
        <f t="shared" ref="U658:U670" si="103">M658/J658</f>
        <v>3454.7053888964297</v>
      </c>
      <c r="V658" s="41" t="s">
        <v>572</v>
      </c>
      <c r="W658" s="60"/>
    </row>
    <row r="659" s="144" customFormat="1" ht="44.25" customHeight="1">
      <c r="A659" s="33">
        <v>3</v>
      </c>
      <c r="B659" s="50" t="s">
        <v>655</v>
      </c>
      <c r="C659" s="43" t="s">
        <v>43</v>
      </c>
      <c r="D659" s="33">
        <v>1970</v>
      </c>
      <c r="E659" s="44" t="s">
        <v>39</v>
      </c>
      <c r="F659" s="33" t="s">
        <v>77</v>
      </c>
      <c r="G659" s="45">
        <v>2</v>
      </c>
      <c r="H659" s="36">
        <v>2</v>
      </c>
      <c r="I659" s="46">
        <v>827.70000000000005</v>
      </c>
      <c r="J659" s="37">
        <v>729.89999999999998</v>
      </c>
      <c r="K659" s="46">
        <v>729.89999999999998</v>
      </c>
      <c r="L659" s="38">
        <v>25</v>
      </c>
      <c r="M659" s="39">
        <f t="shared" si="101"/>
        <v>754058.43000000005</v>
      </c>
      <c r="N659" s="46">
        <v>0</v>
      </c>
      <c r="O659" s="37">
        <v>0</v>
      </c>
      <c r="P659" s="46">
        <v>0</v>
      </c>
      <c r="Q659" s="37">
        <f>'Таблица 3 '!C648</f>
        <v>754058.43000000005</v>
      </c>
      <c r="R659" s="46">
        <f t="shared" si="102"/>
        <v>754058.43000000005</v>
      </c>
      <c r="S659" s="37">
        <v>0</v>
      </c>
      <c r="T659" s="46">
        <f t="shared" si="93"/>
        <v>1033.0982737361282</v>
      </c>
      <c r="U659" s="37">
        <f t="shared" si="103"/>
        <v>1033.0982737361282</v>
      </c>
      <c r="V659" s="41" t="s">
        <v>572</v>
      </c>
      <c r="W659" s="59"/>
    </row>
    <row r="660" s="144" customFormat="1" ht="42.75">
      <c r="A660" s="33">
        <v>4</v>
      </c>
      <c r="B660" s="50" t="s">
        <v>656</v>
      </c>
      <c r="C660" s="33" t="s">
        <v>43</v>
      </c>
      <c r="D660" s="33">
        <v>1963</v>
      </c>
      <c r="E660" s="35">
        <v>2024</v>
      </c>
      <c r="F660" s="33" t="s">
        <v>77</v>
      </c>
      <c r="G660" s="36">
        <v>2</v>
      </c>
      <c r="H660" s="36">
        <v>2</v>
      </c>
      <c r="I660" s="37">
        <v>893.89999999999998</v>
      </c>
      <c r="J660" s="37">
        <v>829.10000000000002</v>
      </c>
      <c r="K660" s="37">
        <v>829.10000000000002</v>
      </c>
      <c r="L660" s="90">
        <v>21</v>
      </c>
      <c r="M660" s="37">
        <f t="shared" si="101"/>
        <v>898334.45999999985</v>
      </c>
      <c r="N660" s="37">
        <v>0</v>
      </c>
      <c r="O660" s="37">
        <v>0</v>
      </c>
      <c r="P660" s="37">
        <v>0</v>
      </c>
      <c r="Q660" s="37">
        <f>'Таблица 3 '!C649</f>
        <v>898334.45999999985</v>
      </c>
      <c r="R660" s="37">
        <f t="shared" si="102"/>
        <v>898334.45999999985</v>
      </c>
      <c r="S660" s="37">
        <v>0</v>
      </c>
      <c r="T660" s="37">
        <f t="shared" si="93"/>
        <v>1083.5055602460498</v>
      </c>
      <c r="U660" s="46">
        <f>T660</f>
        <v>1083.5055602460498</v>
      </c>
      <c r="V660" s="41" t="s">
        <v>572</v>
      </c>
      <c r="W660" s="59"/>
    </row>
    <row r="661" s="144" customFormat="1" ht="42.75">
      <c r="A661" s="33">
        <v>5</v>
      </c>
      <c r="B661" s="50" t="s">
        <v>657</v>
      </c>
      <c r="C661" s="43" t="s">
        <v>43</v>
      </c>
      <c r="D661" s="33">
        <v>1955</v>
      </c>
      <c r="E661" s="44" t="s">
        <v>39</v>
      </c>
      <c r="F661" s="33" t="s">
        <v>77</v>
      </c>
      <c r="G661" s="45">
        <v>2</v>
      </c>
      <c r="H661" s="36">
        <v>2</v>
      </c>
      <c r="I661" s="46">
        <v>444.5</v>
      </c>
      <c r="J661" s="37">
        <v>397.42000000000002</v>
      </c>
      <c r="K661" s="46">
        <v>397.42000000000002</v>
      </c>
      <c r="L661" s="38">
        <v>16</v>
      </c>
      <c r="M661" s="39">
        <f t="shared" si="101"/>
        <v>3923788.1899999999</v>
      </c>
      <c r="N661" s="46">
        <v>0</v>
      </c>
      <c r="O661" s="37">
        <v>0</v>
      </c>
      <c r="P661" s="46">
        <v>0</v>
      </c>
      <c r="Q661" s="37">
        <f>'Таблица 3 '!C650</f>
        <v>3923788.1899999999</v>
      </c>
      <c r="R661" s="46">
        <f t="shared" si="102"/>
        <v>3923788.1899999999</v>
      </c>
      <c r="S661" s="37">
        <v>0</v>
      </c>
      <c r="T661" s="46">
        <f t="shared" ref="T661:T724" si="104">M661/J661</f>
        <v>9873.1523073826174</v>
      </c>
      <c r="U661" s="37">
        <f t="shared" si="103"/>
        <v>9873.1523073826174</v>
      </c>
      <c r="V661" s="41" t="s">
        <v>572</v>
      </c>
      <c r="W661" s="59"/>
    </row>
    <row r="662" s="60" customFormat="1" ht="42.75">
      <c r="A662" s="33">
        <v>6</v>
      </c>
      <c r="B662" s="50" t="s">
        <v>658</v>
      </c>
      <c r="C662" s="33" t="s">
        <v>43</v>
      </c>
      <c r="D662" s="33">
        <v>1981</v>
      </c>
      <c r="E662" s="35" t="s">
        <v>39</v>
      </c>
      <c r="F662" s="33" t="s">
        <v>77</v>
      </c>
      <c r="G662" s="36">
        <v>3</v>
      </c>
      <c r="H662" s="36">
        <v>4</v>
      </c>
      <c r="I662" s="37">
        <v>2907.6999999999998</v>
      </c>
      <c r="J662" s="37">
        <v>2029.4000000000001</v>
      </c>
      <c r="K662" s="37">
        <v>1995.0999999999999</v>
      </c>
      <c r="L662" s="38">
        <v>112</v>
      </c>
      <c r="M662" s="39">
        <f t="shared" si="101"/>
        <v>10415854.960000001</v>
      </c>
      <c r="N662" s="37">
        <v>0</v>
      </c>
      <c r="O662" s="37">
        <v>0</v>
      </c>
      <c r="P662" s="37">
        <v>0</v>
      </c>
      <c r="Q662" s="37">
        <f>'Таблица 3 '!C651</f>
        <v>10415854.960000001</v>
      </c>
      <c r="R662" s="37">
        <f t="shared" si="102"/>
        <v>10415854.960000001</v>
      </c>
      <c r="S662" s="37">
        <v>0</v>
      </c>
      <c r="T662" s="37">
        <f t="shared" si="104"/>
        <v>5132.4800236523115</v>
      </c>
      <c r="U662" s="37">
        <f t="shared" si="103"/>
        <v>5132.4800236523115</v>
      </c>
      <c r="V662" s="41" t="s">
        <v>572</v>
      </c>
      <c r="W662" s="60"/>
    </row>
    <row r="663" s="60" customFormat="1" ht="42.75">
      <c r="A663" s="33">
        <v>7</v>
      </c>
      <c r="B663" s="50" t="s">
        <v>659</v>
      </c>
      <c r="C663" s="33" t="s">
        <v>43</v>
      </c>
      <c r="D663" s="33">
        <v>1975</v>
      </c>
      <c r="E663" s="35" t="s">
        <v>39</v>
      </c>
      <c r="F663" s="33" t="s">
        <v>77</v>
      </c>
      <c r="G663" s="36">
        <v>5</v>
      </c>
      <c r="H663" s="36">
        <v>4</v>
      </c>
      <c r="I663" s="37">
        <v>2751.9000000000001</v>
      </c>
      <c r="J663" s="37">
        <v>2683.1100000000001</v>
      </c>
      <c r="K663" s="37">
        <v>2497.1100000000001</v>
      </c>
      <c r="L663" s="38">
        <v>136</v>
      </c>
      <c r="M663" s="39">
        <f t="shared" si="101"/>
        <v>700764</v>
      </c>
      <c r="N663" s="37">
        <v>0</v>
      </c>
      <c r="O663" s="37">
        <v>0</v>
      </c>
      <c r="P663" s="37">
        <v>0</v>
      </c>
      <c r="Q663" s="37">
        <f>'Таблица 3 '!C652</f>
        <v>700764</v>
      </c>
      <c r="R663" s="37">
        <f t="shared" si="102"/>
        <v>700764</v>
      </c>
      <c r="S663" s="37">
        <v>0</v>
      </c>
      <c r="T663" s="37">
        <f t="shared" si="104"/>
        <v>261.17602334604243</v>
      </c>
      <c r="U663" s="37">
        <f t="shared" si="103"/>
        <v>261.17602334604243</v>
      </c>
      <c r="V663" s="41" t="s">
        <v>572</v>
      </c>
      <c r="W663" s="60"/>
    </row>
    <row r="664" s="60" customFormat="1" ht="42.75">
      <c r="A664" s="33">
        <v>8</v>
      </c>
      <c r="B664" s="50" t="s">
        <v>341</v>
      </c>
      <c r="C664" s="33" t="s">
        <v>43</v>
      </c>
      <c r="D664" s="33">
        <v>1977</v>
      </c>
      <c r="E664" s="35" t="s">
        <v>39</v>
      </c>
      <c r="F664" s="33" t="s">
        <v>77</v>
      </c>
      <c r="G664" s="36">
        <v>2</v>
      </c>
      <c r="H664" s="36">
        <v>3</v>
      </c>
      <c r="I664" s="37">
        <v>885.89999999999998</v>
      </c>
      <c r="J664" s="37">
        <v>857.10000000000002</v>
      </c>
      <c r="K664" s="37">
        <v>857.10000000000002</v>
      </c>
      <c r="L664" s="38">
        <v>35</v>
      </c>
      <c r="M664" s="39">
        <f t="shared" si="101"/>
        <v>8155076.7599999998</v>
      </c>
      <c r="N664" s="37">
        <v>0</v>
      </c>
      <c r="O664" s="37">
        <v>0</v>
      </c>
      <c r="P664" s="37">
        <v>0</v>
      </c>
      <c r="Q664" s="37">
        <f>'Таблица 3 '!C653</f>
        <v>8155076.7599999998</v>
      </c>
      <c r="R664" s="37">
        <f t="shared" si="102"/>
        <v>8155076.7599999998</v>
      </c>
      <c r="S664" s="37">
        <v>0</v>
      </c>
      <c r="T664" s="37">
        <f t="shared" si="104"/>
        <v>9514.7319565978287</v>
      </c>
      <c r="U664" s="37">
        <f t="shared" si="103"/>
        <v>9514.7319565978287</v>
      </c>
      <c r="V664" s="41" t="s">
        <v>572</v>
      </c>
      <c r="W664" s="59"/>
    </row>
    <row r="665" s="60" customFormat="1" ht="42.75">
      <c r="A665" s="33">
        <v>9</v>
      </c>
      <c r="B665" s="50" t="s">
        <v>660</v>
      </c>
      <c r="C665" s="33" t="s">
        <v>43</v>
      </c>
      <c r="D665" s="33">
        <v>1988</v>
      </c>
      <c r="E665" s="35" t="s">
        <v>39</v>
      </c>
      <c r="F665" s="33" t="s">
        <v>77</v>
      </c>
      <c r="G665" s="36">
        <v>5</v>
      </c>
      <c r="H665" s="36">
        <v>8</v>
      </c>
      <c r="I665" s="37">
        <v>7760.3999999999996</v>
      </c>
      <c r="J665" s="37">
        <v>5417.3299999999999</v>
      </c>
      <c r="K665" s="37">
        <v>5255.0299999999997</v>
      </c>
      <c r="L665" s="38">
        <v>172</v>
      </c>
      <c r="M665" s="39">
        <f t="shared" si="101"/>
        <v>350382</v>
      </c>
      <c r="N665" s="37">
        <v>0</v>
      </c>
      <c r="O665" s="37">
        <v>0</v>
      </c>
      <c r="P665" s="37">
        <v>0</v>
      </c>
      <c r="Q665" s="37">
        <f>'Таблица 3 '!C654</f>
        <v>350382</v>
      </c>
      <c r="R665" s="37">
        <f t="shared" si="102"/>
        <v>350382</v>
      </c>
      <c r="S665" s="37">
        <v>0</v>
      </c>
      <c r="T665" s="37">
        <f t="shared" si="104"/>
        <v>64.677987126499588</v>
      </c>
      <c r="U665" s="37">
        <f t="shared" si="103"/>
        <v>64.677987126499588</v>
      </c>
      <c r="V665" s="41" t="s">
        <v>572</v>
      </c>
      <c r="W665" s="59"/>
    </row>
    <row r="666" s="60" customFormat="1" ht="42.75">
      <c r="A666" s="33">
        <v>10</v>
      </c>
      <c r="B666" s="50" t="s">
        <v>661</v>
      </c>
      <c r="C666" s="43" t="s">
        <v>43</v>
      </c>
      <c r="D666" s="33">
        <v>1977</v>
      </c>
      <c r="E666" s="44" t="s">
        <v>39</v>
      </c>
      <c r="F666" s="33" t="s">
        <v>77</v>
      </c>
      <c r="G666" s="45">
        <v>2</v>
      </c>
      <c r="H666" s="36">
        <v>3</v>
      </c>
      <c r="I666" s="46">
        <v>885.89999999999998</v>
      </c>
      <c r="J666" s="37">
        <v>857.10000000000002</v>
      </c>
      <c r="K666" s="46">
        <v>857.10000000000002</v>
      </c>
      <c r="L666" s="38">
        <v>35</v>
      </c>
      <c r="M666" s="39">
        <f t="shared" si="101"/>
        <v>2801087.1299999999</v>
      </c>
      <c r="N666" s="46">
        <v>0</v>
      </c>
      <c r="O666" s="37">
        <v>0</v>
      </c>
      <c r="P666" s="46">
        <v>0</v>
      </c>
      <c r="Q666" s="37">
        <f>'Таблица 3 '!C655</f>
        <v>2801087.1299999999</v>
      </c>
      <c r="R666" s="46">
        <f t="shared" si="102"/>
        <v>2801087.1299999999</v>
      </c>
      <c r="S666" s="37">
        <v>0</v>
      </c>
      <c r="T666" s="46">
        <f t="shared" si="104"/>
        <v>3268.0983899194957</v>
      </c>
      <c r="U666" s="37">
        <f t="shared" si="103"/>
        <v>3268.0983899194957</v>
      </c>
      <c r="V666" s="41" t="s">
        <v>572</v>
      </c>
      <c r="W666" s="59"/>
    </row>
    <row r="667" s="60" customFormat="1" ht="42.75">
      <c r="A667" s="33">
        <v>11</v>
      </c>
      <c r="B667" s="52" t="s">
        <v>662</v>
      </c>
      <c r="C667" s="33" t="s">
        <v>43</v>
      </c>
      <c r="D667" s="33">
        <v>1995</v>
      </c>
      <c r="E667" s="35" t="s">
        <v>39</v>
      </c>
      <c r="F667" s="33" t="s">
        <v>383</v>
      </c>
      <c r="G667" s="36">
        <v>5</v>
      </c>
      <c r="H667" s="36">
        <v>3</v>
      </c>
      <c r="I667" s="37">
        <v>3561.5</v>
      </c>
      <c r="J667" s="37">
        <v>3222.0999999999999</v>
      </c>
      <c r="K667" s="37">
        <v>2959.5</v>
      </c>
      <c r="L667" s="90">
        <v>172</v>
      </c>
      <c r="M667" s="39">
        <f t="shared" si="101"/>
        <v>8585330.9400000013</v>
      </c>
      <c r="N667" s="37">
        <v>0</v>
      </c>
      <c r="O667" s="37">
        <v>0</v>
      </c>
      <c r="P667" s="37">
        <v>0</v>
      </c>
      <c r="Q667" s="37">
        <f>'Таблица 3 '!C656</f>
        <v>8585330.9400000013</v>
      </c>
      <c r="R667" s="37">
        <f t="shared" si="102"/>
        <v>8585330.9400000013</v>
      </c>
      <c r="S667" s="37">
        <v>0</v>
      </c>
      <c r="T667" s="37">
        <f t="shared" si="104"/>
        <v>2664.5141181217223</v>
      </c>
      <c r="U667" s="46">
        <f t="shared" si="103"/>
        <v>2664.5141181217223</v>
      </c>
      <c r="V667" s="41" t="s">
        <v>572</v>
      </c>
      <c r="W667" s="59"/>
    </row>
    <row r="668" s="60" customFormat="1" ht="42.75">
      <c r="A668" s="33">
        <v>12</v>
      </c>
      <c r="B668" s="52" t="s">
        <v>663</v>
      </c>
      <c r="C668" s="33" t="s">
        <v>43</v>
      </c>
      <c r="D668" s="33">
        <v>1990</v>
      </c>
      <c r="E668" s="35" t="s">
        <v>39</v>
      </c>
      <c r="F668" s="33" t="s">
        <v>383</v>
      </c>
      <c r="G668" s="36">
        <v>5</v>
      </c>
      <c r="H668" s="36">
        <v>6</v>
      </c>
      <c r="I668" s="37">
        <v>5334.1000000000004</v>
      </c>
      <c r="J668" s="37">
        <v>4543.1999999999998</v>
      </c>
      <c r="K668" s="37">
        <v>4174.1000000000004</v>
      </c>
      <c r="L668" s="38">
        <v>230</v>
      </c>
      <c r="M668" s="39">
        <f t="shared" si="101"/>
        <v>1264545.6199999999</v>
      </c>
      <c r="N668" s="37">
        <v>0</v>
      </c>
      <c r="O668" s="37">
        <v>0</v>
      </c>
      <c r="P668" s="37">
        <v>0</v>
      </c>
      <c r="Q668" s="37">
        <f>'Таблица 3 '!C657</f>
        <v>1264545.6199999999</v>
      </c>
      <c r="R668" s="37">
        <f t="shared" si="102"/>
        <v>1264545.6199999999</v>
      </c>
      <c r="S668" s="37">
        <v>0</v>
      </c>
      <c r="T668" s="37">
        <f t="shared" si="104"/>
        <v>278.33809209367843</v>
      </c>
      <c r="U668" s="37">
        <f t="shared" si="103"/>
        <v>278.33809209367843</v>
      </c>
      <c r="V668" s="41" t="s">
        <v>572</v>
      </c>
      <c r="W668" s="59"/>
    </row>
    <row r="669" s="60" customFormat="1" ht="42.75">
      <c r="A669" s="33">
        <v>13</v>
      </c>
      <c r="B669" s="52" t="s">
        <v>664</v>
      </c>
      <c r="C669" s="33" t="s">
        <v>43</v>
      </c>
      <c r="D669" s="33">
        <v>1984</v>
      </c>
      <c r="E669" s="35" t="s">
        <v>39</v>
      </c>
      <c r="F669" s="43" t="s">
        <v>77</v>
      </c>
      <c r="G669" s="36">
        <v>5</v>
      </c>
      <c r="H669" s="36">
        <v>2</v>
      </c>
      <c r="I669" s="37">
        <v>982.70000000000005</v>
      </c>
      <c r="J669" s="37">
        <v>817.20000000000005</v>
      </c>
      <c r="K669" s="37">
        <v>817.20000000000005</v>
      </c>
      <c r="L669" s="38">
        <v>44</v>
      </c>
      <c r="M669" s="39">
        <f t="shared" si="101"/>
        <v>514815.55000000005</v>
      </c>
      <c r="N669" s="37">
        <v>0</v>
      </c>
      <c r="O669" s="37">
        <v>0</v>
      </c>
      <c r="P669" s="37">
        <v>0</v>
      </c>
      <c r="Q669" s="37">
        <f>'Таблица 3 '!C658</f>
        <v>514815.55000000005</v>
      </c>
      <c r="R669" s="37">
        <f t="shared" si="102"/>
        <v>514815.55000000005</v>
      </c>
      <c r="S669" s="37">
        <v>0</v>
      </c>
      <c r="T669" s="37">
        <f t="shared" si="104"/>
        <v>629.974975526187</v>
      </c>
      <c r="U669" s="37">
        <f t="shared" si="103"/>
        <v>629.974975526187</v>
      </c>
      <c r="V669" s="41" t="s">
        <v>572</v>
      </c>
      <c r="W669" s="59"/>
    </row>
    <row r="670" s="60" customFormat="1" ht="42.75">
      <c r="A670" s="33">
        <v>14</v>
      </c>
      <c r="B670" s="52" t="s">
        <v>347</v>
      </c>
      <c r="C670" s="33" t="s">
        <v>43</v>
      </c>
      <c r="D670" s="33">
        <v>1980</v>
      </c>
      <c r="E670" s="35" t="s">
        <v>39</v>
      </c>
      <c r="F670" s="33" t="s">
        <v>77</v>
      </c>
      <c r="G670" s="36">
        <v>3</v>
      </c>
      <c r="H670" s="36">
        <v>3</v>
      </c>
      <c r="I670" s="37">
        <v>1144.5</v>
      </c>
      <c r="J670" s="37">
        <v>1043.8</v>
      </c>
      <c r="K670" s="37">
        <v>987.39999999999998</v>
      </c>
      <c r="L670" s="38">
        <v>60</v>
      </c>
      <c r="M670" s="39">
        <f t="shared" si="101"/>
        <v>2310819.5899999999</v>
      </c>
      <c r="N670" s="37">
        <v>0</v>
      </c>
      <c r="O670" s="37">
        <v>0</v>
      </c>
      <c r="P670" s="37">
        <v>0</v>
      </c>
      <c r="Q670" s="37">
        <f>'Таблица 3 '!C659</f>
        <v>2310819.5899999999</v>
      </c>
      <c r="R670" s="37">
        <f t="shared" si="102"/>
        <v>2310819.5899999999</v>
      </c>
      <c r="S670" s="37">
        <v>0</v>
      </c>
      <c r="T670" s="37">
        <f t="shared" si="104"/>
        <v>2213.8528357922974</v>
      </c>
      <c r="U670" s="37">
        <f t="shared" si="103"/>
        <v>2213.8528357922974</v>
      </c>
      <c r="V670" s="41" t="s">
        <v>572</v>
      </c>
      <c r="W670" s="60"/>
    </row>
    <row r="671" s="60" customFormat="1" ht="27" customHeight="1">
      <c r="A671" s="25" t="s">
        <v>348</v>
      </c>
      <c r="B671" s="25"/>
      <c r="C671" s="26" t="s">
        <v>39</v>
      </c>
      <c r="D671" s="26" t="s">
        <v>39</v>
      </c>
      <c r="E671" s="27" t="s">
        <v>39</v>
      </c>
      <c r="F671" s="26" t="s">
        <v>39</v>
      </c>
      <c r="G671" s="28" t="s">
        <v>39</v>
      </c>
      <c r="H671" s="28" t="s">
        <v>39</v>
      </c>
      <c r="I671" s="64">
        <f>SUM(I672:I675)</f>
        <v>4083.0999999999999</v>
      </c>
      <c r="J671" s="64">
        <f>SUM(J672:J675)</f>
        <v>2609</v>
      </c>
      <c r="K671" s="64">
        <f>SUM(K672:K675)</f>
        <v>2504.9000000000001</v>
      </c>
      <c r="L671" s="65">
        <f>SUM(L672:L675)</f>
        <v>138</v>
      </c>
      <c r="M671" s="64">
        <f>SUM(M672:M675)</f>
        <v>24627490.689999998</v>
      </c>
      <c r="N671" s="64">
        <f>SUM(N672:N675)</f>
        <v>0</v>
      </c>
      <c r="O671" s="64">
        <f>SUM(O672:O675)</f>
        <v>0</v>
      </c>
      <c r="P671" s="64">
        <f>SUM(P672:P675)</f>
        <v>0</v>
      </c>
      <c r="Q671" s="64">
        <f>SUM(Q672:Q675)</f>
        <v>24627490.689999998</v>
      </c>
      <c r="R671" s="64">
        <f>SUM(R672:R675)</f>
        <v>24627490.689999998</v>
      </c>
      <c r="S671" s="64">
        <f>SUM(S672:S675)</f>
        <v>0</v>
      </c>
      <c r="T671" s="32" t="s">
        <v>39</v>
      </c>
      <c r="U671" s="32" t="s">
        <v>39</v>
      </c>
      <c r="V671" s="63" t="s">
        <v>39</v>
      </c>
      <c r="W671" s="60"/>
    </row>
    <row r="672" s="60" customFormat="1" ht="42.75" customHeight="1">
      <c r="A672" s="33">
        <v>1</v>
      </c>
      <c r="B672" s="50" t="s">
        <v>665</v>
      </c>
      <c r="C672" s="33" t="s">
        <v>43</v>
      </c>
      <c r="D672" s="33">
        <v>1976</v>
      </c>
      <c r="E672" s="35" t="s">
        <v>39</v>
      </c>
      <c r="F672" s="33" t="s">
        <v>77</v>
      </c>
      <c r="G672" s="36">
        <v>2</v>
      </c>
      <c r="H672" s="36">
        <v>2</v>
      </c>
      <c r="I672" s="37">
        <v>1229</v>
      </c>
      <c r="J672" s="37">
        <v>712.10000000000002</v>
      </c>
      <c r="K672" s="37">
        <v>638.5</v>
      </c>
      <c r="L672" s="38">
        <v>24</v>
      </c>
      <c r="M672" s="39">
        <f t="shared" ref="M672:M675" si="105">SUM(N672:Q672)</f>
        <v>6697452.25</v>
      </c>
      <c r="N672" s="37">
        <v>0</v>
      </c>
      <c r="O672" s="37">
        <v>0</v>
      </c>
      <c r="P672" s="37">
        <v>0</v>
      </c>
      <c r="Q672" s="37">
        <f>'Таблица 3 '!C661</f>
        <v>6697452.25</v>
      </c>
      <c r="R672" s="37">
        <f t="shared" ref="R672:R675" si="106">Q672</f>
        <v>6697452.25</v>
      </c>
      <c r="S672" s="37">
        <v>0</v>
      </c>
      <c r="T672" s="37">
        <f t="shared" si="104"/>
        <v>9405.2131020924026</v>
      </c>
      <c r="U672" s="37">
        <f t="shared" ref="U672:U735" si="107">T672</f>
        <v>9405.2131020924026</v>
      </c>
      <c r="V672" s="72" t="s">
        <v>572</v>
      </c>
      <c r="W672" s="60"/>
    </row>
    <row r="673" s="60" customFormat="1" ht="42.75" customHeight="1">
      <c r="A673" s="33">
        <v>2</v>
      </c>
      <c r="B673" s="50" t="s">
        <v>666</v>
      </c>
      <c r="C673" s="33" t="s">
        <v>43</v>
      </c>
      <c r="D673" s="35" t="s">
        <v>109</v>
      </c>
      <c r="E673" s="35">
        <v>2021</v>
      </c>
      <c r="F673" s="33" t="s">
        <v>77</v>
      </c>
      <c r="G673" s="36">
        <v>2</v>
      </c>
      <c r="H673" s="36">
        <v>2</v>
      </c>
      <c r="I673" s="39">
        <v>994.10000000000002</v>
      </c>
      <c r="J673" s="39">
        <v>569.29999999999995</v>
      </c>
      <c r="K673" s="39">
        <v>569.29999999999995</v>
      </c>
      <c r="L673" s="38">
        <v>35</v>
      </c>
      <c r="M673" s="39">
        <f t="shared" si="105"/>
        <v>5407648.3499999996</v>
      </c>
      <c r="N673" s="37">
        <v>0</v>
      </c>
      <c r="O673" s="37">
        <v>0</v>
      </c>
      <c r="P673" s="37">
        <v>0</v>
      </c>
      <c r="Q673" s="37">
        <f>'Таблица 3 '!C662</f>
        <v>5407648.3499999996</v>
      </c>
      <c r="R673" s="37">
        <f t="shared" si="106"/>
        <v>5407648.3499999996</v>
      </c>
      <c r="S673" s="37">
        <v>0</v>
      </c>
      <c r="T673" s="37">
        <f t="shared" si="104"/>
        <v>9498.7675215176532</v>
      </c>
      <c r="U673" s="37">
        <f t="shared" si="107"/>
        <v>9498.7675215176532</v>
      </c>
      <c r="V673" s="72" t="s">
        <v>572</v>
      </c>
      <c r="W673" s="60"/>
    </row>
    <row r="674" s="60" customFormat="1" ht="42.75" customHeight="1">
      <c r="A674" s="33">
        <v>3</v>
      </c>
      <c r="B674" s="50" t="s">
        <v>667</v>
      </c>
      <c r="C674" s="33" t="s">
        <v>43</v>
      </c>
      <c r="D674" s="33">
        <v>1979</v>
      </c>
      <c r="E674" s="35">
        <v>2021</v>
      </c>
      <c r="F674" s="33" t="s">
        <v>77</v>
      </c>
      <c r="G674" s="36">
        <v>2</v>
      </c>
      <c r="H674" s="36">
        <v>2</v>
      </c>
      <c r="I674" s="37">
        <v>1196</v>
      </c>
      <c r="J674" s="37">
        <v>749</v>
      </c>
      <c r="K674" s="37">
        <v>718.5</v>
      </c>
      <c r="L674" s="38">
        <v>51</v>
      </c>
      <c r="M674" s="39">
        <f t="shared" si="105"/>
        <v>7030741.9100000001</v>
      </c>
      <c r="N674" s="37">
        <v>0</v>
      </c>
      <c r="O674" s="37">
        <v>0</v>
      </c>
      <c r="P674" s="37">
        <v>0</v>
      </c>
      <c r="Q674" s="37">
        <f>'Таблица 3 '!C663</f>
        <v>7030741.9100000001</v>
      </c>
      <c r="R674" s="37">
        <f t="shared" si="106"/>
        <v>7030741.9100000001</v>
      </c>
      <c r="S674" s="37">
        <v>0</v>
      </c>
      <c r="T674" s="37">
        <f t="shared" si="104"/>
        <v>9386.8383311081452</v>
      </c>
      <c r="U674" s="37">
        <f t="shared" si="107"/>
        <v>9386.8383311081452</v>
      </c>
      <c r="V674" s="72" t="s">
        <v>572</v>
      </c>
      <c r="W674" s="60"/>
    </row>
    <row r="675" s="60" customFormat="1" ht="42.75" customHeight="1">
      <c r="A675" s="33">
        <v>4</v>
      </c>
      <c r="B675" s="50" t="s">
        <v>668</v>
      </c>
      <c r="C675" s="33" t="s">
        <v>43</v>
      </c>
      <c r="D675" s="33">
        <v>1988</v>
      </c>
      <c r="E675" s="35" t="s">
        <v>39</v>
      </c>
      <c r="F675" s="33" t="s">
        <v>77</v>
      </c>
      <c r="G675" s="36">
        <v>2</v>
      </c>
      <c r="H675" s="36">
        <v>2</v>
      </c>
      <c r="I675" s="37">
        <v>664</v>
      </c>
      <c r="J675" s="37">
        <v>578.60000000000002</v>
      </c>
      <c r="K675" s="37">
        <v>578.60000000000002</v>
      </c>
      <c r="L675" s="38">
        <v>28</v>
      </c>
      <c r="M675" s="39">
        <f t="shared" si="105"/>
        <v>5491648.1799999997</v>
      </c>
      <c r="N675" s="37">
        <v>0</v>
      </c>
      <c r="O675" s="37">
        <v>0</v>
      </c>
      <c r="P675" s="37">
        <v>0</v>
      </c>
      <c r="Q675" s="37">
        <f>'Таблица 3 '!C664</f>
        <v>5491648.1799999997</v>
      </c>
      <c r="R675" s="37">
        <f t="shared" si="106"/>
        <v>5491648.1799999997</v>
      </c>
      <c r="S675" s="37">
        <v>0</v>
      </c>
      <c r="T675" s="37">
        <f t="shared" si="104"/>
        <v>9491.2688904251627</v>
      </c>
      <c r="U675" s="37">
        <f t="shared" si="107"/>
        <v>9491.2688904251627</v>
      </c>
      <c r="V675" s="72" t="s">
        <v>572</v>
      </c>
      <c r="W675" s="60"/>
    </row>
    <row r="676" s="31" customFormat="1" ht="23.399999999999999" customHeight="1">
      <c r="A676" s="25" t="s">
        <v>350</v>
      </c>
      <c r="B676" s="25"/>
      <c r="C676" s="28" t="s">
        <v>40</v>
      </c>
      <c r="D676" s="28" t="s">
        <v>40</v>
      </c>
      <c r="E676" s="66" t="s">
        <v>40</v>
      </c>
      <c r="F676" s="28" t="s">
        <v>40</v>
      </c>
      <c r="G676" s="28" t="s">
        <v>40</v>
      </c>
      <c r="H676" s="28" t="s">
        <v>40</v>
      </c>
      <c r="I676" s="70">
        <f>SUM(I677:I682)</f>
        <v>16337.700000000001</v>
      </c>
      <c r="J676" s="70">
        <f>SUM(J677:J682)</f>
        <v>14930.099999999999</v>
      </c>
      <c r="K676" s="70">
        <f>SUM(K677:K682)</f>
        <v>13358.899999999998</v>
      </c>
      <c r="L676" s="71">
        <f>SUM(L677:L682)</f>
        <v>464</v>
      </c>
      <c r="M676" s="70">
        <f>SUM(M677:M682)</f>
        <v>49733577.299999997</v>
      </c>
      <c r="N676" s="70">
        <f>SUM(N677:N682)</f>
        <v>0</v>
      </c>
      <c r="O676" s="70">
        <f>SUM(O677:O682)</f>
        <v>0</v>
      </c>
      <c r="P676" s="70">
        <f>SUM(P677:P682)</f>
        <v>0</v>
      </c>
      <c r="Q676" s="70">
        <f>SUM(Q677:Q682)</f>
        <v>49733577.299999997</v>
      </c>
      <c r="R676" s="70">
        <f>SUM(R677:R682)</f>
        <v>49733577.299999997</v>
      </c>
      <c r="S676" s="70">
        <f>SUM(S677:S682)</f>
        <v>0</v>
      </c>
      <c r="T676" s="32" t="s">
        <v>40</v>
      </c>
      <c r="U676" s="32" t="s">
        <v>40</v>
      </c>
      <c r="V676" s="28" t="s">
        <v>40</v>
      </c>
      <c r="W676" s="31"/>
    </row>
    <row r="677" s="59" customFormat="1" ht="45" customHeight="1">
      <c r="A677" s="36">
        <v>1</v>
      </c>
      <c r="B677" s="74" t="s">
        <v>353</v>
      </c>
      <c r="C677" s="33" t="s">
        <v>43</v>
      </c>
      <c r="D677" s="36">
        <v>1987</v>
      </c>
      <c r="E677" s="67" t="s">
        <v>39</v>
      </c>
      <c r="F677" s="33" t="s">
        <v>77</v>
      </c>
      <c r="G677" s="36">
        <v>3</v>
      </c>
      <c r="H677" s="36">
        <v>1</v>
      </c>
      <c r="I677" s="37">
        <v>557.39999999999998</v>
      </c>
      <c r="J677" s="37">
        <v>495.39999999999998</v>
      </c>
      <c r="K677" s="37">
        <v>495.39999999999998</v>
      </c>
      <c r="L677" s="38">
        <v>14</v>
      </c>
      <c r="M677" s="39">
        <f t="shared" ref="M677:M682" si="108">SUM(N677:Q677)</f>
        <v>1214796.1099999999</v>
      </c>
      <c r="N677" s="39">
        <v>0</v>
      </c>
      <c r="O677" s="39">
        <v>0</v>
      </c>
      <c r="P677" s="39">
        <v>0</v>
      </c>
      <c r="Q677" s="39">
        <f>'Таблица 3 '!C666</f>
        <v>1214796.1099999999</v>
      </c>
      <c r="R677" s="37">
        <f t="shared" ref="R677:R682" si="109">Q677</f>
        <v>1214796.1099999999</v>
      </c>
      <c r="S677" s="37">
        <v>0</v>
      </c>
      <c r="T677" s="37">
        <f t="shared" si="104"/>
        <v>2452.1520185708519</v>
      </c>
      <c r="U677" s="37">
        <f t="shared" si="107"/>
        <v>2452.1520185708519</v>
      </c>
      <c r="V677" s="41" t="s">
        <v>572</v>
      </c>
      <c r="W677" s="59"/>
    </row>
    <row r="678" s="59" customFormat="1" ht="45" customHeight="1">
      <c r="A678" s="36">
        <v>2</v>
      </c>
      <c r="B678" s="74" t="s">
        <v>669</v>
      </c>
      <c r="C678" s="33" t="s">
        <v>43</v>
      </c>
      <c r="D678" s="36">
        <v>1991</v>
      </c>
      <c r="E678" s="67" t="s">
        <v>39</v>
      </c>
      <c r="F678" s="33" t="s">
        <v>77</v>
      </c>
      <c r="G678" s="36">
        <v>5</v>
      </c>
      <c r="H678" s="36">
        <v>6</v>
      </c>
      <c r="I678" s="37">
        <v>5061.3000000000002</v>
      </c>
      <c r="J678" s="37">
        <v>4691</v>
      </c>
      <c r="K678" s="37">
        <v>4201.3999999999996</v>
      </c>
      <c r="L678" s="90">
        <v>117</v>
      </c>
      <c r="M678" s="39">
        <f t="shared" si="108"/>
        <v>24929588.640000001</v>
      </c>
      <c r="N678" s="39">
        <v>0</v>
      </c>
      <c r="O678" s="39">
        <v>0</v>
      </c>
      <c r="P678" s="39">
        <v>0</v>
      </c>
      <c r="Q678" s="39">
        <f>'Таблица 3 '!C667</f>
        <v>24929588.640000001</v>
      </c>
      <c r="R678" s="37">
        <f t="shared" si="109"/>
        <v>24929588.640000001</v>
      </c>
      <c r="S678" s="37">
        <v>0</v>
      </c>
      <c r="T678" s="37">
        <f t="shared" si="104"/>
        <v>5314.3441995310168</v>
      </c>
      <c r="U678" s="46">
        <f t="shared" si="107"/>
        <v>5314.3441995310168</v>
      </c>
      <c r="V678" s="41" t="s">
        <v>572</v>
      </c>
      <c r="W678" s="59"/>
    </row>
    <row r="679" s="60" customFormat="1" ht="45" customHeight="1">
      <c r="A679" s="36">
        <v>3</v>
      </c>
      <c r="B679" s="74" t="s">
        <v>353</v>
      </c>
      <c r="C679" s="43" t="s">
        <v>43</v>
      </c>
      <c r="D679" s="36">
        <v>1994</v>
      </c>
      <c r="E679" s="145">
        <v>2023</v>
      </c>
      <c r="F679" s="33" t="s">
        <v>77</v>
      </c>
      <c r="G679" s="45">
        <v>5</v>
      </c>
      <c r="H679" s="36">
        <v>6</v>
      </c>
      <c r="I679" s="46">
        <v>4739</v>
      </c>
      <c r="J679" s="37">
        <v>4196.1999999999998</v>
      </c>
      <c r="K679" s="46">
        <v>4027.3000000000002</v>
      </c>
      <c r="L679" s="38">
        <v>152</v>
      </c>
      <c r="M679" s="39">
        <f t="shared" si="108"/>
        <v>6394852.0100000007</v>
      </c>
      <c r="N679" s="39">
        <v>0</v>
      </c>
      <c r="O679" s="39">
        <v>0</v>
      </c>
      <c r="P679" s="39">
        <v>0</v>
      </c>
      <c r="Q679" s="39">
        <f>'Таблица 3 '!C668</f>
        <v>6394852.0100000007</v>
      </c>
      <c r="R679" s="46">
        <f t="shared" si="109"/>
        <v>6394852.0100000007</v>
      </c>
      <c r="S679" s="37">
        <v>0</v>
      </c>
      <c r="T679" s="46">
        <f t="shared" si="104"/>
        <v>1523.9626352414091</v>
      </c>
      <c r="U679" s="37">
        <f t="shared" si="107"/>
        <v>1523.9626352414091</v>
      </c>
      <c r="V679" s="41" t="s">
        <v>572</v>
      </c>
      <c r="W679" s="60"/>
    </row>
    <row r="680" s="60" customFormat="1" ht="45" customHeight="1">
      <c r="A680" s="36">
        <v>4</v>
      </c>
      <c r="B680" s="74" t="s">
        <v>355</v>
      </c>
      <c r="C680" s="33" t="s">
        <v>43</v>
      </c>
      <c r="D680" s="36">
        <v>1974</v>
      </c>
      <c r="E680" s="67" t="s">
        <v>40</v>
      </c>
      <c r="F680" s="33" t="s">
        <v>77</v>
      </c>
      <c r="G680" s="36">
        <v>2</v>
      </c>
      <c r="H680" s="36">
        <v>2</v>
      </c>
      <c r="I680" s="37">
        <v>782</v>
      </c>
      <c r="J680" s="37">
        <v>726.29999999999995</v>
      </c>
      <c r="K680" s="37">
        <v>685.79999999999995</v>
      </c>
      <c r="L680" s="90">
        <v>29</v>
      </c>
      <c r="M680" s="39">
        <f t="shared" si="108"/>
        <v>2155053.3900000001</v>
      </c>
      <c r="N680" s="39">
        <v>0</v>
      </c>
      <c r="O680" s="39">
        <v>0</v>
      </c>
      <c r="P680" s="39">
        <v>0</v>
      </c>
      <c r="Q680" s="39">
        <f>'Таблица 3 '!C669</f>
        <v>2155053.3900000001</v>
      </c>
      <c r="R680" s="37">
        <f t="shared" si="109"/>
        <v>2155053.3900000001</v>
      </c>
      <c r="S680" s="37">
        <v>0</v>
      </c>
      <c r="T680" s="37">
        <f t="shared" si="104"/>
        <v>2967.166997108633</v>
      </c>
      <c r="U680" s="46">
        <f t="shared" si="107"/>
        <v>2967.166997108633</v>
      </c>
      <c r="V680" s="41" t="s">
        <v>572</v>
      </c>
      <c r="W680" s="60"/>
    </row>
    <row r="681" s="60" customFormat="1" ht="45" customHeight="1">
      <c r="A681" s="36">
        <v>5</v>
      </c>
      <c r="B681" s="74" t="s">
        <v>355</v>
      </c>
      <c r="C681" s="43" t="s">
        <v>43</v>
      </c>
      <c r="D681" s="36">
        <v>1976</v>
      </c>
      <c r="E681" s="145" t="s">
        <v>40</v>
      </c>
      <c r="F681" s="33" t="s">
        <v>77</v>
      </c>
      <c r="G681" s="45">
        <v>2</v>
      </c>
      <c r="H681" s="36">
        <v>2</v>
      </c>
      <c r="I681" s="46">
        <v>970.39999999999998</v>
      </c>
      <c r="J681" s="37">
        <v>526.89999999999998</v>
      </c>
      <c r="K681" s="37">
        <v>526.89999999999998</v>
      </c>
      <c r="L681" s="38">
        <v>17</v>
      </c>
      <c r="M681" s="39">
        <f t="shared" si="108"/>
        <v>2153151.21</v>
      </c>
      <c r="N681" s="39">
        <v>0</v>
      </c>
      <c r="O681" s="39">
        <v>0</v>
      </c>
      <c r="P681" s="39">
        <v>0</v>
      </c>
      <c r="Q681" s="39">
        <f>'Таблица 3 '!C670</f>
        <v>2153151.21</v>
      </c>
      <c r="R681" s="46">
        <f t="shared" si="109"/>
        <v>2153151.21</v>
      </c>
      <c r="S681" s="37">
        <v>0</v>
      </c>
      <c r="T681" s="37">
        <f t="shared" si="104"/>
        <v>4086.4513380148037</v>
      </c>
      <c r="U681" s="37">
        <f t="shared" si="107"/>
        <v>4086.4513380148037</v>
      </c>
      <c r="V681" s="41" t="s">
        <v>572</v>
      </c>
      <c r="W681" s="59"/>
    </row>
    <row r="682" s="59" customFormat="1" ht="45" customHeight="1">
      <c r="A682" s="36">
        <v>6</v>
      </c>
      <c r="B682" s="50" t="s">
        <v>356</v>
      </c>
      <c r="C682" s="33" t="s">
        <v>43</v>
      </c>
      <c r="D682" s="45">
        <v>1995</v>
      </c>
      <c r="E682" s="67">
        <v>2023</v>
      </c>
      <c r="F682" s="43" t="s">
        <v>77</v>
      </c>
      <c r="G682" s="36">
        <v>5</v>
      </c>
      <c r="H682" s="45">
        <v>5</v>
      </c>
      <c r="I682" s="37">
        <v>4227.6000000000004</v>
      </c>
      <c r="J682" s="46">
        <v>4294.3000000000002</v>
      </c>
      <c r="K682" s="37">
        <v>3422.0999999999999</v>
      </c>
      <c r="L682" s="90">
        <v>135</v>
      </c>
      <c r="M682" s="39">
        <f t="shared" si="108"/>
        <v>12886135.939999999</v>
      </c>
      <c r="N682" s="46">
        <v>0</v>
      </c>
      <c r="O682" s="37">
        <v>0</v>
      </c>
      <c r="P682" s="46">
        <v>0</v>
      </c>
      <c r="Q682" s="39">
        <f>'Таблица 3 '!C671</f>
        <v>12886135.939999999</v>
      </c>
      <c r="R682" s="37">
        <f t="shared" si="109"/>
        <v>12886135.939999999</v>
      </c>
      <c r="S682" s="46">
        <v>0</v>
      </c>
      <c r="T682" s="37">
        <f t="shared" si="104"/>
        <v>3000.753543068719</v>
      </c>
      <c r="U682" s="46">
        <f t="shared" si="107"/>
        <v>3000.753543068719</v>
      </c>
      <c r="V682" s="41" t="s">
        <v>572</v>
      </c>
      <c r="W682" s="59"/>
    </row>
    <row r="683" s="31" customFormat="1" ht="25.800000000000001" customHeight="1">
      <c r="A683" s="25" t="s">
        <v>359</v>
      </c>
      <c r="B683" s="25"/>
      <c r="C683" s="28" t="s">
        <v>39</v>
      </c>
      <c r="D683" s="28" t="s">
        <v>39</v>
      </c>
      <c r="E683" s="66" t="s">
        <v>39</v>
      </c>
      <c r="F683" s="28" t="s">
        <v>39</v>
      </c>
      <c r="G683" s="28" t="s">
        <v>39</v>
      </c>
      <c r="H683" s="28" t="s">
        <v>39</v>
      </c>
      <c r="I683" s="64">
        <f>SUM(I684:I686)</f>
        <v>4592.7999999999993</v>
      </c>
      <c r="J683" s="64">
        <f>SUM(J684:J686)</f>
        <v>4148.1999999999998</v>
      </c>
      <c r="K683" s="64">
        <f>SUM(K684:K686)</f>
        <v>4124.6999999999998</v>
      </c>
      <c r="L683" s="65">
        <f>SUM(L684:L686)</f>
        <v>142</v>
      </c>
      <c r="M683" s="64">
        <f>SUM(M684:M686)</f>
        <v>15570337.899999999</v>
      </c>
      <c r="N683" s="64">
        <f>SUM(N684:N686)</f>
        <v>0</v>
      </c>
      <c r="O683" s="64">
        <f>SUM(O684:O686)</f>
        <v>0</v>
      </c>
      <c r="P683" s="64">
        <f>SUM(P684:P686)</f>
        <v>0</v>
      </c>
      <c r="Q683" s="64">
        <f>SUM(Q684:Q686)</f>
        <v>15570337.899999999</v>
      </c>
      <c r="R683" s="64">
        <f>SUM(R684:R686)</f>
        <v>15570337.899999999</v>
      </c>
      <c r="S683" s="64">
        <f>SUM(S684:S686)</f>
        <v>0</v>
      </c>
      <c r="T683" s="32" t="s">
        <v>39</v>
      </c>
      <c r="U683" s="32" t="s">
        <v>39</v>
      </c>
      <c r="V683" s="66" t="s">
        <v>39</v>
      </c>
      <c r="W683" s="31"/>
    </row>
    <row r="684" s="60" customFormat="1" ht="43.799999999999997" customHeight="1">
      <c r="A684" s="36">
        <v>1</v>
      </c>
      <c r="B684" s="75" t="s">
        <v>360</v>
      </c>
      <c r="C684" s="33" t="s">
        <v>43</v>
      </c>
      <c r="D684" s="33">
        <v>1989</v>
      </c>
      <c r="E684" s="35" t="s">
        <v>40</v>
      </c>
      <c r="F684" s="33" t="s">
        <v>48</v>
      </c>
      <c r="G684" s="36">
        <v>2</v>
      </c>
      <c r="H684" s="36">
        <v>3</v>
      </c>
      <c r="I684" s="37">
        <v>3689</v>
      </c>
      <c r="J684" s="37">
        <v>3331.5</v>
      </c>
      <c r="K684" s="37">
        <v>3308</v>
      </c>
      <c r="L684" s="38">
        <v>105</v>
      </c>
      <c r="M684" s="39">
        <f t="shared" ref="M684:M686" si="110">SUM(N684:Q684)</f>
        <v>9600553.5700000003</v>
      </c>
      <c r="N684" s="37">
        <v>0</v>
      </c>
      <c r="O684" s="37">
        <v>0</v>
      </c>
      <c r="P684" s="37">
        <v>0</v>
      </c>
      <c r="Q684" s="37">
        <f>'Таблица 3 '!C673</f>
        <v>9600553.5700000003</v>
      </c>
      <c r="R684" s="37">
        <f t="shared" ref="R684:R686" si="111">Q684</f>
        <v>9600553.5700000003</v>
      </c>
      <c r="S684" s="37">
        <v>0</v>
      </c>
      <c r="T684" s="37">
        <f t="shared" si="104"/>
        <v>2881.7510340687377</v>
      </c>
      <c r="U684" s="37">
        <f t="shared" si="107"/>
        <v>2881.7510340687377</v>
      </c>
      <c r="V684" s="41" t="s">
        <v>572</v>
      </c>
      <c r="W684" s="60"/>
    </row>
    <row r="685" s="60" customFormat="1" ht="43.799999999999997" customHeight="1">
      <c r="A685" s="36">
        <v>2</v>
      </c>
      <c r="B685" s="75" t="s">
        <v>670</v>
      </c>
      <c r="C685" s="43" t="s">
        <v>43</v>
      </c>
      <c r="D685" s="33">
        <v>1989</v>
      </c>
      <c r="E685" s="44" t="s">
        <v>39</v>
      </c>
      <c r="F685" s="33" t="s">
        <v>517</v>
      </c>
      <c r="G685" s="45">
        <v>2</v>
      </c>
      <c r="H685" s="36">
        <v>2</v>
      </c>
      <c r="I685" s="46">
        <v>420.39999999999998</v>
      </c>
      <c r="J685" s="37">
        <v>406</v>
      </c>
      <c r="K685" s="46">
        <v>406</v>
      </c>
      <c r="L685" s="38">
        <v>21</v>
      </c>
      <c r="M685" s="39">
        <f t="shared" si="110"/>
        <v>1091432.03</v>
      </c>
      <c r="N685" s="46">
        <v>0</v>
      </c>
      <c r="O685" s="37">
        <v>0</v>
      </c>
      <c r="P685" s="46">
        <v>0</v>
      </c>
      <c r="Q685" s="37">
        <f>'Таблица 3 '!C674</f>
        <v>1091432.03</v>
      </c>
      <c r="R685" s="46">
        <f t="shared" si="111"/>
        <v>1091432.03</v>
      </c>
      <c r="S685" s="37">
        <v>0</v>
      </c>
      <c r="T685" s="46">
        <f t="shared" si="104"/>
        <v>2688.2562315270939</v>
      </c>
      <c r="U685" s="37">
        <f t="shared" si="107"/>
        <v>2688.2562315270939</v>
      </c>
      <c r="V685" s="41" t="s">
        <v>572</v>
      </c>
      <c r="W685" s="59"/>
    </row>
    <row r="686" s="60" customFormat="1" ht="43.799999999999997" customHeight="1">
      <c r="A686" s="36">
        <v>3</v>
      </c>
      <c r="B686" s="75" t="s">
        <v>671</v>
      </c>
      <c r="C686" s="33" t="s">
        <v>43</v>
      </c>
      <c r="D686" s="36">
        <v>1991</v>
      </c>
      <c r="E686" s="67">
        <v>2024</v>
      </c>
      <c r="F686" s="36" t="s">
        <v>517</v>
      </c>
      <c r="G686" s="36">
        <v>2</v>
      </c>
      <c r="H686" s="36">
        <v>2</v>
      </c>
      <c r="I686" s="37">
        <v>483.39999999999998</v>
      </c>
      <c r="J686" s="37">
        <v>410.69999999999999</v>
      </c>
      <c r="K686" s="37">
        <v>410.69999999999999</v>
      </c>
      <c r="L686" s="38">
        <v>16</v>
      </c>
      <c r="M686" s="39">
        <f t="shared" si="110"/>
        <v>4878352.2999999998</v>
      </c>
      <c r="N686" s="37">
        <v>0</v>
      </c>
      <c r="O686" s="37">
        <v>0</v>
      </c>
      <c r="P686" s="37">
        <v>0</v>
      </c>
      <c r="Q686" s="37">
        <f>'Таблица 3 '!C675</f>
        <v>4878352.2999999998</v>
      </c>
      <c r="R686" s="37">
        <f t="shared" si="111"/>
        <v>4878352.2999999998</v>
      </c>
      <c r="S686" s="37">
        <v>0</v>
      </c>
      <c r="T686" s="37">
        <f t="shared" si="104"/>
        <v>11878.140491843194</v>
      </c>
      <c r="U686" s="37">
        <f t="shared" si="107"/>
        <v>11878.140491843194</v>
      </c>
      <c r="V686" s="41" t="s">
        <v>572</v>
      </c>
      <c r="W686" s="60"/>
    </row>
    <row r="687" s="31" customFormat="1" ht="24.75" customHeight="1">
      <c r="A687" s="61" t="s">
        <v>672</v>
      </c>
      <c r="B687" s="61"/>
      <c r="C687" s="26" t="s">
        <v>39</v>
      </c>
      <c r="D687" s="26" t="s">
        <v>39</v>
      </c>
      <c r="E687" s="27" t="s">
        <v>39</v>
      </c>
      <c r="F687" s="26" t="s">
        <v>39</v>
      </c>
      <c r="G687" s="28" t="s">
        <v>39</v>
      </c>
      <c r="H687" s="28" t="s">
        <v>39</v>
      </c>
      <c r="I687" s="146">
        <f>SUM(I688:I689)</f>
        <v>1148.3</v>
      </c>
      <c r="J687" s="146">
        <f>SUM(J688:J689)</f>
        <v>1111.9200000000001</v>
      </c>
      <c r="K687" s="146">
        <f>SUM(K688:K689)</f>
        <v>1068.02</v>
      </c>
      <c r="L687" s="147">
        <f>SUM(L688:L689)</f>
        <v>60</v>
      </c>
      <c r="M687" s="146">
        <f>SUM(M688:M689)</f>
        <v>1522073.6799999999</v>
      </c>
      <c r="N687" s="146">
        <f>SUM(N688:N689)</f>
        <v>0</v>
      </c>
      <c r="O687" s="146">
        <f>SUM(O688:O689)</f>
        <v>0</v>
      </c>
      <c r="P687" s="146">
        <f>SUM(P688:P689)</f>
        <v>0</v>
      </c>
      <c r="Q687" s="146">
        <f>SUM(Q688:Q689)</f>
        <v>1522073.6799999999</v>
      </c>
      <c r="R687" s="146">
        <f>SUM(R688:R689)</f>
        <v>1522073.6799999999</v>
      </c>
      <c r="S687" s="146">
        <f>SUM(S688:S689)</f>
        <v>0</v>
      </c>
      <c r="T687" s="32" t="s">
        <v>39</v>
      </c>
      <c r="U687" s="32" t="s">
        <v>39</v>
      </c>
      <c r="V687" s="28" t="s">
        <v>39</v>
      </c>
      <c r="W687" s="31"/>
    </row>
    <row r="688" s="60" customFormat="1" ht="42.75">
      <c r="A688" s="33">
        <v>1</v>
      </c>
      <c r="B688" s="34" t="s">
        <v>673</v>
      </c>
      <c r="C688" s="33" t="s">
        <v>43</v>
      </c>
      <c r="D688" s="35" t="s">
        <v>195</v>
      </c>
      <c r="E688" s="27" t="s">
        <v>39</v>
      </c>
      <c r="F688" s="33" t="s">
        <v>77</v>
      </c>
      <c r="G688" s="36">
        <v>2</v>
      </c>
      <c r="H688" s="36">
        <v>2</v>
      </c>
      <c r="I688" s="56">
        <v>417.30000000000001</v>
      </c>
      <c r="J688" s="37">
        <v>417.30000000000001</v>
      </c>
      <c r="K688" s="37">
        <v>373.39999999999998</v>
      </c>
      <c r="L688" s="57">
        <v>22</v>
      </c>
      <c r="M688" s="39">
        <f t="shared" ref="M688:M689" si="112">SUM(N688:Q688)</f>
        <v>841431.03000000003</v>
      </c>
      <c r="N688" s="37">
        <v>0</v>
      </c>
      <c r="O688" s="37">
        <v>0</v>
      </c>
      <c r="P688" s="37">
        <v>0</v>
      </c>
      <c r="Q688" s="37">
        <f>'Таблица 3 '!C677</f>
        <v>841431.03000000003</v>
      </c>
      <c r="R688" s="37">
        <f t="shared" ref="R688:R689" si="113">Q688</f>
        <v>841431.03000000003</v>
      </c>
      <c r="S688" s="37">
        <v>0</v>
      </c>
      <c r="T688" s="37">
        <f t="shared" si="104"/>
        <v>2016.3695902228612</v>
      </c>
      <c r="U688" s="37">
        <f t="shared" si="107"/>
        <v>2016.3695902228612</v>
      </c>
      <c r="V688" s="41" t="s">
        <v>572</v>
      </c>
      <c r="W688" s="60"/>
    </row>
    <row r="689" s="60" customFormat="1" ht="42.75">
      <c r="A689" s="33">
        <v>2</v>
      </c>
      <c r="B689" s="34" t="s">
        <v>674</v>
      </c>
      <c r="C689" s="33" t="s">
        <v>43</v>
      </c>
      <c r="D689" s="35" t="s">
        <v>83</v>
      </c>
      <c r="E689" s="27" t="s">
        <v>39</v>
      </c>
      <c r="F689" s="33" t="s">
        <v>77</v>
      </c>
      <c r="G689" s="36">
        <v>2</v>
      </c>
      <c r="H689" s="36">
        <v>2</v>
      </c>
      <c r="I689" s="56">
        <v>731</v>
      </c>
      <c r="J689" s="37">
        <v>694.62</v>
      </c>
      <c r="K689" s="37">
        <v>694.62</v>
      </c>
      <c r="L689" s="57">
        <v>38</v>
      </c>
      <c r="M689" s="39">
        <f t="shared" si="112"/>
        <v>680642.64999999991</v>
      </c>
      <c r="N689" s="37">
        <v>0</v>
      </c>
      <c r="O689" s="37">
        <v>0</v>
      </c>
      <c r="P689" s="37">
        <v>0</v>
      </c>
      <c r="Q689" s="37">
        <f>'Таблица 3 '!C678</f>
        <v>680642.64999999991</v>
      </c>
      <c r="R689" s="37">
        <f t="shared" si="113"/>
        <v>680642.64999999991</v>
      </c>
      <c r="S689" s="37">
        <v>0</v>
      </c>
      <c r="T689" s="37">
        <f t="shared" si="104"/>
        <v>979.87770291670256</v>
      </c>
      <c r="U689" s="37">
        <f t="shared" si="107"/>
        <v>979.87770291670256</v>
      </c>
      <c r="V689" s="41" t="s">
        <v>572</v>
      </c>
      <c r="W689" s="60"/>
    </row>
    <row r="690" s="60" customFormat="1" ht="27" customHeight="1">
      <c r="A690" s="61" t="s">
        <v>362</v>
      </c>
      <c r="B690" s="61"/>
      <c r="C690" s="26" t="s">
        <v>39</v>
      </c>
      <c r="D690" s="26" t="s">
        <v>39</v>
      </c>
      <c r="E690" s="27" t="s">
        <v>39</v>
      </c>
      <c r="F690" s="26" t="s">
        <v>39</v>
      </c>
      <c r="G690" s="26" t="s">
        <v>39</v>
      </c>
      <c r="H690" s="26" t="s">
        <v>39</v>
      </c>
      <c r="I690" s="146">
        <f>SUM(I691:I706)</f>
        <v>46817.610000000001</v>
      </c>
      <c r="J690" s="146">
        <f>SUM(J691:J706)</f>
        <v>38931.150000000009</v>
      </c>
      <c r="K690" s="146">
        <f>SUM(K691:K706)</f>
        <v>23047.98</v>
      </c>
      <c r="L690" s="147">
        <f>SUM(L691:L706)</f>
        <v>1227</v>
      </c>
      <c r="M690" s="146">
        <f>SUM(M691:M706)</f>
        <v>145870366.36999997</v>
      </c>
      <c r="N690" s="146">
        <f>SUM(N691:N706)</f>
        <v>0</v>
      </c>
      <c r="O690" s="146">
        <f>SUM(O691:O706)</f>
        <v>0</v>
      </c>
      <c r="P690" s="146">
        <f>SUM(P691:P706)</f>
        <v>0</v>
      </c>
      <c r="Q690" s="146">
        <f>SUM(Q691:Q706)</f>
        <v>145870366.36999997</v>
      </c>
      <c r="R690" s="146">
        <f>SUM(R691:R706)</f>
        <v>145870366.36999997</v>
      </c>
      <c r="S690" s="146">
        <f>SUM(S691:S706)</f>
        <v>0</v>
      </c>
      <c r="T690" s="62" t="s">
        <v>39</v>
      </c>
      <c r="U690" s="32" t="s">
        <v>39</v>
      </c>
      <c r="V690" s="28" t="s">
        <v>39</v>
      </c>
      <c r="W690" s="60"/>
    </row>
    <row r="691" s="60" customFormat="1" ht="42.75">
      <c r="A691" s="36">
        <v>1</v>
      </c>
      <c r="B691" s="68" t="s">
        <v>675</v>
      </c>
      <c r="C691" s="33" t="s">
        <v>43</v>
      </c>
      <c r="D691" s="35" t="s">
        <v>93</v>
      </c>
      <c r="E691" s="67">
        <v>2018</v>
      </c>
      <c r="F691" s="33" t="s">
        <v>77</v>
      </c>
      <c r="G691" s="36">
        <v>4</v>
      </c>
      <c r="H691" s="36">
        <v>3</v>
      </c>
      <c r="I691" s="56">
        <v>2597</v>
      </c>
      <c r="J691" s="37">
        <v>2402.8200000000002</v>
      </c>
      <c r="K691" s="37">
        <v>2402.8200000000002</v>
      </c>
      <c r="L691" s="38">
        <v>61</v>
      </c>
      <c r="M691" s="39">
        <f t="shared" ref="M691:M706" si="114">SUM(N691:Q691)</f>
        <v>10914733.879999999</v>
      </c>
      <c r="N691" s="37">
        <v>0</v>
      </c>
      <c r="O691" s="37">
        <v>0</v>
      </c>
      <c r="P691" s="37">
        <v>0</v>
      </c>
      <c r="Q691" s="56">
        <f>'Таблица 3 '!C680</f>
        <v>10914733.879999999</v>
      </c>
      <c r="R691" s="56">
        <f t="shared" ref="R691:R706" si="115">Q691</f>
        <v>10914733.879999999</v>
      </c>
      <c r="S691" s="37">
        <v>0</v>
      </c>
      <c r="T691" s="37">
        <f t="shared" si="104"/>
        <v>4542.4683829833275</v>
      </c>
      <c r="U691" s="37">
        <f t="shared" si="107"/>
        <v>4542.4683829833275</v>
      </c>
      <c r="V691" s="41" t="s">
        <v>572</v>
      </c>
      <c r="W691" s="60"/>
    </row>
    <row r="692" s="60" customFormat="1" ht="42.75">
      <c r="A692" s="36">
        <v>2</v>
      </c>
      <c r="B692" s="68" t="s">
        <v>676</v>
      </c>
      <c r="C692" s="33" t="s">
        <v>43</v>
      </c>
      <c r="D692" s="35" t="s">
        <v>147</v>
      </c>
      <c r="E692" s="67">
        <v>2018</v>
      </c>
      <c r="F692" s="33" t="s">
        <v>77</v>
      </c>
      <c r="G692" s="148">
        <v>0.80000000000000004</v>
      </c>
      <c r="H692" s="36">
        <v>3</v>
      </c>
      <c r="I692" s="56">
        <v>3447.9000000000001</v>
      </c>
      <c r="J692" s="37">
        <v>2836.8699999999999</v>
      </c>
      <c r="K692" s="37">
        <v>2836.8699999999999</v>
      </c>
      <c r="L692" s="38">
        <v>91</v>
      </c>
      <c r="M692" s="39">
        <f t="shared" si="114"/>
        <v>1257324.23</v>
      </c>
      <c r="N692" s="37">
        <v>0</v>
      </c>
      <c r="O692" s="37">
        <v>0</v>
      </c>
      <c r="P692" s="37">
        <v>0</v>
      </c>
      <c r="Q692" s="56">
        <f>'Таблица 3 '!C681</f>
        <v>1257324.23</v>
      </c>
      <c r="R692" s="56">
        <f t="shared" si="115"/>
        <v>1257324.23</v>
      </c>
      <c r="S692" s="37">
        <v>0</v>
      </c>
      <c r="T692" s="37">
        <f t="shared" si="104"/>
        <v>443.20826474248025</v>
      </c>
      <c r="U692" s="37">
        <f t="shared" si="107"/>
        <v>443.20826474248025</v>
      </c>
      <c r="V692" s="41" t="s">
        <v>572</v>
      </c>
      <c r="W692" s="60"/>
    </row>
    <row r="693" s="60" customFormat="1" ht="42.75">
      <c r="A693" s="36">
        <v>3</v>
      </c>
      <c r="B693" s="68" t="s">
        <v>677</v>
      </c>
      <c r="C693" s="43" t="s">
        <v>43</v>
      </c>
      <c r="D693" s="35" t="s">
        <v>173</v>
      </c>
      <c r="E693" s="145">
        <v>2019</v>
      </c>
      <c r="F693" s="33" t="s">
        <v>77</v>
      </c>
      <c r="G693" s="45">
        <v>5</v>
      </c>
      <c r="H693" s="36">
        <v>3</v>
      </c>
      <c r="I693" s="58">
        <v>3483.96</v>
      </c>
      <c r="J693" s="37">
        <v>2922.29</v>
      </c>
      <c r="K693" s="46">
        <v>2922.29</v>
      </c>
      <c r="L693" s="38">
        <v>80</v>
      </c>
      <c r="M693" s="111">
        <f t="shared" si="114"/>
        <v>415877.23999999999</v>
      </c>
      <c r="N693" s="46">
        <v>0</v>
      </c>
      <c r="O693" s="37">
        <v>0</v>
      </c>
      <c r="P693" s="46">
        <v>0</v>
      </c>
      <c r="Q693" s="56">
        <f>'Таблица 3 '!C682</f>
        <v>415877.23999999999</v>
      </c>
      <c r="R693" s="58">
        <f t="shared" si="115"/>
        <v>415877.23999999999</v>
      </c>
      <c r="S693" s="37">
        <v>0</v>
      </c>
      <c r="T693" s="46">
        <f t="shared" si="104"/>
        <v>142.31210454814547</v>
      </c>
      <c r="U693" s="37">
        <f t="shared" si="107"/>
        <v>142.31210454814547</v>
      </c>
      <c r="V693" s="41" t="s">
        <v>572</v>
      </c>
      <c r="W693" s="59"/>
    </row>
    <row r="694" s="60" customFormat="1" ht="42.75">
      <c r="A694" s="36">
        <v>4</v>
      </c>
      <c r="B694" s="68" t="s">
        <v>678</v>
      </c>
      <c r="C694" s="33" t="s">
        <v>43</v>
      </c>
      <c r="D694" s="35" t="s">
        <v>213</v>
      </c>
      <c r="E694" s="35" t="s">
        <v>39</v>
      </c>
      <c r="F694" s="33" t="s">
        <v>77</v>
      </c>
      <c r="G694" s="36">
        <v>6</v>
      </c>
      <c r="H694" s="36">
        <v>6</v>
      </c>
      <c r="I694" s="56">
        <v>6010.6400000000003</v>
      </c>
      <c r="J694" s="37">
        <v>4343.2700000000004</v>
      </c>
      <c r="K694" s="37">
        <v>4343.2700000000004</v>
      </c>
      <c r="L694" s="38">
        <v>167</v>
      </c>
      <c r="M694" s="37">
        <f t="shared" si="114"/>
        <v>7151101.0899999999</v>
      </c>
      <c r="N694" s="37">
        <v>0</v>
      </c>
      <c r="O694" s="37">
        <v>0</v>
      </c>
      <c r="P694" s="37">
        <v>0</v>
      </c>
      <c r="Q694" s="56">
        <f>'Таблица 3 '!C683</f>
        <v>7151101.0899999999</v>
      </c>
      <c r="R694" s="56">
        <f t="shared" si="115"/>
        <v>7151101.0899999999</v>
      </c>
      <c r="S694" s="37">
        <v>0</v>
      </c>
      <c r="T694" s="37">
        <f t="shared" si="104"/>
        <v>1646.4785956203505</v>
      </c>
      <c r="U694" s="37">
        <f t="shared" si="107"/>
        <v>1646.4785956203505</v>
      </c>
      <c r="V694" s="41" t="s">
        <v>572</v>
      </c>
      <c r="W694" s="59"/>
    </row>
    <row r="695" s="60" customFormat="1" ht="42.75">
      <c r="A695" s="36">
        <v>5</v>
      </c>
      <c r="B695" s="68" t="s">
        <v>679</v>
      </c>
      <c r="C695" s="33" t="s">
        <v>43</v>
      </c>
      <c r="D695" s="35" t="s">
        <v>680</v>
      </c>
      <c r="E695" s="35" t="s">
        <v>39</v>
      </c>
      <c r="F695" s="33" t="s">
        <v>77</v>
      </c>
      <c r="G695" s="36">
        <v>2</v>
      </c>
      <c r="H695" s="36">
        <v>1</v>
      </c>
      <c r="I695" s="56">
        <v>523.79999999999995</v>
      </c>
      <c r="J695" s="37">
        <v>523.79999999999995</v>
      </c>
      <c r="K695" s="37">
        <v>523.79999999999995</v>
      </c>
      <c r="L695" s="38">
        <v>17</v>
      </c>
      <c r="M695" s="37">
        <f t="shared" si="114"/>
        <v>4821503.9899999993</v>
      </c>
      <c r="N695" s="37">
        <v>0</v>
      </c>
      <c r="O695" s="37">
        <v>0</v>
      </c>
      <c r="P695" s="37">
        <v>0</v>
      </c>
      <c r="Q695" s="56">
        <f>'Таблица 3 '!C684</f>
        <v>4821503.9899999993</v>
      </c>
      <c r="R695" s="56">
        <f t="shared" si="115"/>
        <v>4821503.9899999993</v>
      </c>
      <c r="S695" s="37">
        <v>0</v>
      </c>
      <c r="T695" s="37">
        <f t="shared" si="104"/>
        <v>9204.8567964872091</v>
      </c>
      <c r="U695" s="37">
        <f t="shared" si="107"/>
        <v>9204.8567964872091</v>
      </c>
      <c r="V695" s="41" t="s">
        <v>572</v>
      </c>
      <c r="W695" s="59"/>
    </row>
    <row r="696" s="60" customFormat="1" ht="42.75">
      <c r="A696" s="36">
        <v>6</v>
      </c>
      <c r="B696" s="68" t="s">
        <v>367</v>
      </c>
      <c r="C696" s="33" t="s">
        <v>43</v>
      </c>
      <c r="D696" s="35" t="s">
        <v>93</v>
      </c>
      <c r="E696" s="35" t="s">
        <v>39</v>
      </c>
      <c r="F696" s="33" t="s">
        <v>48</v>
      </c>
      <c r="G696" s="36">
        <v>5</v>
      </c>
      <c r="H696" s="36">
        <v>2</v>
      </c>
      <c r="I696" s="56">
        <v>4559</v>
      </c>
      <c r="J696" s="37">
        <v>2996.7800000000002</v>
      </c>
      <c r="K696" s="37">
        <v>2996.7800000000002</v>
      </c>
      <c r="L696" s="38">
        <v>156</v>
      </c>
      <c r="M696" s="39">
        <f t="shared" si="114"/>
        <v>5092018.9699999997</v>
      </c>
      <c r="N696" s="37">
        <v>0</v>
      </c>
      <c r="O696" s="37">
        <v>0</v>
      </c>
      <c r="P696" s="37">
        <v>0</v>
      </c>
      <c r="Q696" s="56">
        <f>'Таблица 3 '!C685</f>
        <v>5092018.9699999997</v>
      </c>
      <c r="R696" s="56">
        <f t="shared" si="115"/>
        <v>5092018.9699999997</v>
      </c>
      <c r="S696" s="37">
        <v>0</v>
      </c>
      <c r="T696" s="37">
        <f t="shared" si="104"/>
        <v>1699.1634254099397</v>
      </c>
      <c r="U696" s="37">
        <f t="shared" si="107"/>
        <v>1699.1634254099397</v>
      </c>
      <c r="V696" s="41" t="s">
        <v>572</v>
      </c>
      <c r="W696" s="60"/>
    </row>
    <row r="697" s="60" customFormat="1" ht="42.75" customHeight="1">
      <c r="A697" s="36">
        <v>7</v>
      </c>
      <c r="B697" s="50" t="s">
        <v>681</v>
      </c>
      <c r="C697" s="33" t="s">
        <v>43</v>
      </c>
      <c r="D697" s="35">
        <v>1983</v>
      </c>
      <c r="E697" s="35" t="s">
        <v>39</v>
      </c>
      <c r="F697" s="33" t="s">
        <v>77</v>
      </c>
      <c r="G697" s="33">
        <v>3</v>
      </c>
      <c r="H697" s="33">
        <v>3</v>
      </c>
      <c r="I697" s="56">
        <v>934.15999999999997</v>
      </c>
      <c r="J697" s="56">
        <v>860.87</v>
      </c>
      <c r="K697" s="56">
        <v>860.87</v>
      </c>
      <c r="L697" s="57">
        <v>46</v>
      </c>
      <c r="M697" s="39">
        <f t="shared" si="114"/>
        <v>350382</v>
      </c>
      <c r="N697" s="37">
        <v>0</v>
      </c>
      <c r="O697" s="37">
        <v>0</v>
      </c>
      <c r="P697" s="37">
        <v>0</v>
      </c>
      <c r="Q697" s="56">
        <f>'Таблица 3 '!C686</f>
        <v>350382</v>
      </c>
      <c r="R697" s="56">
        <f t="shared" si="115"/>
        <v>350382</v>
      </c>
      <c r="S697" s="37">
        <v>0</v>
      </c>
      <c r="T697" s="37">
        <f t="shared" si="104"/>
        <v>407.00918837919778</v>
      </c>
      <c r="U697" s="37">
        <f t="shared" si="107"/>
        <v>407.00918837919778</v>
      </c>
      <c r="V697" s="41" t="s">
        <v>572</v>
      </c>
      <c r="W697" s="60"/>
    </row>
    <row r="698" s="60" customFormat="1" ht="42.75" customHeight="1">
      <c r="A698" s="36">
        <v>8</v>
      </c>
      <c r="B698" s="50" t="s">
        <v>374</v>
      </c>
      <c r="C698" s="33" t="s">
        <v>43</v>
      </c>
      <c r="D698" s="35">
        <v>1991</v>
      </c>
      <c r="E698" s="35" t="s">
        <v>39</v>
      </c>
      <c r="F698" s="33" t="s">
        <v>77</v>
      </c>
      <c r="G698" s="33">
        <v>3</v>
      </c>
      <c r="H698" s="33">
        <v>3</v>
      </c>
      <c r="I698" s="56">
        <v>1167.3299999999999</v>
      </c>
      <c r="J698" s="56">
        <v>1087.1099999999999</v>
      </c>
      <c r="K698" s="56">
        <v>1037.2</v>
      </c>
      <c r="L698" s="57">
        <v>42</v>
      </c>
      <c r="M698" s="39">
        <f t="shared" si="114"/>
        <v>1675745.73</v>
      </c>
      <c r="N698" s="37">
        <v>0</v>
      </c>
      <c r="O698" s="37">
        <v>0</v>
      </c>
      <c r="P698" s="37">
        <v>0</v>
      </c>
      <c r="Q698" s="56">
        <f>'Таблица 3 '!C687</f>
        <v>1675745.73</v>
      </c>
      <c r="R698" s="56">
        <f t="shared" si="115"/>
        <v>1675745.73</v>
      </c>
      <c r="S698" s="37">
        <v>0</v>
      </c>
      <c r="T698" s="37">
        <f t="shared" si="104"/>
        <v>1541.4684162596243</v>
      </c>
      <c r="U698" s="37">
        <f t="shared" si="107"/>
        <v>1541.4684162596243</v>
      </c>
      <c r="V698" s="41" t="s">
        <v>572</v>
      </c>
      <c r="W698" s="60"/>
    </row>
    <row r="699" s="60" customFormat="1" ht="42.75" customHeight="1">
      <c r="A699" s="36">
        <v>9</v>
      </c>
      <c r="B699" s="50" t="s">
        <v>376</v>
      </c>
      <c r="C699" s="33" t="s">
        <v>43</v>
      </c>
      <c r="D699" s="35" t="s">
        <v>377</v>
      </c>
      <c r="E699" s="35" t="s">
        <v>39</v>
      </c>
      <c r="F699" s="33" t="s">
        <v>77</v>
      </c>
      <c r="G699" s="33">
        <v>3</v>
      </c>
      <c r="H699" s="33">
        <v>3</v>
      </c>
      <c r="I699" s="56">
        <v>934.15999999999997</v>
      </c>
      <c r="J699" s="56">
        <v>860.87</v>
      </c>
      <c r="K699" s="56">
        <v>860.87</v>
      </c>
      <c r="L699" s="57">
        <v>46</v>
      </c>
      <c r="M699" s="37">
        <f t="shared" si="114"/>
        <v>7924185.0700000003</v>
      </c>
      <c r="N699" s="37">
        <v>0</v>
      </c>
      <c r="O699" s="37">
        <v>0</v>
      </c>
      <c r="P699" s="37">
        <v>0</v>
      </c>
      <c r="Q699" s="56">
        <f>'Таблица 3 '!C688</f>
        <v>7924185.0700000003</v>
      </c>
      <c r="R699" s="56">
        <f t="shared" si="115"/>
        <v>7924185.0700000003</v>
      </c>
      <c r="S699" s="37">
        <v>0</v>
      </c>
      <c r="T699" s="37">
        <f t="shared" si="104"/>
        <v>9204.8567960319215</v>
      </c>
      <c r="U699" s="37">
        <f t="shared" si="107"/>
        <v>9204.8567960319215</v>
      </c>
      <c r="V699" s="41" t="s">
        <v>572</v>
      </c>
      <c r="W699" s="60"/>
    </row>
    <row r="700" s="60" customFormat="1" ht="42.75" customHeight="1">
      <c r="A700" s="36">
        <v>10</v>
      </c>
      <c r="B700" s="50" t="s">
        <v>379</v>
      </c>
      <c r="C700" s="33" t="s">
        <v>43</v>
      </c>
      <c r="D700" s="35">
        <v>1967</v>
      </c>
      <c r="E700" s="35" t="s">
        <v>39</v>
      </c>
      <c r="F700" s="33" t="s">
        <v>77</v>
      </c>
      <c r="G700" s="33">
        <v>2</v>
      </c>
      <c r="H700" s="33">
        <v>2</v>
      </c>
      <c r="I700" s="56">
        <v>956.34000000000003</v>
      </c>
      <c r="J700" s="56">
        <v>633.58000000000004</v>
      </c>
      <c r="K700" s="56">
        <v>586.82000000000005</v>
      </c>
      <c r="L700" s="57">
        <v>16</v>
      </c>
      <c r="M700" s="39">
        <f t="shared" si="114"/>
        <v>4992822.5</v>
      </c>
      <c r="N700" s="37">
        <v>0</v>
      </c>
      <c r="O700" s="37">
        <v>0</v>
      </c>
      <c r="P700" s="37">
        <v>0</v>
      </c>
      <c r="Q700" s="56">
        <f>'Таблица 3 '!C689</f>
        <v>4992822.5</v>
      </c>
      <c r="R700" s="56">
        <f t="shared" si="115"/>
        <v>4992822.5</v>
      </c>
      <c r="S700" s="37">
        <v>0</v>
      </c>
      <c r="T700" s="37">
        <f t="shared" si="104"/>
        <v>7880.334764354935</v>
      </c>
      <c r="U700" s="37">
        <f t="shared" si="107"/>
        <v>7880.334764354935</v>
      </c>
      <c r="V700" s="41" t="s">
        <v>572</v>
      </c>
      <c r="W700" s="60"/>
    </row>
    <row r="701" s="60" customFormat="1" ht="42.75" customHeight="1">
      <c r="A701" s="36">
        <v>11</v>
      </c>
      <c r="B701" s="52" t="s">
        <v>682</v>
      </c>
      <c r="C701" s="43" t="s">
        <v>43</v>
      </c>
      <c r="D701" s="35">
        <v>1979</v>
      </c>
      <c r="E701" s="44">
        <v>2023</v>
      </c>
      <c r="F701" s="33" t="s">
        <v>77</v>
      </c>
      <c r="G701" s="43">
        <v>5</v>
      </c>
      <c r="H701" s="33">
        <v>4</v>
      </c>
      <c r="I701" s="58">
        <v>4416.0200000000004</v>
      </c>
      <c r="J701" s="56">
        <v>3570.79</v>
      </c>
      <c r="K701" s="58">
        <v>3570.79</v>
      </c>
      <c r="L701" s="57">
        <v>76</v>
      </c>
      <c r="M701" s="39">
        <f t="shared" si="114"/>
        <v>350382</v>
      </c>
      <c r="N701" s="46">
        <v>0</v>
      </c>
      <c r="O701" s="37">
        <v>0</v>
      </c>
      <c r="P701" s="46">
        <v>0</v>
      </c>
      <c r="Q701" s="56">
        <f>'Таблица 3 '!C690</f>
        <v>350382</v>
      </c>
      <c r="R701" s="58">
        <f t="shared" si="115"/>
        <v>350382</v>
      </c>
      <c r="S701" s="37">
        <v>0</v>
      </c>
      <c r="T701" s="46">
        <f t="shared" si="104"/>
        <v>98.124504661433463</v>
      </c>
      <c r="U701" s="37">
        <f t="shared" si="107"/>
        <v>98.124504661433463</v>
      </c>
      <c r="V701" s="41" t="s">
        <v>572</v>
      </c>
      <c r="W701" s="60"/>
    </row>
    <row r="702" s="60" customFormat="1" ht="42.75" customHeight="1">
      <c r="A702" s="36">
        <v>12</v>
      </c>
      <c r="B702" s="50" t="s">
        <v>683</v>
      </c>
      <c r="C702" s="33" t="s">
        <v>43</v>
      </c>
      <c r="D702" s="35" t="s">
        <v>86</v>
      </c>
      <c r="E702" s="35" t="s">
        <v>39</v>
      </c>
      <c r="F702" s="33" t="s">
        <v>383</v>
      </c>
      <c r="G702" s="33">
        <v>5</v>
      </c>
      <c r="H702" s="33">
        <v>4</v>
      </c>
      <c r="I702" s="56">
        <v>2811.8000000000002</v>
      </c>
      <c r="J702" s="56">
        <v>2811.3000000000002</v>
      </c>
      <c r="K702" s="56">
        <v>49.5</v>
      </c>
      <c r="L702" s="149">
        <v>120</v>
      </c>
      <c r="M702" s="37">
        <f t="shared" si="114"/>
        <v>21094126.82</v>
      </c>
      <c r="N702" s="37">
        <v>0</v>
      </c>
      <c r="O702" s="37">
        <v>0</v>
      </c>
      <c r="P702" s="37">
        <v>0</v>
      </c>
      <c r="Q702" s="56">
        <f>'Таблица 3 '!C691</f>
        <v>21094126.82</v>
      </c>
      <c r="R702" s="56">
        <f t="shared" si="115"/>
        <v>21094126.82</v>
      </c>
      <c r="S702" s="37">
        <v>0</v>
      </c>
      <c r="T702" s="37">
        <f t="shared" si="104"/>
        <v>7503.3354035499588</v>
      </c>
      <c r="U702" s="46">
        <f t="shared" si="107"/>
        <v>7503.3354035499588</v>
      </c>
      <c r="V702" s="41" t="s">
        <v>572</v>
      </c>
      <c r="W702" s="59"/>
    </row>
    <row r="703" s="60" customFormat="1" ht="42.75" customHeight="1">
      <c r="A703" s="36">
        <v>13</v>
      </c>
      <c r="B703" s="50" t="s">
        <v>684</v>
      </c>
      <c r="C703" s="43" t="s">
        <v>43</v>
      </c>
      <c r="D703" s="35" t="s">
        <v>126</v>
      </c>
      <c r="E703" s="44" t="s">
        <v>39</v>
      </c>
      <c r="F703" s="33" t="s">
        <v>77</v>
      </c>
      <c r="G703" s="43">
        <v>6</v>
      </c>
      <c r="H703" s="33">
        <v>4</v>
      </c>
      <c r="I703" s="58">
        <v>3783.0999999999999</v>
      </c>
      <c r="J703" s="56">
        <v>2783.0999999999999</v>
      </c>
      <c r="K703" s="58">
        <v>56.100000000000001</v>
      </c>
      <c r="L703" s="57">
        <v>176</v>
      </c>
      <c r="M703" s="37">
        <f t="shared" si="114"/>
        <v>20900056.580000002</v>
      </c>
      <c r="N703" s="46">
        <v>0</v>
      </c>
      <c r="O703" s="37">
        <v>0</v>
      </c>
      <c r="P703" s="46">
        <v>0</v>
      </c>
      <c r="Q703" s="56">
        <f>'Таблица 3 '!C692</f>
        <v>20900056.580000002</v>
      </c>
      <c r="R703" s="58">
        <f t="shared" si="115"/>
        <v>20900056.580000002</v>
      </c>
      <c r="S703" s="37">
        <v>0</v>
      </c>
      <c r="T703" s="46">
        <f t="shared" si="104"/>
        <v>7509.6319140526757</v>
      </c>
      <c r="U703" s="37">
        <f t="shared" si="107"/>
        <v>7509.6319140526757</v>
      </c>
      <c r="V703" s="41" t="s">
        <v>572</v>
      </c>
      <c r="W703" s="59"/>
    </row>
    <row r="704" s="60" customFormat="1" ht="42.75" customHeight="1">
      <c r="A704" s="36">
        <v>14</v>
      </c>
      <c r="B704" s="50" t="s">
        <v>685</v>
      </c>
      <c r="C704" s="33" t="s">
        <v>43</v>
      </c>
      <c r="D704" s="35" t="s">
        <v>170</v>
      </c>
      <c r="E704" s="35" t="s">
        <v>39</v>
      </c>
      <c r="F704" s="33" t="s">
        <v>77</v>
      </c>
      <c r="G704" s="33">
        <v>5</v>
      </c>
      <c r="H704" s="33">
        <v>4</v>
      </c>
      <c r="I704" s="56">
        <v>4312.3999999999996</v>
      </c>
      <c r="J704" s="56">
        <v>4056.4000000000001</v>
      </c>
      <c r="K704" s="56">
        <v>0</v>
      </c>
      <c r="L704" s="149">
        <v>76</v>
      </c>
      <c r="M704" s="37">
        <f t="shared" si="114"/>
        <v>22958633.82</v>
      </c>
      <c r="N704" s="37">
        <v>0</v>
      </c>
      <c r="O704" s="37">
        <v>0</v>
      </c>
      <c r="P704" s="37">
        <v>0</v>
      </c>
      <c r="Q704" s="56">
        <f>'Таблица 3 '!C693</f>
        <v>22958633.82</v>
      </c>
      <c r="R704" s="56">
        <f t="shared" si="115"/>
        <v>22958633.82</v>
      </c>
      <c r="S704" s="37">
        <v>0</v>
      </c>
      <c r="T704" s="37">
        <f t="shared" si="104"/>
        <v>5659.8545064589289</v>
      </c>
      <c r="U704" s="46">
        <f t="shared" si="107"/>
        <v>5659.8545064589289</v>
      </c>
      <c r="V704" s="41" t="s">
        <v>572</v>
      </c>
      <c r="W704" s="59"/>
    </row>
    <row r="705" ht="42.75" customHeight="1">
      <c r="A705" s="36">
        <v>15</v>
      </c>
      <c r="B705" s="50" t="s">
        <v>686</v>
      </c>
      <c r="C705" s="33" t="s">
        <v>43</v>
      </c>
      <c r="D705" s="35" t="s">
        <v>369</v>
      </c>
      <c r="E705" s="35" t="s">
        <v>39</v>
      </c>
      <c r="F705" s="33" t="s">
        <v>77</v>
      </c>
      <c r="G705" s="33">
        <v>5</v>
      </c>
      <c r="H705" s="33">
        <v>4</v>
      </c>
      <c r="I705" s="56">
        <v>3490</v>
      </c>
      <c r="J705" s="56">
        <v>2870</v>
      </c>
      <c r="K705" s="56">
        <v>0</v>
      </c>
      <c r="L705" s="57">
        <v>0</v>
      </c>
      <c r="M705" s="37">
        <f t="shared" si="114"/>
        <v>16653695.85</v>
      </c>
      <c r="N705" s="37">
        <v>0</v>
      </c>
      <c r="O705" s="37">
        <v>0</v>
      </c>
      <c r="P705" s="37">
        <v>0</v>
      </c>
      <c r="Q705" s="56">
        <f>'Таблица 3 '!C694</f>
        <v>16653695.85</v>
      </c>
      <c r="R705" s="37">
        <f t="shared" si="115"/>
        <v>16653695.85</v>
      </c>
      <c r="S705" s="37">
        <v>0</v>
      </c>
      <c r="T705" s="37">
        <f t="shared" si="104"/>
        <v>5802.6814808362369</v>
      </c>
      <c r="U705" s="37">
        <f t="shared" si="107"/>
        <v>5802.6814808362369</v>
      </c>
      <c r="V705" s="41" t="s">
        <v>572</v>
      </c>
      <c r="W705" s="59"/>
    </row>
    <row r="706" ht="42.75" customHeight="1">
      <c r="A706" s="36">
        <v>16</v>
      </c>
      <c r="B706" s="50" t="s">
        <v>687</v>
      </c>
      <c r="C706" s="33" t="s">
        <v>43</v>
      </c>
      <c r="D706" s="35" t="s">
        <v>86</v>
      </c>
      <c r="E706" s="35" t="s">
        <v>39</v>
      </c>
      <c r="F706" s="33" t="s">
        <v>77</v>
      </c>
      <c r="G706" s="36">
        <v>5</v>
      </c>
      <c r="H706" s="36">
        <v>3</v>
      </c>
      <c r="I706" s="56">
        <v>3390</v>
      </c>
      <c r="J706" s="37">
        <v>3371.3000000000002</v>
      </c>
      <c r="K706" s="37">
        <v>0</v>
      </c>
      <c r="L706" s="38">
        <v>57</v>
      </c>
      <c r="M706" s="37">
        <f t="shared" si="114"/>
        <v>19317776.599999998</v>
      </c>
      <c r="N706" s="37">
        <v>0</v>
      </c>
      <c r="O706" s="37">
        <v>0</v>
      </c>
      <c r="P706" s="37">
        <v>0</v>
      </c>
      <c r="Q706" s="56">
        <f>'Таблица 3 '!C695</f>
        <v>19317776.599999998</v>
      </c>
      <c r="R706" s="37">
        <f t="shared" si="115"/>
        <v>19317776.599999998</v>
      </c>
      <c r="S706" s="37">
        <v>0</v>
      </c>
      <c r="T706" s="37">
        <f t="shared" si="104"/>
        <v>5730.0675110491493</v>
      </c>
      <c r="U706" s="37">
        <f t="shared" si="107"/>
        <v>5730.0675110491493</v>
      </c>
      <c r="V706" s="41" t="s">
        <v>572</v>
      </c>
      <c r="W706" s="59"/>
    </row>
    <row r="707" s="60" customFormat="1" ht="21.75" customHeight="1">
      <c r="A707" s="150" t="s">
        <v>381</v>
      </c>
      <c r="B707" s="151"/>
      <c r="C707" s="152" t="s">
        <v>39</v>
      </c>
      <c r="D707" s="26" t="s">
        <v>39</v>
      </c>
      <c r="E707" s="153" t="s">
        <v>39</v>
      </c>
      <c r="F707" s="26" t="s">
        <v>39</v>
      </c>
      <c r="G707" s="152" t="s">
        <v>39</v>
      </c>
      <c r="H707" s="26" t="s">
        <v>39</v>
      </c>
      <c r="I707" s="154">
        <f>SUM(I708:I710)</f>
        <v>8941.380000000001</v>
      </c>
      <c r="J707" s="154">
        <f>SUM(J708:J710)</f>
        <v>8307.0499999999993</v>
      </c>
      <c r="K707" s="154">
        <f>SUM(K708:K710)</f>
        <v>8175.75</v>
      </c>
      <c r="L707" s="155">
        <f>SUM(L708:L710)</f>
        <v>377</v>
      </c>
      <c r="M707" s="154">
        <f>SUM(M708:M710)</f>
        <v>14479098.100000001</v>
      </c>
      <c r="N707" s="154">
        <f>SUM(N708:N710)</f>
        <v>0</v>
      </c>
      <c r="O707" s="154">
        <f>SUM(O708:O710)</f>
        <v>0</v>
      </c>
      <c r="P707" s="154">
        <f>SUM(P708:P710)</f>
        <v>0</v>
      </c>
      <c r="Q707" s="154">
        <f>SUM(Q708:Q710)</f>
        <v>14479098.100000001</v>
      </c>
      <c r="R707" s="154">
        <f>SUM(R708:R710)</f>
        <v>14479098.100000001</v>
      </c>
      <c r="S707" s="154">
        <f>SUM(S708:S710)</f>
        <v>0</v>
      </c>
      <c r="T707" s="32" t="s">
        <v>40</v>
      </c>
      <c r="U707" s="156" t="s">
        <v>40</v>
      </c>
      <c r="V707" s="28" t="s">
        <v>40</v>
      </c>
      <c r="W707" s="59"/>
    </row>
    <row r="708" s="60" customFormat="1" ht="42.75" customHeight="1">
      <c r="A708" s="33">
        <v>1</v>
      </c>
      <c r="B708" s="50" t="s">
        <v>688</v>
      </c>
      <c r="C708" s="33" t="s">
        <v>90</v>
      </c>
      <c r="D708" s="33">
        <v>1982</v>
      </c>
      <c r="E708" s="35" t="s">
        <v>40</v>
      </c>
      <c r="F708" s="33" t="s">
        <v>77</v>
      </c>
      <c r="G708" s="33">
        <v>9</v>
      </c>
      <c r="H708" s="33">
        <v>2</v>
      </c>
      <c r="I708" s="56">
        <v>4103.5</v>
      </c>
      <c r="J708" s="56">
        <v>3791.6999999999998</v>
      </c>
      <c r="K708" s="56">
        <v>3791.6999999999998</v>
      </c>
      <c r="L708" s="57">
        <v>168</v>
      </c>
      <c r="M708" s="40">
        <f t="shared" ref="M708:M710" si="116">SUM(N708:Q708)</f>
        <v>5964866.0700000003</v>
      </c>
      <c r="N708" s="40">
        <v>0</v>
      </c>
      <c r="O708" s="40">
        <v>0</v>
      </c>
      <c r="P708" s="40">
        <v>0</v>
      </c>
      <c r="Q708" s="79">
        <f>'Таблица 3 '!C697</f>
        <v>5964866.0700000003</v>
      </c>
      <c r="R708" s="79">
        <f t="shared" ref="R708:R710" si="117">Q708</f>
        <v>5964866.0700000003</v>
      </c>
      <c r="S708" s="40">
        <v>0</v>
      </c>
      <c r="T708" s="37">
        <f t="shared" si="104"/>
        <v>1573.1376612073741</v>
      </c>
      <c r="U708" s="37">
        <f t="shared" si="107"/>
        <v>1573.1376612073741</v>
      </c>
      <c r="V708" s="77" t="s">
        <v>572</v>
      </c>
      <c r="W708" s="59"/>
    </row>
    <row r="709" s="60" customFormat="1" ht="42.75" customHeight="1">
      <c r="A709" s="33">
        <v>2</v>
      </c>
      <c r="B709" s="50" t="s">
        <v>689</v>
      </c>
      <c r="C709" s="33" t="s">
        <v>90</v>
      </c>
      <c r="D709" s="33">
        <v>1983</v>
      </c>
      <c r="E709" s="35" t="s">
        <v>40</v>
      </c>
      <c r="F709" s="33" t="s">
        <v>77</v>
      </c>
      <c r="G709" s="33">
        <v>9</v>
      </c>
      <c r="H709" s="33">
        <v>2</v>
      </c>
      <c r="I709" s="56">
        <v>4183.1000000000004</v>
      </c>
      <c r="J709" s="56">
        <v>3865.75</v>
      </c>
      <c r="K709" s="56">
        <v>3865.75</v>
      </c>
      <c r="L709" s="57">
        <v>176</v>
      </c>
      <c r="M709" s="40">
        <f t="shared" si="116"/>
        <v>5964866.0700000003</v>
      </c>
      <c r="N709" s="40">
        <v>0</v>
      </c>
      <c r="O709" s="40">
        <v>0</v>
      </c>
      <c r="P709" s="40">
        <v>0</v>
      </c>
      <c r="Q709" s="79">
        <f>'Таблица 3 '!C698</f>
        <v>5964866.0700000003</v>
      </c>
      <c r="R709" s="79">
        <f t="shared" si="117"/>
        <v>5964866.0700000003</v>
      </c>
      <c r="S709" s="40">
        <v>0</v>
      </c>
      <c r="T709" s="37">
        <f t="shared" si="104"/>
        <v>1543.0035749854492</v>
      </c>
      <c r="U709" s="37">
        <f t="shared" si="107"/>
        <v>1543.0035749854492</v>
      </c>
      <c r="V709" s="77" t="s">
        <v>572</v>
      </c>
      <c r="W709" s="59"/>
    </row>
    <row r="710" s="60" customFormat="1" ht="42.75" customHeight="1">
      <c r="A710" s="33">
        <v>3</v>
      </c>
      <c r="B710" s="50" t="s">
        <v>690</v>
      </c>
      <c r="C710" s="43" t="s">
        <v>43</v>
      </c>
      <c r="D710" s="33">
        <v>1983</v>
      </c>
      <c r="E710" s="44" t="s">
        <v>40</v>
      </c>
      <c r="F710" s="33" t="s">
        <v>383</v>
      </c>
      <c r="G710" s="43">
        <v>2</v>
      </c>
      <c r="H710" s="33">
        <v>2</v>
      </c>
      <c r="I710" s="58">
        <v>654.77999999999997</v>
      </c>
      <c r="J710" s="56">
        <v>649.60000000000002</v>
      </c>
      <c r="K710" s="58">
        <v>518.29999999999995</v>
      </c>
      <c r="L710" s="57">
        <v>33</v>
      </c>
      <c r="M710" s="51">
        <f t="shared" si="116"/>
        <v>2549365.96</v>
      </c>
      <c r="N710" s="40">
        <v>0</v>
      </c>
      <c r="O710" s="51">
        <v>0</v>
      </c>
      <c r="P710" s="40">
        <v>0</v>
      </c>
      <c r="Q710" s="79">
        <f>'Таблица 3 '!C699</f>
        <v>2549365.96</v>
      </c>
      <c r="R710" s="79">
        <f t="shared" si="117"/>
        <v>2549365.96</v>
      </c>
      <c r="S710" s="51">
        <v>0</v>
      </c>
      <c r="T710" s="37">
        <f t="shared" si="104"/>
        <v>3924.5165640394089</v>
      </c>
      <c r="U710" s="46">
        <f t="shared" si="107"/>
        <v>3924.5165640394089</v>
      </c>
      <c r="V710" s="77" t="s">
        <v>572</v>
      </c>
      <c r="W710" s="59"/>
    </row>
    <row r="711" s="60" customFormat="1" ht="22.5" customHeight="1">
      <c r="A711" s="150" t="s">
        <v>399</v>
      </c>
      <c r="B711" s="151"/>
      <c r="C711" s="26" t="s">
        <v>39</v>
      </c>
      <c r="D711" s="26" t="s">
        <v>39</v>
      </c>
      <c r="E711" s="27" t="s">
        <v>39</v>
      </c>
      <c r="F711" s="26" t="s">
        <v>39</v>
      </c>
      <c r="G711" s="26" t="s">
        <v>39</v>
      </c>
      <c r="H711" s="26" t="s">
        <v>39</v>
      </c>
      <c r="I711" s="146">
        <f>I712</f>
        <v>404.35000000000002</v>
      </c>
      <c r="J711" s="146">
        <f>J712</f>
        <v>366.29000000000002</v>
      </c>
      <c r="K711" s="146">
        <f>K712</f>
        <v>366.29000000000002</v>
      </c>
      <c r="L711" s="147">
        <f>L712</f>
        <v>21</v>
      </c>
      <c r="M711" s="146">
        <f>M712</f>
        <v>265594</v>
      </c>
      <c r="N711" s="146">
        <f>N712</f>
        <v>0</v>
      </c>
      <c r="O711" s="146">
        <f>O712</f>
        <v>0</v>
      </c>
      <c r="P711" s="146">
        <f>P712</f>
        <v>0</v>
      </c>
      <c r="Q711" s="146">
        <f>Q712</f>
        <v>265594</v>
      </c>
      <c r="R711" s="146">
        <f>R712</f>
        <v>265594</v>
      </c>
      <c r="S711" s="146">
        <f>S712</f>
        <v>0</v>
      </c>
      <c r="T711" s="32" t="s">
        <v>39</v>
      </c>
      <c r="U711" s="32" t="s">
        <v>39</v>
      </c>
      <c r="V711" s="28" t="s">
        <v>39</v>
      </c>
      <c r="W711" s="59"/>
    </row>
    <row r="712" s="60" customFormat="1" ht="42.75" customHeight="1">
      <c r="A712" s="33">
        <v>1</v>
      </c>
      <c r="B712" s="52" t="s">
        <v>691</v>
      </c>
      <c r="C712" s="43" t="s">
        <v>43</v>
      </c>
      <c r="D712" s="33">
        <v>1970</v>
      </c>
      <c r="E712" s="44" t="s">
        <v>39</v>
      </c>
      <c r="F712" s="33" t="s">
        <v>77</v>
      </c>
      <c r="G712" s="43">
        <v>2</v>
      </c>
      <c r="H712" s="33">
        <v>2</v>
      </c>
      <c r="I712" s="58">
        <v>404.35000000000002</v>
      </c>
      <c r="J712" s="56">
        <v>366.29000000000002</v>
      </c>
      <c r="K712" s="58">
        <v>366.29000000000002</v>
      </c>
      <c r="L712" s="57">
        <v>21</v>
      </c>
      <c r="M712" s="46">
        <f>SUM(N712:Q712)</f>
        <v>265594</v>
      </c>
      <c r="N712" s="37">
        <v>0</v>
      </c>
      <c r="O712" s="46">
        <v>0</v>
      </c>
      <c r="P712" s="37">
        <v>0</v>
      </c>
      <c r="Q712" s="58">
        <f>'Таблица 3 '!C701</f>
        <v>265594</v>
      </c>
      <c r="R712" s="56">
        <f>Q712</f>
        <v>265594</v>
      </c>
      <c r="S712" s="46">
        <v>0</v>
      </c>
      <c r="T712" s="37">
        <f t="shared" si="104"/>
        <v>725.092140107565</v>
      </c>
      <c r="U712" s="46">
        <f t="shared" si="107"/>
        <v>725.092140107565</v>
      </c>
      <c r="V712" s="41" t="s">
        <v>572</v>
      </c>
      <c r="W712" s="59"/>
    </row>
    <row r="713" s="60" customFormat="1" ht="27" customHeight="1">
      <c r="A713" s="25" t="s">
        <v>405</v>
      </c>
      <c r="B713" s="25"/>
      <c r="C713" s="26" t="s">
        <v>39</v>
      </c>
      <c r="D713" s="26" t="s">
        <v>39</v>
      </c>
      <c r="E713" s="27" t="s">
        <v>39</v>
      </c>
      <c r="F713" s="26" t="s">
        <v>39</v>
      </c>
      <c r="G713" s="28" t="s">
        <v>39</v>
      </c>
      <c r="H713" s="28" t="s">
        <v>39</v>
      </c>
      <c r="I713" s="64">
        <f>SUM(I714:I715)</f>
        <v>6046</v>
      </c>
      <c r="J713" s="64">
        <f>SUM(J714:J715)</f>
        <v>3854.4000000000001</v>
      </c>
      <c r="K713" s="64">
        <f>SUM(K714:K715)</f>
        <v>0</v>
      </c>
      <c r="L713" s="65">
        <f>SUM(L714:L715)</f>
        <v>50</v>
      </c>
      <c r="M713" s="64">
        <f>SUM(M714:M715)</f>
        <v>15146125.710000001</v>
      </c>
      <c r="N713" s="64">
        <f>SUM(N714:N715)</f>
        <v>0</v>
      </c>
      <c r="O713" s="64">
        <f>SUM(O714:O715)</f>
        <v>0</v>
      </c>
      <c r="P713" s="64">
        <f>SUM(P714:P715)</f>
        <v>0</v>
      </c>
      <c r="Q713" s="64">
        <f>SUM(Q714:Q715)</f>
        <v>15146125.710000001</v>
      </c>
      <c r="R713" s="64">
        <f>SUM(R714:R715)</f>
        <v>15146125.710000001</v>
      </c>
      <c r="S713" s="64">
        <f>SUM(S714:S715)</f>
        <v>0</v>
      </c>
      <c r="T713" s="32" t="s">
        <v>39</v>
      </c>
      <c r="U713" s="32" t="s">
        <v>39</v>
      </c>
      <c r="V713" s="28" t="s">
        <v>39</v>
      </c>
      <c r="W713" s="60"/>
      <c r="X713" s="60"/>
      <c r="Y713" s="60"/>
      <c r="Z713" s="60"/>
      <c r="AA713" s="60"/>
      <c r="AB713" s="60"/>
      <c r="AC713" s="60"/>
      <c r="AD713" s="60"/>
      <c r="AE713" s="60"/>
      <c r="AF713" s="60"/>
      <c r="AG713" s="60"/>
      <c r="AH713" s="60"/>
      <c r="AI713" s="60"/>
      <c r="AJ713" s="60"/>
      <c r="AK713" s="60"/>
      <c r="AL713" s="60"/>
      <c r="AM713" s="60"/>
      <c r="AN713" s="60"/>
      <c r="AO713" s="60"/>
      <c r="AP713" s="60"/>
      <c r="AQ713" s="60"/>
      <c r="AR713" s="60"/>
      <c r="AS713" s="60"/>
      <c r="AT713" s="60"/>
      <c r="AU713" s="60"/>
      <c r="AV713" s="60"/>
      <c r="AW713" s="60"/>
      <c r="AX713" s="60"/>
      <c r="AY713" s="60"/>
      <c r="AZ713" s="60"/>
      <c r="BA713" s="60"/>
      <c r="BB713" s="60"/>
      <c r="BC713" s="60"/>
      <c r="BD713" s="60"/>
      <c r="BE713" s="60"/>
      <c r="BF713" s="60"/>
      <c r="BG713" s="60"/>
      <c r="BH713" s="60"/>
      <c r="BI713" s="60"/>
      <c r="BJ713" s="60"/>
      <c r="BK713" s="60"/>
      <c r="BL713" s="60"/>
      <c r="BM713" s="60"/>
      <c r="BN713" s="60"/>
      <c r="BO713" s="60"/>
      <c r="BP713" s="60"/>
      <c r="BQ713" s="60"/>
      <c r="BR713" s="60"/>
      <c r="BS713" s="60"/>
      <c r="BT713" s="60"/>
      <c r="BU713" s="60"/>
      <c r="BV713" s="60"/>
      <c r="BW713" s="60"/>
      <c r="BX713" s="60"/>
      <c r="BY713" s="60"/>
      <c r="BZ713" s="60"/>
      <c r="CA713" s="60"/>
      <c r="CB713" s="60"/>
      <c r="CC713" s="60"/>
      <c r="CD713" s="60"/>
      <c r="CE713" s="60"/>
      <c r="CF713" s="60"/>
      <c r="CG713" s="60"/>
      <c r="CH713" s="60"/>
      <c r="CI713" s="60"/>
      <c r="CJ713" s="60"/>
      <c r="CK713" s="60"/>
      <c r="CL713" s="60"/>
      <c r="CM713" s="60"/>
      <c r="CN713" s="60"/>
      <c r="CO713" s="60"/>
      <c r="CP713" s="60"/>
      <c r="CQ713" s="60"/>
    </row>
    <row r="714" s="60" customFormat="1" ht="46.799999999999997" customHeight="1">
      <c r="A714" s="33">
        <v>1</v>
      </c>
      <c r="B714" s="50" t="s">
        <v>406</v>
      </c>
      <c r="C714" s="33" t="s">
        <v>43</v>
      </c>
      <c r="D714" s="33">
        <v>1967</v>
      </c>
      <c r="E714" s="35" t="s">
        <v>39</v>
      </c>
      <c r="F714" s="33" t="s">
        <v>48</v>
      </c>
      <c r="G714" s="36">
        <v>5</v>
      </c>
      <c r="H714" s="36">
        <v>3</v>
      </c>
      <c r="I714" s="37">
        <v>3199</v>
      </c>
      <c r="J714" s="37">
        <v>2083.4000000000001</v>
      </c>
      <c r="K714" s="37">
        <v>0</v>
      </c>
      <c r="L714" s="38">
        <v>10</v>
      </c>
      <c r="M714" s="39">
        <f t="shared" ref="M714:M715" si="118">SUM(N714:Q714)</f>
        <v>8050042.5700000003</v>
      </c>
      <c r="N714" s="37">
        <v>0</v>
      </c>
      <c r="O714" s="37">
        <v>0</v>
      </c>
      <c r="P714" s="37">
        <v>0</v>
      </c>
      <c r="Q714" s="39">
        <f>'Таблица 3 '!C703</f>
        <v>8050042.5700000003</v>
      </c>
      <c r="R714" s="37">
        <f t="shared" ref="R714:R715" si="119">Q714</f>
        <v>8050042.5700000003</v>
      </c>
      <c r="S714" s="37">
        <v>0</v>
      </c>
      <c r="T714" s="37">
        <f t="shared" si="104"/>
        <v>3863.8967889027549</v>
      </c>
      <c r="U714" s="37">
        <f t="shared" si="107"/>
        <v>3863.8967889027549</v>
      </c>
      <c r="V714" s="41" t="s">
        <v>572</v>
      </c>
      <c r="W714" s="60"/>
    </row>
    <row r="715" s="60" customFormat="1" ht="46.799999999999997" customHeight="1">
      <c r="A715" s="33">
        <v>2</v>
      </c>
      <c r="B715" s="50" t="s">
        <v>409</v>
      </c>
      <c r="C715" s="33" t="s">
        <v>43</v>
      </c>
      <c r="D715" s="33">
        <v>1973</v>
      </c>
      <c r="E715" s="35" t="s">
        <v>39</v>
      </c>
      <c r="F715" s="33" t="s">
        <v>48</v>
      </c>
      <c r="G715" s="36">
        <v>5</v>
      </c>
      <c r="H715" s="36">
        <v>2</v>
      </c>
      <c r="I715" s="37">
        <v>2847</v>
      </c>
      <c r="J715" s="37">
        <v>1771</v>
      </c>
      <c r="K715" s="37">
        <v>0</v>
      </c>
      <c r="L715" s="38">
        <v>40</v>
      </c>
      <c r="M715" s="39">
        <f t="shared" si="118"/>
        <v>7096083.1400000006</v>
      </c>
      <c r="N715" s="37">
        <v>0</v>
      </c>
      <c r="O715" s="37">
        <v>0</v>
      </c>
      <c r="P715" s="37">
        <v>0</v>
      </c>
      <c r="Q715" s="39">
        <f>'Таблица 3 '!C704</f>
        <v>7096083.1400000006</v>
      </c>
      <c r="R715" s="37">
        <f t="shared" si="119"/>
        <v>7096083.1400000006</v>
      </c>
      <c r="S715" s="37">
        <v>0</v>
      </c>
      <c r="T715" s="37">
        <f t="shared" si="104"/>
        <v>4006.822778091474</v>
      </c>
      <c r="U715" s="37">
        <f t="shared" si="107"/>
        <v>4006.822778091474</v>
      </c>
      <c r="V715" s="41" t="s">
        <v>572</v>
      </c>
      <c r="W715" s="60"/>
    </row>
    <row r="716" s="60" customFormat="1" ht="24.75" customHeight="1">
      <c r="A716" s="25" t="s">
        <v>411</v>
      </c>
      <c r="B716" s="25"/>
      <c r="C716" s="82" t="s">
        <v>39</v>
      </c>
      <c r="D716" s="82" t="s">
        <v>39</v>
      </c>
      <c r="E716" s="84" t="s">
        <v>39</v>
      </c>
      <c r="F716" s="83" t="s">
        <v>39</v>
      </c>
      <c r="G716" s="157" t="s">
        <v>39</v>
      </c>
      <c r="H716" s="157" t="s">
        <v>39</v>
      </c>
      <c r="I716" s="70">
        <f>SUM(I717:I721)</f>
        <v>11510.499999999998</v>
      </c>
      <c r="J716" s="70">
        <f>SUM(J717:J721)</f>
        <v>9974.6000000000004</v>
      </c>
      <c r="K716" s="70">
        <f>SUM(K717:K721)</f>
        <v>9600.3000000000011</v>
      </c>
      <c r="L716" s="71">
        <f>SUM(L717:L721)</f>
        <v>411</v>
      </c>
      <c r="M716" s="70">
        <f>SUM(M717:M721)</f>
        <v>41868457.459999993</v>
      </c>
      <c r="N716" s="70">
        <f>SUM(N717:N721)</f>
        <v>0</v>
      </c>
      <c r="O716" s="70">
        <f>SUM(O717:O721)</f>
        <v>0</v>
      </c>
      <c r="P716" s="70">
        <f>SUM(P717:P721)</f>
        <v>0</v>
      </c>
      <c r="Q716" s="70">
        <f>SUM(Q717:Q721)</f>
        <v>41868457.459999993</v>
      </c>
      <c r="R716" s="70">
        <f>SUM(R717:R721)</f>
        <v>41868457.459999993</v>
      </c>
      <c r="S716" s="70">
        <f>SUM(S717:S721)</f>
        <v>0</v>
      </c>
      <c r="T716" s="32" t="s">
        <v>39</v>
      </c>
      <c r="U716" s="32" t="s">
        <v>39</v>
      </c>
      <c r="V716" s="85" t="s">
        <v>39</v>
      </c>
      <c r="W716" s="60"/>
    </row>
    <row r="717" s="59" customFormat="1" ht="42" customHeight="1">
      <c r="A717" s="33">
        <v>1</v>
      </c>
      <c r="B717" s="34" t="s">
        <v>412</v>
      </c>
      <c r="C717" s="43" t="s">
        <v>43</v>
      </c>
      <c r="D717" s="35">
        <v>1977</v>
      </c>
      <c r="E717" s="44" t="s">
        <v>63</v>
      </c>
      <c r="F717" s="33" t="s">
        <v>77</v>
      </c>
      <c r="G717" s="45" t="s">
        <v>413</v>
      </c>
      <c r="H717" s="36" t="s">
        <v>414</v>
      </c>
      <c r="I717" s="158">
        <v>3159.0999999999999</v>
      </c>
      <c r="J717" s="40">
        <v>2780.1999999999998</v>
      </c>
      <c r="K717" s="51">
        <v>2626.4000000000001</v>
      </c>
      <c r="L717" s="48">
        <v>103</v>
      </c>
      <c r="M717" s="87">
        <f t="shared" ref="M717:M721" si="120">SUM(N717:Q717)</f>
        <v>14774939.74</v>
      </c>
      <c r="N717" s="51">
        <v>0</v>
      </c>
      <c r="O717" s="40">
        <v>0</v>
      </c>
      <c r="P717" s="51">
        <v>0</v>
      </c>
      <c r="Q717" s="40">
        <f>'Таблица 3 '!C706</f>
        <v>14774939.74</v>
      </c>
      <c r="R717" s="51">
        <f t="shared" ref="R717:R721" si="121">Q717</f>
        <v>14774939.74</v>
      </c>
      <c r="S717" s="40">
        <v>0</v>
      </c>
      <c r="T717" s="51">
        <f t="shared" si="104"/>
        <v>5314.3441982591185</v>
      </c>
      <c r="U717" s="87">
        <f t="shared" si="107"/>
        <v>5314.3441982591185</v>
      </c>
      <c r="V717" s="41" t="s">
        <v>572</v>
      </c>
      <c r="W717" s="59"/>
    </row>
    <row r="718" s="59" customFormat="1" ht="42" customHeight="1">
      <c r="A718" s="33">
        <v>2</v>
      </c>
      <c r="B718" s="34" t="s">
        <v>415</v>
      </c>
      <c r="C718" s="33" t="s">
        <v>43</v>
      </c>
      <c r="D718" s="35">
        <v>1992</v>
      </c>
      <c r="E718" s="35">
        <v>2018</v>
      </c>
      <c r="F718" s="33" t="s">
        <v>77</v>
      </c>
      <c r="G718" s="36" t="s">
        <v>413</v>
      </c>
      <c r="H718" s="36" t="s">
        <v>414</v>
      </c>
      <c r="I718" s="79">
        <v>4378.1999999999998</v>
      </c>
      <c r="J718" s="40">
        <v>3819.9000000000001</v>
      </c>
      <c r="K718" s="40">
        <v>3601.5999999999999</v>
      </c>
      <c r="L718" s="138">
        <v>146</v>
      </c>
      <c r="M718" s="87">
        <f t="shared" si="120"/>
        <v>350382</v>
      </c>
      <c r="N718" s="40">
        <v>0</v>
      </c>
      <c r="O718" s="40">
        <v>0</v>
      </c>
      <c r="P718" s="40">
        <v>0</v>
      </c>
      <c r="Q718" s="40">
        <f>'Таблица 3 '!C707</f>
        <v>350382</v>
      </c>
      <c r="R718" s="40">
        <f t="shared" si="121"/>
        <v>350382</v>
      </c>
      <c r="S718" s="40">
        <v>0</v>
      </c>
      <c r="T718" s="40">
        <f t="shared" si="104"/>
        <v>91.725437838686872</v>
      </c>
      <c r="U718" s="87">
        <f t="shared" si="107"/>
        <v>91.725437838686872</v>
      </c>
      <c r="V718" s="41" t="s">
        <v>572</v>
      </c>
      <c r="W718" s="59"/>
    </row>
    <row r="719" s="60" customFormat="1" ht="45" customHeight="1">
      <c r="A719" s="33">
        <v>3</v>
      </c>
      <c r="B719" s="50" t="s">
        <v>417</v>
      </c>
      <c r="C719" s="33" t="s">
        <v>43</v>
      </c>
      <c r="D719" s="33">
        <v>1962</v>
      </c>
      <c r="E719" s="35" t="s">
        <v>40</v>
      </c>
      <c r="F719" s="33" t="s">
        <v>44</v>
      </c>
      <c r="G719" s="36">
        <v>4</v>
      </c>
      <c r="H719" s="36">
        <v>2</v>
      </c>
      <c r="I719" s="79">
        <v>1364.9000000000001</v>
      </c>
      <c r="J719" s="40">
        <v>1200.7</v>
      </c>
      <c r="K719" s="40">
        <v>1198.5</v>
      </c>
      <c r="L719" s="48">
        <v>53</v>
      </c>
      <c r="M719" s="39">
        <f t="shared" si="120"/>
        <v>13616949.17</v>
      </c>
      <c r="N719" s="40">
        <v>0</v>
      </c>
      <c r="O719" s="40">
        <v>0</v>
      </c>
      <c r="P719" s="40">
        <v>0</v>
      </c>
      <c r="Q719" s="40">
        <f>'Таблица 3 '!C708</f>
        <v>13616949.17</v>
      </c>
      <c r="R719" s="40">
        <f t="shared" si="121"/>
        <v>13616949.17</v>
      </c>
      <c r="S719" s="37">
        <v>0</v>
      </c>
      <c r="T719" s="40">
        <f t="shared" si="104"/>
        <v>11340.84215041226</v>
      </c>
      <c r="U719" s="87">
        <f t="shared" si="107"/>
        <v>11340.84215041226</v>
      </c>
      <c r="V719" s="41" t="s">
        <v>572</v>
      </c>
      <c r="W719" s="60"/>
    </row>
    <row r="720" s="144" customFormat="1" ht="42" customHeight="1">
      <c r="A720" s="33">
        <v>4</v>
      </c>
      <c r="B720" s="34" t="s">
        <v>692</v>
      </c>
      <c r="C720" s="43" t="s">
        <v>43</v>
      </c>
      <c r="D720" s="35">
        <v>1981</v>
      </c>
      <c r="E720" s="44" t="s">
        <v>50</v>
      </c>
      <c r="F720" s="33" t="s">
        <v>77</v>
      </c>
      <c r="G720" s="45">
        <v>2</v>
      </c>
      <c r="H720" s="36">
        <v>3</v>
      </c>
      <c r="I720" s="158">
        <v>1047.9000000000001</v>
      </c>
      <c r="J720" s="40">
        <v>880.60000000000002</v>
      </c>
      <c r="K720" s="51">
        <v>880.60000000000002</v>
      </c>
      <c r="L720" s="48">
        <v>36</v>
      </c>
      <c r="M720" s="39">
        <f t="shared" si="120"/>
        <v>7776441.7800000003</v>
      </c>
      <c r="N720" s="46">
        <v>0</v>
      </c>
      <c r="O720" s="37">
        <v>0</v>
      </c>
      <c r="P720" s="46">
        <v>0</v>
      </c>
      <c r="Q720" s="40">
        <f>'Таблица 3 '!C709</f>
        <v>7776441.7800000003</v>
      </c>
      <c r="R720" s="46">
        <f t="shared" si="121"/>
        <v>7776441.7800000003</v>
      </c>
      <c r="S720" s="40">
        <v>0</v>
      </c>
      <c r="T720" s="51">
        <f t="shared" si="104"/>
        <v>8830.8446286622766</v>
      </c>
      <c r="U720" s="87">
        <f t="shared" si="107"/>
        <v>8830.8446286622766</v>
      </c>
      <c r="V720" s="41" t="s">
        <v>572</v>
      </c>
      <c r="W720" s="59"/>
    </row>
    <row r="721" s="60" customFormat="1" ht="42" customHeight="1">
      <c r="A721" s="33">
        <v>5</v>
      </c>
      <c r="B721" s="34" t="s">
        <v>427</v>
      </c>
      <c r="C721" s="33" t="s">
        <v>43</v>
      </c>
      <c r="D721" s="35">
        <v>1963</v>
      </c>
      <c r="E721" s="35" t="s">
        <v>39</v>
      </c>
      <c r="F721" s="33" t="s">
        <v>77</v>
      </c>
      <c r="G721" s="36">
        <v>5</v>
      </c>
      <c r="H721" s="36">
        <v>2</v>
      </c>
      <c r="I721" s="40">
        <v>1560.4000000000001</v>
      </c>
      <c r="J721" s="40">
        <v>1293.2</v>
      </c>
      <c r="K721" s="40">
        <v>1293.2</v>
      </c>
      <c r="L721" s="48">
        <v>73</v>
      </c>
      <c r="M721" s="39">
        <f t="shared" si="120"/>
        <v>5349744.7699999996</v>
      </c>
      <c r="N721" s="40">
        <v>0</v>
      </c>
      <c r="O721" s="40">
        <v>0</v>
      </c>
      <c r="P721" s="40">
        <v>0</v>
      </c>
      <c r="Q721" s="40">
        <f>'Таблица 3 '!C710</f>
        <v>5349744.7699999996</v>
      </c>
      <c r="R721" s="40">
        <f t="shared" si="121"/>
        <v>5349744.7699999996</v>
      </c>
      <c r="S721" s="40">
        <v>0</v>
      </c>
      <c r="T721" s="40">
        <f t="shared" si="104"/>
        <v>4136.8270723785954</v>
      </c>
      <c r="U721" s="87">
        <f t="shared" si="107"/>
        <v>4136.8270723785954</v>
      </c>
      <c r="V721" s="41" t="s">
        <v>572</v>
      </c>
      <c r="W721" s="60"/>
    </row>
    <row r="722" s="60" customFormat="1" ht="23.25" customHeight="1">
      <c r="A722" s="25" t="s">
        <v>429</v>
      </c>
      <c r="B722" s="25"/>
      <c r="C722" s="26" t="s">
        <v>39</v>
      </c>
      <c r="D722" s="26" t="s">
        <v>39</v>
      </c>
      <c r="E722" s="27" t="s">
        <v>39</v>
      </c>
      <c r="F722" s="26" t="s">
        <v>39</v>
      </c>
      <c r="G722" s="28" t="s">
        <v>39</v>
      </c>
      <c r="H722" s="28" t="s">
        <v>39</v>
      </c>
      <c r="I722" s="88">
        <f>SUM(I723:I729)</f>
        <v>20425.709999999999</v>
      </c>
      <c r="J722" s="88">
        <f>SUM(J723:J729)</f>
        <v>16482.82</v>
      </c>
      <c r="K722" s="88">
        <f>SUM(K723:K729)</f>
        <v>13104.77</v>
      </c>
      <c r="L722" s="89">
        <f>SUM(L723:L729)</f>
        <v>732</v>
      </c>
      <c r="M722" s="88">
        <f>SUM(M723:M729)</f>
        <v>69476166.739999995</v>
      </c>
      <c r="N722" s="88">
        <f>SUM(N723:N729)</f>
        <v>0</v>
      </c>
      <c r="O722" s="88">
        <f>SUM(O723:O729)</f>
        <v>0</v>
      </c>
      <c r="P722" s="88">
        <f>SUM(P723:P729)</f>
        <v>0</v>
      </c>
      <c r="Q722" s="88">
        <f>SUM(Q723:Q729)</f>
        <v>69476166.739999995</v>
      </c>
      <c r="R722" s="88">
        <f>SUM(R723:R729)</f>
        <v>69476166.739999995</v>
      </c>
      <c r="S722" s="88">
        <f>SUM(S723:S729)</f>
        <v>0</v>
      </c>
      <c r="T722" s="32" t="s">
        <v>39</v>
      </c>
      <c r="U722" s="32" t="s">
        <v>39</v>
      </c>
      <c r="V722" s="28" t="s">
        <v>39</v>
      </c>
      <c r="W722" s="60"/>
    </row>
    <row r="723" s="60" customFormat="1" ht="43.5" customHeight="1">
      <c r="A723" s="33">
        <v>1</v>
      </c>
      <c r="B723" s="50" t="s">
        <v>430</v>
      </c>
      <c r="C723" s="33" t="s">
        <v>43</v>
      </c>
      <c r="D723" s="35" t="s">
        <v>213</v>
      </c>
      <c r="E723" s="35" t="s">
        <v>39</v>
      </c>
      <c r="F723" s="33" t="s">
        <v>77</v>
      </c>
      <c r="G723" s="36">
        <v>5</v>
      </c>
      <c r="H723" s="36">
        <v>6</v>
      </c>
      <c r="I723" s="39">
        <v>5895.8000000000002</v>
      </c>
      <c r="J723" s="39">
        <v>4456.3000000000002</v>
      </c>
      <c r="K723" s="39">
        <v>2839.5</v>
      </c>
      <c r="L723" s="38">
        <v>264</v>
      </c>
      <c r="M723" s="39">
        <f t="shared" ref="M723:M729" si="122">SUM(N723:Q723)</f>
        <v>24032694.039999999</v>
      </c>
      <c r="N723" s="37">
        <v>0</v>
      </c>
      <c r="O723" s="37">
        <v>0</v>
      </c>
      <c r="P723" s="37">
        <v>0</v>
      </c>
      <c r="Q723" s="40">
        <f>'Таблица 3 '!C712</f>
        <v>24032694.039999999</v>
      </c>
      <c r="R723" s="37">
        <f t="shared" ref="R723:R729" si="123">Q723</f>
        <v>24032694.039999999</v>
      </c>
      <c r="S723" s="37">
        <v>0</v>
      </c>
      <c r="T723" s="37">
        <f t="shared" si="104"/>
        <v>5392.9704104301773</v>
      </c>
      <c r="U723" s="37">
        <f t="shared" si="107"/>
        <v>5392.9704104301773</v>
      </c>
      <c r="V723" s="41" t="s">
        <v>572</v>
      </c>
      <c r="W723" s="59"/>
    </row>
    <row r="724" s="60" customFormat="1" ht="42.75" customHeight="1">
      <c r="A724" s="33">
        <v>2</v>
      </c>
      <c r="B724" s="50" t="s">
        <v>431</v>
      </c>
      <c r="C724" s="33" t="s">
        <v>43</v>
      </c>
      <c r="D724" s="35">
        <v>1974</v>
      </c>
      <c r="E724" s="35">
        <v>2018</v>
      </c>
      <c r="F724" s="33" t="s">
        <v>48</v>
      </c>
      <c r="G724" s="36">
        <v>5</v>
      </c>
      <c r="H724" s="36">
        <v>4</v>
      </c>
      <c r="I724" s="39">
        <v>3992.9099999999999</v>
      </c>
      <c r="J724" s="39">
        <v>3283.5999999999999</v>
      </c>
      <c r="K724" s="39">
        <v>2227.8600000000001</v>
      </c>
      <c r="L724" s="38">
        <v>149</v>
      </c>
      <c r="M724" s="39">
        <f t="shared" si="122"/>
        <v>17447045.120000001</v>
      </c>
      <c r="N724" s="37">
        <v>0</v>
      </c>
      <c r="O724" s="37">
        <v>0</v>
      </c>
      <c r="P724" s="37">
        <v>0</v>
      </c>
      <c r="Q724" s="40">
        <f>'Таблица 3 '!C713</f>
        <v>17447045.120000001</v>
      </c>
      <c r="R724" s="37">
        <f t="shared" si="123"/>
        <v>17447045.120000001</v>
      </c>
      <c r="S724" s="37">
        <v>0</v>
      </c>
      <c r="T724" s="37">
        <f t="shared" si="104"/>
        <v>5313.3893044219767</v>
      </c>
      <c r="U724" s="37">
        <f t="shared" si="107"/>
        <v>5313.3893044219767</v>
      </c>
      <c r="V724" s="41" t="s">
        <v>572</v>
      </c>
      <c r="W724" s="60"/>
    </row>
    <row r="725" s="60" customFormat="1" ht="42" customHeight="1">
      <c r="A725" s="33">
        <v>3</v>
      </c>
      <c r="B725" s="50" t="s">
        <v>432</v>
      </c>
      <c r="C725" s="33" t="s">
        <v>43</v>
      </c>
      <c r="D725" s="33">
        <v>1992</v>
      </c>
      <c r="E725" s="35">
        <v>2024</v>
      </c>
      <c r="F725" s="33" t="s">
        <v>48</v>
      </c>
      <c r="G725" s="36">
        <v>5</v>
      </c>
      <c r="H725" s="36">
        <v>3</v>
      </c>
      <c r="I725" s="87">
        <v>3726.6999999999998</v>
      </c>
      <c r="J725" s="87">
        <v>3184.5999999999999</v>
      </c>
      <c r="K725" s="87">
        <v>2764.8600000000001</v>
      </c>
      <c r="L725" s="48">
        <v>110</v>
      </c>
      <c r="M725" s="39">
        <f t="shared" si="122"/>
        <v>2559721.6700000004</v>
      </c>
      <c r="N725" s="37">
        <v>0</v>
      </c>
      <c r="O725" s="37">
        <v>0</v>
      </c>
      <c r="P725" s="37">
        <v>0</v>
      </c>
      <c r="Q725" s="40">
        <f>'Таблица 3 '!C714</f>
        <v>2559721.6700000004</v>
      </c>
      <c r="R725" s="37">
        <f t="shared" si="123"/>
        <v>2559721.6700000004</v>
      </c>
      <c r="S725" s="40">
        <v>0</v>
      </c>
      <c r="T725" s="37">
        <f t="shared" ref="T725:T788" si="124">M725/J725</f>
        <v>803.78121899139626</v>
      </c>
      <c r="U725" s="37">
        <f t="shared" si="107"/>
        <v>803.78121899139626</v>
      </c>
      <c r="V725" s="41" t="s">
        <v>572</v>
      </c>
      <c r="W725" s="60"/>
    </row>
    <row r="726" s="60" customFormat="1" ht="42" customHeight="1">
      <c r="A726" s="33">
        <v>4</v>
      </c>
      <c r="B726" s="50" t="s">
        <v>433</v>
      </c>
      <c r="C726" s="33" t="s">
        <v>43</v>
      </c>
      <c r="D726" s="33">
        <v>1979</v>
      </c>
      <c r="E726" s="35">
        <v>2019</v>
      </c>
      <c r="F726" s="33" t="s">
        <v>77</v>
      </c>
      <c r="G726" s="36">
        <v>2</v>
      </c>
      <c r="H726" s="36">
        <v>2</v>
      </c>
      <c r="I726" s="92">
        <v>583.85000000000002</v>
      </c>
      <c r="J726" s="87">
        <v>499.05000000000001</v>
      </c>
      <c r="K726" s="87">
        <v>499.05000000000001</v>
      </c>
      <c r="L726" s="48">
        <v>18</v>
      </c>
      <c r="M726" s="39">
        <f t="shared" si="122"/>
        <v>1746358.6899999999</v>
      </c>
      <c r="N726" s="37">
        <v>0</v>
      </c>
      <c r="O726" s="37">
        <v>0</v>
      </c>
      <c r="P726" s="37">
        <v>0</v>
      </c>
      <c r="Q726" s="40">
        <f>'Таблица 3 '!C715</f>
        <v>1746358.6899999999</v>
      </c>
      <c r="R726" s="37">
        <f t="shared" si="123"/>
        <v>1746358.6899999999</v>
      </c>
      <c r="S726" s="40">
        <v>0</v>
      </c>
      <c r="T726" s="37">
        <f t="shared" si="124"/>
        <v>3499.3661757338941</v>
      </c>
      <c r="U726" s="37">
        <f t="shared" si="107"/>
        <v>3499.3661757338941</v>
      </c>
      <c r="V726" s="41" t="s">
        <v>572</v>
      </c>
      <c r="W726" s="60"/>
    </row>
    <row r="727" s="60" customFormat="1" ht="42" customHeight="1">
      <c r="A727" s="33">
        <v>5</v>
      </c>
      <c r="B727" s="50" t="s">
        <v>693</v>
      </c>
      <c r="C727" s="33" t="s">
        <v>43</v>
      </c>
      <c r="D727" s="33">
        <v>1976</v>
      </c>
      <c r="E727" s="35">
        <v>2016</v>
      </c>
      <c r="F727" s="33" t="s">
        <v>77</v>
      </c>
      <c r="G727" s="36">
        <v>2</v>
      </c>
      <c r="H727" s="36">
        <v>1</v>
      </c>
      <c r="I727" s="92">
        <v>391.75</v>
      </c>
      <c r="J727" s="87">
        <v>368.85000000000002</v>
      </c>
      <c r="K727" s="87">
        <v>368.85000000000002</v>
      </c>
      <c r="L727" s="48">
        <v>19</v>
      </c>
      <c r="M727" s="39">
        <f t="shared" si="122"/>
        <v>265594</v>
      </c>
      <c r="N727" s="37">
        <v>0</v>
      </c>
      <c r="O727" s="37">
        <v>0</v>
      </c>
      <c r="P727" s="37">
        <v>0</v>
      </c>
      <c r="Q727" s="40">
        <f>'Таблица 3 '!C716</f>
        <v>265594</v>
      </c>
      <c r="R727" s="37">
        <f t="shared" si="123"/>
        <v>265594</v>
      </c>
      <c r="S727" s="40">
        <v>0</v>
      </c>
      <c r="T727" s="37">
        <f t="shared" si="124"/>
        <v>720.05964484207664</v>
      </c>
      <c r="U727" s="37">
        <f t="shared" si="107"/>
        <v>720.05964484207664</v>
      </c>
      <c r="V727" s="41" t="s">
        <v>572</v>
      </c>
      <c r="W727" s="60"/>
    </row>
    <row r="728" s="60" customFormat="1" ht="42" customHeight="1">
      <c r="A728" s="33">
        <v>6</v>
      </c>
      <c r="B728" s="50" t="s">
        <v>694</v>
      </c>
      <c r="C728" s="159" t="s">
        <v>43</v>
      </c>
      <c r="D728" s="160" t="s">
        <v>266</v>
      </c>
      <c r="E728" s="160" t="s">
        <v>39</v>
      </c>
      <c r="F728" s="159" t="s">
        <v>77</v>
      </c>
      <c r="G728" s="161">
        <v>5</v>
      </c>
      <c r="H728" s="161">
        <v>4</v>
      </c>
      <c r="I728" s="111">
        <v>4161.6999999999998</v>
      </c>
      <c r="J728" s="39">
        <v>3159.6199999999999</v>
      </c>
      <c r="K728" s="39">
        <v>2948.25</v>
      </c>
      <c r="L728" s="162">
        <v>133</v>
      </c>
      <c r="M728" s="39">
        <f t="shared" si="122"/>
        <v>19488344.509999998</v>
      </c>
      <c r="N728" s="163">
        <v>0</v>
      </c>
      <c r="O728" s="163">
        <v>0</v>
      </c>
      <c r="P728" s="163">
        <v>0</v>
      </c>
      <c r="Q728" s="40">
        <f>'Таблица 3 '!C717</f>
        <v>19488344.509999998</v>
      </c>
      <c r="R728" s="163">
        <f t="shared" si="123"/>
        <v>19488344.509999998</v>
      </c>
      <c r="S728" s="163">
        <v>0</v>
      </c>
      <c r="T728" s="163">
        <f t="shared" si="124"/>
        <v>6167.9393439717433</v>
      </c>
      <c r="U728" s="163">
        <f t="shared" si="107"/>
        <v>6167.9393439717433</v>
      </c>
      <c r="V728" s="41" t="s">
        <v>572</v>
      </c>
      <c r="W728" s="59"/>
    </row>
    <row r="729" s="60" customFormat="1" ht="42" customHeight="1">
      <c r="A729" s="33">
        <v>7</v>
      </c>
      <c r="B729" s="50" t="s">
        <v>695</v>
      </c>
      <c r="C729" s="33" t="s">
        <v>43</v>
      </c>
      <c r="D729" s="33">
        <v>1993</v>
      </c>
      <c r="E729" s="35">
        <v>2019</v>
      </c>
      <c r="F729" s="33" t="s">
        <v>77</v>
      </c>
      <c r="G729" s="36">
        <v>3</v>
      </c>
      <c r="H729" s="36">
        <v>3</v>
      </c>
      <c r="I729" s="92">
        <v>1673</v>
      </c>
      <c r="J729" s="87">
        <v>1530.8</v>
      </c>
      <c r="K729" s="87">
        <v>1456.4000000000001</v>
      </c>
      <c r="L729" s="48">
        <v>39</v>
      </c>
      <c r="M729" s="39">
        <f t="shared" si="122"/>
        <v>3936408.71</v>
      </c>
      <c r="N729" s="40">
        <v>0</v>
      </c>
      <c r="O729" s="40">
        <v>0</v>
      </c>
      <c r="P729" s="40">
        <v>0</v>
      </c>
      <c r="Q729" s="40">
        <f>'Таблица 3 '!C718</f>
        <v>3936408.71</v>
      </c>
      <c r="R729" s="40">
        <f t="shared" si="123"/>
        <v>3936408.71</v>
      </c>
      <c r="S729" s="40">
        <v>0</v>
      </c>
      <c r="T729" s="40">
        <f t="shared" si="124"/>
        <v>2571.471590018291</v>
      </c>
      <c r="U729" s="40">
        <f t="shared" si="107"/>
        <v>2571.471590018291</v>
      </c>
      <c r="V729" s="41" t="s">
        <v>572</v>
      </c>
      <c r="W729" s="60"/>
    </row>
    <row r="730" s="60" customFormat="1" ht="27.75" customHeight="1">
      <c r="A730" s="25" t="s">
        <v>435</v>
      </c>
      <c r="B730" s="25"/>
      <c r="C730" s="26" t="s">
        <v>39</v>
      </c>
      <c r="D730" s="26" t="s">
        <v>39</v>
      </c>
      <c r="E730" s="27" t="s">
        <v>39</v>
      </c>
      <c r="F730" s="26" t="s">
        <v>39</v>
      </c>
      <c r="G730" s="28" t="s">
        <v>39</v>
      </c>
      <c r="H730" s="28" t="s">
        <v>39</v>
      </c>
      <c r="I730" s="64">
        <f>SUM(I731:I753)</f>
        <v>67707.860000000015</v>
      </c>
      <c r="J730" s="64">
        <f>SUM(J731:J753)</f>
        <v>55359.479999999996</v>
      </c>
      <c r="K730" s="64">
        <f>SUM(K731:K753)</f>
        <v>18306.380000000001</v>
      </c>
      <c r="L730" s="65">
        <f>SUM(L731:L753)</f>
        <v>2032</v>
      </c>
      <c r="M730" s="64">
        <f>SUM(M731:M753)</f>
        <v>303435228.97999996</v>
      </c>
      <c r="N730" s="64">
        <f>SUM(N731:N753)</f>
        <v>0</v>
      </c>
      <c r="O730" s="64">
        <f>SUM(O731:O753)</f>
        <v>0</v>
      </c>
      <c r="P730" s="64">
        <f>SUM(P731:P753)</f>
        <v>0</v>
      </c>
      <c r="Q730" s="64">
        <f>SUM(Q731:Q753)</f>
        <v>303435228.97999996</v>
      </c>
      <c r="R730" s="64">
        <f>SUM(R731:R753)</f>
        <v>303435228.97999996</v>
      </c>
      <c r="S730" s="64">
        <f>SUM(S731:S753)</f>
        <v>0</v>
      </c>
      <c r="T730" s="32" t="s">
        <v>39</v>
      </c>
      <c r="U730" s="32" t="s">
        <v>39</v>
      </c>
      <c r="V730" s="28" t="s">
        <v>39</v>
      </c>
      <c r="W730" s="60"/>
    </row>
    <row r="731" s="59" customFormat="1" ht="44.25" customHeight="1">
      <c r="A731" s="33">
        <v>1</v>
      </c>
      <c r="B731" s="50" t="s">
        <v>696</v>
      </c>
      <c r="C731" s="33" t="s">
        <v>43</v>
      </c>
      <c r="D731" s="33">
        <v>1963</v>
      </c>
      <c r="E731" s="35" t="s">
        <v>39</v>
      </c>
      <c r="F731" s="43" t="s">
        <v>44</v>
      </c>
      <c r="G731" s="36">
        <v>2</v>
      </c>
      <c r="H731" s="36">
        <v>2</v>
      </c>
      <c r="I731" s="37">
        <v>323.10000000000002</v>
      </c>
      <c r="J731" s="37">
        <v>284.19999999999999</v>
      </c>
      <c r="K731" s="37">
        <v>251.69999999999999</v>
      </c>
      <c r="L731" s="38">
        <v>30</v>
      </c>
      <c r="M731" s="39">
        <f t="shared" ref="M731:M753" si="125">SUM(N731:Q731)</f>
        <v>2881614.2999999998</v>
      </c>
      <c r="N731" s="37">
        <v>0</v>
      </c>
      <c r="O731" s="37">
        <v>0</v>
      </c>
      <c r="P731" s="37">
        <v>0</v>
      </c>
      <c r="Q731" s="37">
        <f>'Таблица 3 '!C720</f>
        <v>2881614.2999999998</v>
      </c>
      <c r="R731" s="37">
        <f t="shared" ref="R731:R753" si="126">Q731</f>
        <v>2881614.2999999998</v>
      </c>
      <c r="S731" s="37">
        <v>0</v>
      </c>
      <c r="T731" s="37">
        <f t="shared" si="124"/>
        <v>10139.388810696692</v>
      </c>
      <c r="U731" s="37">
        <f t="shared" si="107"/>
        <v>10139.388810696692</v>
      </c>
      <c r="V731" s="41" t="s">
        <v>572</v>
      </c>
      <c r="W731" s="59"/>
    </row>
    <row r="732" s="60" customFormat="1" ht="44.25" customHeight="1">
      <c r="A732" s="33">
        <v>2</v>
      </c>
      <c r="B732" s="50" t="s">
        <v>697</v>
      </c>
      <c r="C732" s="43" t="s">
        <v>43</v>
      </c>
      <c r="D732" s="33">
        <v>1964</v>
      </c>
      <c r="E732" s="44" t="s">
        <v>39</v>
      </c>
      <c r="F732" s="33" t="s">
        <v>455</v>
      </c>
      <c r="G732" s="45">
        <v>2</v>
      </c>
      <c r="H732" s="36">
        <v>2</v>
      </c>
      <c r="I732" s="46">
        <v>269</v>
      </c>
      <c r="J732" s="37">
        <v>278.80000000000001</v>
      </c>
      <c r="K732" s="46">
        <v>278.80000000000001</v>
      </c>
      <c r="L732" s="38">
        <v>22</v>
      </c>
      <c r="M732" s="39">
        <f t="shared" si="125"/>
        <v>650454.29000000004</v>
      </c>
      <c r="N732" s="46">
        <v>0</v>
      </c>
      <c r="O732" s="37">
        <v>0</v>
      </c>
      <c r="P732" s="46">
        <v>0</v>
      </c>
      <c r="Q732" s="37">
        <f>'Таблица 3 '!C721</f>
        <v>650454.29000000004</v>
      </c>
      <c r="R732" s="46">
        <f t="shared" si="126"/>
        <v>650454.29000000004</v>
      </c>
      <c r="S732" s="37">
        <v>0</v>
      </c>
      <c r="T732" s="46">
        <f t="shared" si="124"/>
        <v>2333.0498206599714</v>
      </c>
      <c r="U732" s="37">
        <f t="shared" si="107"/>
        <v>2333.0498206599714</v>
      </c>
      <c r="V732" s="41" t="s">
        <v>572</v>
      </c>
      <c r="W732" s="60"/>
    </row>
    <row r="733" s="60" customFormat="1" ht="44.25" customHeight="1">
      <c r="A733" s="33">
        <v>3</v>
      </c>
      <c r="B733" s="50" t="s">
        <v>698</v>
      </c>
      <c r="C733" s="33" t="s">
        <v>43</v>
      </c>
      <c r="D733" s="33">
        <v>1972</v>
      </c>
      <c r="E733" s="35" t="s">
        <v>39</v>
      </c>
      <c r="F733" s="33" t="s">
        <v>44</v>
      </c>
      <c r="G733" s="36">
        <v>2</v>
      </c>
      <c r="H733" s="36">
        <v>2</v>
      </c>
      <c r="I733" s="37">
        <v>762.89999999999998</v>
      </c>
      <c r="J733" s="37">
        <v>736</v>
      </c>
      <c r="K733" s="37">
        <v>609.89999999999998</v>
      </c>
      <c r="L733" s="90">
        <v>31</v>
      </c>
      <c r="M733" s="39">
        <f t="shared" si="125"/>
        <v>2343584.79</v>
      </c>
      <c r="N733" s="37">
        <v>0</v>
      </c>
      <c r="O733" s="37">
        <v>0</v>
      </c>
      <c r="P733" s="37">
        <v>0</v>
      </c>
      <c r="Q733" s="37">
        <f>'Таблица 3 '!C722</f>
        <v>2343584.79</v>
      </c>
      <c r="R733" s="37">
        <f t="shared" si="126"/>
        <v>2343584.79</v>
      </c>
      <c r="S733" s="37">
        <v>0</v>
      </c>
      <c r="T733" s="37">
        <f t="shared" si="124"/>
        <v>3184.2184646739129</v>
      </c>
      <c r="U733" s="46">
        <f t="shared" si="107"/>
        <v>3184.2184646739129</v>
      </c>
      <c r="V733" s="41" t="s">
        <v>572</v>
      </c>
      <c r="W733" s="59"/>
    </row>
    <row r="734" s="60" customFormat="1" ht="44.25" customHeight="1">
      <c r="A734" s="33">
        <v>4</v>
      </c>
      <c r="B734" s="50" t="s">
        <v>699</v>
      </c>
      <c r="C734" s="33" t="s">
        <v>43</v>
      </c>
      <c r="D734" s="33">
        <v>1967</v>
      </c>
      <c r="E734" s="35" t="s">
        <v>39</v>
      </c>
      <c r="F734" s="33" t="s">
        <v>455</v>
      </c>
      <c r="G734" s="36">
        <v>2</v>
      </c>
      <c r="H734" s="36">
        <v>2</v>
      </c>
      <c r="I734" s="37">
        <v>627.29999999999995</v>
      </c>
      <c r="J734" s="37">
        <v>595.20000000000005</v>
      </c>
      <c r="K734" s="37">
        <v>556.20000000000005</v>
      </c>
      <c r="L734" s="38">
        <v>31</v>
      </c>
      <c r="M734" s="39">
        <f t="shared" si="125"/>
        <v>5744324.7700000005</v>
      </c>
      <c r="N734" s="37">
        <v>0</v>
      </c>
      <c r="O734" s="37">
        <v>0</v>
      </c>
      <c r="P734" s="37">
        <v>0</v>
      </c>
      <c r="Q734" s="37">
        <f>'Таблица 3 '!C723</f>
        <v>5744324.7700000005</v>
      </c>
      <c r="R734" s="37">
        <f t="shared" si="126"/>
        <v>5744324.7700000005</v>
      </c>
      <c r="S734" s="37">
        <v>0</v>
      </c>
      <c r="T734" s="37">
        <f t="shared" si="124"/>
        <v>9651.0832829301071</v>
      </c>
      <c r="U734" s="37">
        <f t="shared" si="107"/>
        <v>9651.0832829301071</v>
      </c>
      <c r="V734" s="41" t="s">
        <v>572</v>
      </c>
      <c r="W734" s="59"/>
      <c r="X734" s="60"/>
      <c r="Y734" s="60"/>
      <c r="Z734" s="60"/>
      <c r="AA734" s="60"/>
      <c r="AB734" s="60"/>
      <c r="AC734" s="60"/>
      <c r="AD734" s="60"/>
      <c r="AE734" s="60"/>
      <c r="AF734" s="60"/>
      <c r="AG734" s="60"/>
      <c r="AH734" s="60"/>
      <c r="AI734" s="60"/>
      <c r="AJ734" s="60"/>
      <c r="AK734" s="60"/>
      <c r="AL734" s="60"/>
      <c r="AM734" s="60"/>
    </row>
    <row r="735" s="60" customFormat="1" ht="44.25" customHeight="1">
      <c r="A735" s="33">
        <v>5</v>
      </c>
      <c r="B735" s="50" t="s">
        <v>700</v>
      </c>
      <c r="C735" s="33" t="s">
        <v>43</v>
      </c>
      <c r="D735" s="33">
        <v>1983</v>
      </c>
      <c r="E735" s="35" t="s">
        <v>39</v>
      </c>
      <c r="F735" s="43" t="s">
        <v>44</v>
      </c>
      <c r="G735" s="36">
        <v>2</v>
      </c>
      <c r="H735" s="36">
        <v>3</v>
      </c>
      <c r="I735" s="37">
        <v>926.10000000000002</v>
      </c>
      <c r="J735" s="37">
        <v>909.79999999999995</v>
      </c>
      <c r="K735" s="37">
        <v>909.79999999999995</v>
      </c>
      <c r="L735" s="38">
        <v>51</v>
      </c>
      <c r="M735" s="39">
        <f t="shared" si="125"/>
        <v>3464140.3799999999</v>
      </c>
      <c r="N735" s="37">
        <v>0</v>
      </c>
      <c r="O735" s="37">
        <v>0</v>
      </c>
      <c r="P735" s="37">
        <v>0</v>
      </c>
      <c r="Q735" s="37">
        <f>'Таблица 3 '!C724</f>
        <v>3464140.3799999999</v>
      </c>
      <c r="R735" s="37">
        <f t="shared" si="126"/>
        <v>3464140.3799999999</v>
      </c>
      <c r="S735" s="37">
        <v>0</v>
      </c>
      <c r="T735" s="37">
        <f t="shared" si="124"/>
        <v>3807.5845020883712</v>
      </c>
      <c r="U735" s="37">
        <f t="shared" si="107"/>
        <v>3807.5845020883712</v>
      </c>
      <c r="V735" s="41" t="s">
        <v>572</v>
      </c>
      <c r="W735" s="59"/>
      <c r="X735" s="60"/>
      <c r="Y735" s="60"/>
      <c r="Z735" s="60"/>
      <c r="AA735" s="60"/>
      <c r="AB735" s="60"/>
      <c r="AC735" s="60"/>
      <c r="AD735" s="60"/>
      <c r="AE735" s="60"/>
      <c r="AF735" s="60"/>
      <c r="AG735" s="60"/>
      <c r="AH735" s="60"/>
      <c r="AI735" s="60"/>
      <c r="AJ735" s="60"/>
      <c r="AK735" s="60"/>
      <c r="AL735" s="60"/>
      <c r="AM735" s="60"/>
    </row>
    <row r="736" s="60" customFormat="1" ht="44.25" customHeight="1">
      <c r="A736" s="33">
        <v>6</v>
      </c>
      <c r="B736" s="50" t="s">
        <v>701</v>
      </c>
      <c r="C736" s="43" t="s">
        <v>43</v>
      </c>
      <c r="D736" s="33">
        <v>1956</v>
      </c>
      <c r="E736" s="35" t="s">
        <v>39</v>
      </c>
      <c r="F736" s="33" t="s">
        <v>455</v>
      </c>
      <c r="G736" s="45">
        <v>2</v>
      </c>
      <c r="H736" s="36">
        <v>2</v>
      </c>
      <c r="I736" s="46">
        <v>500.69999999999999</v>
      </c>
      <c r="J736" s="37">
        <v>495.19999999999999</v>
      </c>
      <c r="K736" s="46">
        <v>495.19999999999999</v>
      </c>
      <c r="L736" s="38">
        <v>36</v>
      </c>
      <c r="M736" s="39">
        <f t="shared" si="125"/>
        <v>4558245.0900000008</v>
      </c>
      <c r="N736" s="46">
        <v>0</v>
      </c>
      <c r="O736" s="37">
        <v>0</v>
      </c>
      <c r="P736" s="46">
        <v>0</v>
      </c>
      <c r="Q736" s="37">
        <f>'Таблица 3 '!C725</f>
        <v>4558245.0900000008</v>
      </c>
      <c r="R736" s="46">
        <f t="shared" si="126"/>
        <v>4558245.0900000008</v>
      </c>
      <c r="S736" s="37">
        <v>0</v>
      </c>
      <c r="T736" s="46">
        <f t="shared" si="124"/>
        <v>9204.856805331181</v>
      </c>
      <c r="U736" s="37">
        <f t="shared" ref="U736:U799" si="127">T736</f>
        <v>9204.856805331181</v>
      </c>
      <c r="V736" s="41" t="s">
        <v>572</v>
      </c>
      <c r="W736" s="59"/>
      <c r="X736" s="60"/>
      <c r="Y736" s="60"/>
      <c r="Z736" s="60"/>
      <c r="AA736" s="60"/>
      <c r="AB736" s="60"/>
      <c r="AC736" s="60"/>
      <c r="AD736" s="60"/>
      <c r="AE736" s="60"/>
      <c r="AF736" s="60"/>
      <c r="AG736" s="60"/>
      <c r="AH736" s="60"/>
      <c r="AI736" s="60"/>
      <c r="AJ736" s="60"/>
      <c r="AK736" s="60"/>
      <c r="AL736" s="60"/>
      <c r="AM736" s="60"/>
    </row>
    <row r="737" s="60" customFormat="1" ht="45" customHeight="1">
      <c r="A737" s="33">
        <v>7</v>
      </c>
      <c r="B737" s="50" t="s">
        <v>438</v>
      </c>
      <c r="C737" s="33" t="s">
        <v>43</v>
      </c>
      <c r="D737" s="33">
        <v>1984</v>
      </c>
      <c r="E737" s="35" t="s">
        <v>39</v>
      </c>
      <c r="F737" s="33" t="s">
        <v>44</v>
      </c>
      <c r="G737" s="36">
        <v>2</v>
      </c>
      <c r="H737" s="36">
        <v>2</v>
      </c>
      <c r="I737" s="37">
        <v>536.89999999999998</v>
      </c>
      <c r="J737" s="37">
        <v>536.89999999999998</v>
      </c>
      <c r="K737" s="37">
        <v>536.89999999999998</v>
      </c>
      <c r="L737" s="38">
        <v>15</v>
      </c>
      <c r="M737" s="39">
        <f t="shared" si="125"/>
        <v>3017412.8700000001</v>
      </c>
      <c r="N737" s="37">
        <v>0</v>
      </c>
      <c r="O737" s="37">
        <v>0</v>
      </c>
      <c r="P737" s="37">
        <v>0</v>
      </c>
      <c r="Q737" s="37">
        <f>'Таблица 3 '!C726</f>
        <v>3017412.8700000001</v>
      </c>
      <c r="R737" s="37">
        <f t="shared" si="126"/>
        <v>3017412.8700000001</v>
      </c>
      <c r="S737" s="37">
        <v>0</v>
      </c>
      <c r="T737" s="37">
        <f t="shared" si="124"/>
        <v>5620.0649469174896</v>
      </c>
      <c r="U737" s="37">
        <f t="shared" si="127"/>
        <v>5620.0649469174896</v>
      </c>
      <c r="V737" s="41" t="s">
        <v>572</v>
      </c>
      <c r="W737" s="60"/>
      <c r="X737" s="60"/>
      <c r="Y737" s="60"/>
      <c r="Z737" s="60"/>
      <c r="AA737" s="60"/>
      <c r="AB737" s="60"/>
      <c r="AC737" s="60"/>
      <c r="AD737" s="60"/>
      <c r="AE737" s="60"/>
      <c r="AF737" s="60"/>
      <c r="AG737" s="60"/>
      <c r="AH737" s="60"/>
      <c r="AI737" s="60"/>
      <c r="AJ737" s="60"/>
      <c r="AK737" s="60"/>
      <c r="AL737" s="60"/>
      <c r="AM737" s="60"/>
    </row>
    <row r="738" s="60" customFormat="1" ht="45" customHeight="1">
      <c r="A738" s="33">
        <v>8</v>
      </c>
      <c r="B738" s="52" t="s">
        <v>702</v>
      </c>
      <c r="C738" s="33" t="s">
        <v>43</v>
      </c>
      <c r="D738" s="33">
        <v>2003</v>
      </c>
      <c r="E738" s="35" t="s">
        <v>39</v>
      </c>
      <c r="F738" s="33" t="s">
        <v>48</v>
      </c>
      <c r="G738" s="36">
        <v>3</v>
      </c>
      <c r="H738" s="36">
        <v>1</v>
      </c>
      <c r="I738" s="37">
        <v>736.39999999999998</v>
      </c>
      <c r="J738" s="37">
        <v>731.17999999999995</v>
      </c>
      <c r="K738" s="37">
        <v>652.67999999999995</v>
      </c>
      <c r="L738" s="38">
        <v>26</v>
      </c>
      <c r="M738" s="39">
        <f t="shared" si="125"/>
        <v>1540151.6200000001</v>
      </c>
      <c r="N738" s="37">
        <v>0</v>
      </c>
      <c r="O738" s="37">
        <v>0</v>
      </c>
      <c r="P738" s="37">
        <v>0</v>
      </c>
      <c r="Q738" s="37">
        <f>'Таблица 3 '!C727</f>
        <v>1540151.6200000001</v>
      </c>
      <c r="R738" s="37">
        <f t="shared" si="126"/>
        <v>1540151.6200000001</v>
      </c>
      <c r="S738" s="37">
        <v>0</v>
      </c>
      <c r="T738" s="37">
        <f t="shared" si="124"/>
        <v>2106.3918870866273</v>
      </c>
      <c r="U738" s="37">
        <f t="shared" si="127"/>
        <v>2106.3918870866273</v>
      </c>
      <c r="V738" s="41" t="s">
        <v>572</v>
      </c>
      <c r="W738" s="59"/>
      <c r="X738" s="60"/>
      <c r="Y738" s="60"/>
      <c r="Z738" s="60"/>
      <c r="AA738" s="60"/>
      <c r="AB738" s="60"/>
      <c r="AC738" s="60"/>
      <c r="AD738" s="60"/>
      <c r="AE738" s="60"/>
      <c r="AF738" s="60"/>
      <c r="AG738" s="60"/>
      <c r="AH738" s="60"/>
      <c r="AI738" s="60"/>
      <c r="AJ738" s="60"/>
      <c r="AK738" s="60"/>
      <c r="AL738" s="60"/>
      <c r="AM738" s="60"/>
    </row>
    <row r="739" s="60" customFormat="1" ht="45" customHeight="1">
      <c r="A739" s="33">
        <v>9</v>
      </c>
      <c r="B739" s="52" t="s">
        <v>442</v>
      </c>
      <c r="C739" s="33" t="s">
        <v>43</v>
      </c>
      <c r="D739" s="33">
        <v>1992</v>
      </c>
      <c r="E739" s="35" t="s">
        <v>39</v>
      </c>
      <c r="F739" s="33" t="s">
        <v>48</v>
      </c>
      <c r="G739" s="36">
        <v>5</v>
      </c>
      <c r="H739" s="36">
        <v>3</v>
      </c>
      <c r="I739" s="37">
        <v>4309</v>
      </c>
      <c r="J739" s="37">
        <v>3415.1999999999998</v>
      </c>
      <c r="K739" s="37">
        <v>3179</v>
      </c>
      <c r="L739" s="38">
        <v>143</v>
      </c>
      <c r="M739" s="39">
        <f t="shared" si="125"/>
        <v>350382</v>
      </c>
      <c r="N739" s="37">
        <v>0</v>
      </c>
      <c r="O739" s="37">
        <v>0</v>
      </c>
      <c r="P739" s="37">
        <v>0</v>
      </c>
      <c r="Q739" s="37">
        <f>'Таблица 3 '!C728</f>
        <v>350382</v>
      </c>
      <c r="R739" s="37">
        <f t="shared" si="126"/>
        <v>350382</v>
      </c>
      <c r="S739" s="37">
        <v>0</v>
      </c>
      <c r="T739" s="37">
        <f t="shared" si="124"/>
        <v>102.5948699929726</v>
      </c>
      <c r="U739" s="37">
        <f t="shared" si="127"/>
        <v>102.5948699929726</v>
      </c>
      <c r="V739" s="41" t="s">
        <v>572</v>
      </c>
      <c r="W739" s="59"/>
      <c r="X739" s="60"/>
      <c r="Y739" s="60"/>
      <c r="Z739" s="60"/>
      <c r="AA739" s="60"/>
      <c r="AB739" s="60"/>
      <c r="AC739" s="60"/>
      <c r="AD739" s="60"/>
      <c r="AE739" s="60"/>
      <c r="AF739" s="60"/>
      <c r="AG739" s="60"/>
      <c r="AH739" s="60"/>
      <c r="AI739" s="60"/>
      <c r="AJ739" s="60"/>
      <c r="AK739" s="60"/>
      <c r="AL739" s="60"/>
      <c r="AM739" s="60"/>
    </row>
    <row r="740" s="60" customFormat="1" ht="45" customHeight="1">
      <c r="A740" s="33">
        <v>10</v>
      </c>
      <c r="B740" s="52" t="s">
        <v>445</v>
      </c>
      <c r="C740" s="33" t="s">
        <v>43</v>
      </c>
      <c r="D740" s="33">
        <v>1995</v>
      </c>
      <c r="E740" s="35" t="s">
        <v>39</v>
      </c>
      <c r="F740" s="33" t="s">
        <v>48</v>
      </c>
      <c r="G740" s="36">
        <v>9</v>
      </c>
      <c r="H740" s="36">
        <v>3</v>
      </c>
      <c r="I740" s="37">
        <v>8055</v>
      </c>
      <c r="J740" s="37">
        <v>6345.8000000000002</v>
      </c>
      <c r="K740" s="37">
        <v>5909.5</v>
      </c>
      <c r="L740" s="38">
        <v>260</v>
      </c>
      <c r="M740" s="39">
        <f t="shared" si="125"/>
        <v>33723765.420000002</v>
      </c>
      <c r="N740" s="37">
        <v>0</v>
      </c>
      <c r="O740" s="37">
        <v>0</v>
      </c>
      <c r="P740" s="37">
        <v>0</v>
      </c>
      <c r="Q740" s="37">
        <f>'Таблица 3 '!C729</f>
        <v>33723765.420000002</v>
      </c>
      <c r="R740" s="37">
        <f t="shared" si="126"/>
        <v>33723765.420000002</v>
      </c>
      <c r="S740" s="37">
        <v>0</v>
      </c>
      <c r="T740" s="37">
        <f t="shared" si="124"/>
        <v>5314.3441993129318</v>
      </c>
      <c r="U740" s="37">
        <f t="shared" si="127"/>
        <v>5314.3441993129318</v>
      </c>
      <c r="V740" s="41" t="s">
        <v>572</v>
      </c>
      <c r="W740" s="60"/>
    </row>
    <row r="741" s="60" customFormat="1" ht="45" customHeight="1">
      <c r="A741" s="33">
        <v>11</v>
      </c>
      <c r="B741" s="50" t="s">
        <v>703</v>
      </c>
      <c r="C741" s="33" t="s">
        <v>43</v>
      </c>
      <c r="D741" s="33">
        <v>1954</v>
      </c>
      <c r="E741" s="35" t="s">
        <v>39</v>
      </c>
      <c r="F741" s="33" t="s">
        <v>44</v>
      </c>
      <c r="G741" s="36">
        <v>2</v>
      </c>
      <c r="H741" s="36">
        <v>2</v>
      </c>
      <c r="I741" s="37">
        <v>1229.0599999999999</v>
      </c>
      <c r="J741" s="94">
        <v>805.20000000000005</v>
      </c>
      <c r="K741" s="94">
        <v>0</v>
      </c>
      <c r="L741" s="95">
        <v>23</v>
      </c>
      <c r="M741" s="39">
        <f t="shared" si="125"/>
        <v>7677344.7000000002</v>
      </c>
      <c r="N741" s="37">
        <v>0</v>
      </c>
      <c r="O741" s="37">
        <v>0</v>
      </c>
      <c r="P741" s="37">
        <v>0</v>
      </c>
      <c r="Q741" s="37">
        <f>'Таблица 3 '!C730</f>
        <v>7677344.7000000002</v>
      </c>
      <c r="R741" s="37">
        <f t="shared" si="126"/>
        <v>7677344.7000000002</v>
      </c>
      <c r="S741" s="37">
        <v>0</v>
      </c>
      <c r="T741" s="37">
        <f t="shared" si="124"/>
        <v>9534.7052906110275</v>
      </c>
      <c r="U741" s="37">
        <f t="shared" si="127"/>
        <v>9534.7052906110275</v>
      </c>
      <c r="V741" s="41" t="s">
        <v>572</v>
      </c>
      <c r="W741" s="59"/>
      <c r="X741" s="59"/>
      <c r="Y741" s="59"/>
      <c r="Z741" s="59"/>
      <c r="AA741" s="59"/>
      <c r="AB741" s="59"/>
      <c r="AC741" s="59"/>
      <c r="AD741" s="59"/>
      <c r="AE741" s="59"/>
      <c r="AF741" s="59"/>
      <c r="AG741" s="59"/>
      <c r="AH741" s="59"/>
      <c r="AI741" s="59"/>
      <c r="AJ741" s="59"/>
      <c r="AK741" s="59"/>
      <c r="AL741" s="59"/>
      <c r="AM741" s="59"/>
    </row>
    <row r="742" s="59" customFormat="1" ht="45" customHeight="1">
      <c r="A742" s="33">
        <v>12</v>
      </c>
      <c r="B742" s="50" t="s">
        <v>704</v>
      </c>
      <c r="C742" s="33" t="s">
        <v>43</v>
      </c>
      <c r="D742" s="33">
        <v>1978</v>
      </c>
      <c r="E742" s="35" t="s">
        <v>39</v>
      </c>
      <c r="F742" s="33" t="s">
        <v>44</v>
      </c>
      <c r="G742" s="36">
        <v>5</v>
      </c>
      <c r="H742" s="36">
        <v>5</v>
      </c>
      <c r="I742" s="37">
        <v>5512.8800000000001</v>
      </c>
      <c r="J742" s="94">
        <v>4424.8000000000002</v>
      </c>
      <c r="K742" s="94">
        <v>4424.8000000000002</v>
      </c>
      <c r="L742" s="95">
        <v>191</v>
      </c>
      <c r="M742" s="39">
        <f t="shared" si="125"/>
        <v>25799634.240000002</v>
      </c>
      <c r="N742" s="37">
        <v>0</v>
      </c>
      <c r="O742" s="37">
        <v>0</v>
      </c>
      <c r="P742" s="37">
        <v>0</v>
      </c>
      <c r="Q742" s="37">
        <f>'Таблица 3 '!C731</f>
        <v>25799634.240000002</v>
      </c>
      <c r="R742" s="37">
        <f t="shared" si="126"/>
        <v>25799634.240000002</v>
      </c>
      <c r="S742" s="37">
        <v>0</v>
      </c>
      <c r="T742" s="37">
        <f t="shared" si="124"/>
        <v>5830.6893509311158</v>
      </c>
      <c r="U742" s="37">
        <f t="shared" si="127"/>
        <v>5830.6893509311158</v>
      </c>
      <c r="V742" s="41" t="s">
        <v>572</v>
      </c>
      <c r="W742" s="59"/>
      <c r="X742" s="59"/>
      <c r="Y742" s="59"/>
      <c r="Z742" s="59"/>
      <c r="AA742" s="59"/>
      <c r="AB742" s="59"/>
      <c r="AC742" s="59"/>
      <c r="AD742" s="59"/>
      <c r="AE742" s="59"/>
      <c r="AF742" s="59"/>
      <c r="AG742" s="59"/>
      <c r="AH742" s="59"/>
      <c r="AI742" s="59"/>
      <c r="AJ742" s="59"/>
      <c r="AK742" s="59"/>
      <c r="AL742" s="59"/>
      <c r="AM742" s="59"/>
    </row>
    <row r="743" s="59" customFormat="1" ht="45" customHeight="1">
      <c r="A743" s="33">
        <v>13</v>
      </c>
      <c r="B743" s="50" t="s">
        <v>705</v>
      </c>
      <c r="C743" s="33" t="s">
        <v>43</v>
      </c>
      <c r="D743" s="33">
        <v>1981</v>
      </c>
      <c r="E743" s="35" t="s">
        <v>39</v>
      </c>
      <c r="F743" s="33" t="s">
        <v>44</v>
      </c>
      <c r="G743" s="36">
        <v>5</v>
      </c>
      <c r="H743" s="36">
        <v>5</v>
      </c>
      <c r="I743" s="37">
        <v>5418.9200000000001</v>
      </c>
      <c r="J743" s="94">
        <v>5166.5</v>
      </c>
      <c r="K743" s="94">
        <v>116</v>
      </c>
      <c r="L743" s="95">
        <v>137</v>
      </c>
      <c r="M743" s="39">
        <f t="shared" si="125"/>
        <v>30065524.32</v>
      </c>
      <c r="N743" s="37">
        <v>0</v>
      </c>
      <c r="O743" s="37">
        <v>0</v>
      </c>
      <c r="P743" s="37">
        <v>0</v>
      </c>
      <c r="Q743" s="37">
        <f>'Таблица 3 '!C732</f>
        <v>30065524.32</v>
      </c>
      <c r="R743" s="37">
        <f t="shared" si="126"/>
        <v>30065524.32</v>
      </c>
      <c r="S743" s="37">
        <v>0</v>
      </c>
      <c r="T743" s="37">
        <f t="shared" si="124"/>
        <v>5819.3214594019164</v>
      </c>
      <c r="U743" s="37">
        <f t="shared" si="127"/>
        <v>5819.3214594019164</v>
      </c>
      <c r="V743" s="41" t="s">
        <v>572</v>
      </c>
      <c r="W743" s="59"/>
      <c r="X743" s="59"/>
      <c r="Y743" s="59"/>
      <c r="Z743" s="59"/>
      <c r="AA743" s="59"/>
      <c r="AB743" s="59"/>
      <c r="AC743" s="59"/>
      <c r="AD743" s="59"/>
      <c r="AE743" s="59"/>
      <c r="AF743" s="59"/>
      <c r="AG743" s="59"/>
      <c r="AH743" s="59"/>
      <c r="AI743" s="59"/>
      <c r="AJ743" s="59"/>
      <c r="AK743" s="59"/>
      <c r="AL743" s="59"/>
      <c r="AM743" s="59"/>
    </row>
    <row r="744" s="59" customFormat="1" ht="45" customHeight="1">
      <c r="A744" s="33">
        <v>14</v>
      </c>
      <c r="B744" s="50" t="s">
        <v>706</v>
      </c>
      <c r="C744" s="33" t="s">
        <v>43</v>
      </c>
      <c r="D744" s="33">
        <v>1966</v>
      </c>
      <c r="E744" s="35" t="s">
        <v>39</v>
      </c>
      <c r="F744" s="33" t="s">
        <v>44</v>
      </c>
      <c r="G744" s="36">
        <v>4</v>
      </c>
      <c r="H744" s="36">
        <v>3</v>
      </c>
      <c r="I744" s="37">
        <v>3527.5999999999999</v>
      </c>
      <c r="J744" s="94">
        <v>2691.5</v>
      </c>
      <c r="K744" s="94">
        <v>0</v>
      </c>
      <c r="L744" s="95">
        <v>110</v>
      </c>
      <c r="M744" s="39">
        <f t="shared" si="125"/>
        <v>15830553.4</v>
      </c>
      <c r="N744" s="37">
        <v>0</v>
      </c>
      <c r="O744" s="37">
        <v>0</v>
      </c>
      <c r="P744" s="37">
        <v>0</v>
      </c>
      <c r="Q744" s="37">
        <f>'Таблица 3 '!C733</f>
        <v>15830553.4</v>
      </c>
      <c r="R744" s="37">
        <f t="shared" si="126"/>
        <v>15830553.4</v>
      </c>
      <c r="S744" s="37">
        <v>0</v>
      </c>
      <c r="T744" s="37">
        <f t="shared" si="124"/>
        <v>5881.6843395875903</v>
      </c>
      <c r="U744" s="37">
        <f t="shared" si="127"/>
        <v>5881.6843395875903</v>
      </c>
      <c r="V744" s="41" t="s">
        <v>572</v>
      </c>
      <c r="W744" s="59"/>
      <c r="X744" s="59"/>
      <c r="Y744" s="59"/>
      <c r="Z744" s="59"/>
      <c r="AA744" s="59"/>
      <c r="AB744" s="59"/>
      <c r="AC744" s="59"/>
      <c r="AD744" s="59"/>
      <c r="AE744" s="59"/>
      <c r="AF744" s="59"/>
      <c r="AG744" s="59"/>
      <c r="AH744" s="59"/>
      <c r="AI744" s="59"/>
      <c r="AJ744" s="59"/>
      <c r="AK744" s="59"/>
      <c r="AL744" s="59"/>
      <c r="AM744" s="59"/>
    </row>
    <row r="745" s="59" customFormat="1" ht="45" customHeight="1">
      <c r="A745" s="33">
        <v>15</v>
      </c>
      <c r="B745" s="50" t="s">
        <v>707</v>
      </c>
      <c r="C745" s="33" t="s">
        <v>43</v>
      </c>
      <c r="D745" s="33">
        <v>1965</v>
      </c>
      <c r="E745" s="35" t="s">
        <v>39</v>
      </c>
      <c r="F745" s="33" t="s">
        <v>44</v>
      </c>
      <c r="G745" s="36">
        <v>4</v>
      </c>
      <c r="H745" s="36">
        <v>4</v>
      </c>
      <c r="I745" s="37">
        <v>3527.5999999999999</v>
      </c>
      <c r="J745" s="94">
        <v>2799.5999999999999</v>
      </c>
      <c r="K745" s="94">
        <v>0</v>
      </c>
      <c r="L745" s="164">
        <v>79</v>
      </c>
      <c r="M745" s="39">
        <f t="shared" si="125"/>
        <v>16452290.92</v>
      </c>
      <c r="N745" s="37">
        <v>0</v>
      </c>
      <c r="O745" s="37">
        <v>0</v>
      </c>
      <c r="P745" s="37">
        <v>0</v>
      </c>
      <c r="Q745" s="37">
        <f>'Таблица 3 '!C734</f>
        <v>16452290.92</v>
      </c>
      <c r="R745" s="37">
        <f t="shared" si="126"/>
        <v>16452290.92</v>
      </c>
      <c r="S745" s="37">
        <v>0</v>
      </c>
      <c r="T745" s="37">
        <f t="shared" si="124"/>
        <v>5876.6577082440353</v>
      </c>
      <c r="U745" s="46">
        <f t="shared" si="127"/>
        <v>5876.6577082440353</v>
      </c>
      <c r="V745" s="41" t="s">
        <v>572</v>
      </c>
      <c r="W745" s="59"/>
      <c r="X745" s="59"/>
      <c r="Y745" s="59"/>
      <c r="Z745" s="59"/>
      <c r="AA745" s="59"/>
      <c r="AB745" s="59"/>
      <c r="AC745" s="59"/>
      <c r="AD745" s="59"/>
      <c r="AE745" s="59"/>
      <c r="AF745" s="59"/>
      <c r="AG745" s="59"/>
      <c r="AH745" s="59"/>
      <c r="AI745" s="59"/>
      <c r="AJ745" s="59"/>
      <c r="AK745" s="59"/>
      <c r="AL745" s="59"/>
      <c r="AM745" s="59"/>
    </row>
    <row r="746" s="59" customFormat="1" ht="45" customHeight="1">
      <c r="A746" s="33">
        <v>16</v>
      </c>
      <c r="B746" s="50" t="s">
        <v>708</v>
      </c>
      <c r="C746" s="33" t="s">
        <v>43</v>
      </c>
      <c r="D746" s="33">
        <v>1965</v>
      </c>
      <c r="E746" s="35" t="s">
        <v>39</v>
      </c>
      <c r="F746" s="33" t="s">
        <v>44</v>
      </c>
      <c r="G746" s="36">
        <v>4</v>
      </c>
      <c r="H746" s="36">
        <v>4</v>
      </c>
      <c r="I746" s="37">
        <v>3527.5999999999999</v>
      </c>
      <c r="J746" s="94">
        <v>2789.1999999999998</v>
      </c>
      <c r="K746" s="94">
        <v>0</v>
      </c>
      <c r="L746" s="95">
        <v>97</v>
      </c>
      <c r="M746" s="39">
        <f t="shared" si="125"/>
        <v>16392475.279999999</v>
      </c>
      <c r="N746" s="37">
        <v>0</v>
      </c>
      <c r="O746" s="37">
        <v>0</v>
      </c>
      <c r="P746" s="37">
        <v>0</v>
      </c>
      <c r="Q746" s="37">
        <f>'Таблица 3 '!C735</f>
        <v>16392475.279999999</v>
      </c>
      <c r="R746" s="37">
        <f t="shared" si="126"/>
        <v>16392475.279999999</v>
      </c>
      <c r="S746" s="37">
        <v>0</v>
      </c>
      <c r="T746" s="37">
        <f t="shared" si="124"/>
        <v>5877.1243654094369</v>
      </c>
      <c r="U746" s="37">
        <f t="shared" si="127"/>
        <v>5877.1243654094369</v>
      </c>
      <c r="V746" s="41" t="s">
        <v>572</v>
      </c>
      <c r="W746" s="59"/>
      <c r="X746" s="59"/>
      <c r="Y746" s="59"/>
      <c r="Z746" s="59"/>
      <c r="AA746" s="59"/>
      <c r="AB746" s="59"/>
      <c r="AC746" s="59"/>
      <c r="AD746" s="59"/>
      <c r="AE746" s="59"/>
      <c r="AF746" s="59"/>
      <c r="AG746" s="59"/>
      <c r="AH746" s="59"/>
      <c r="AI746" s="59"/>
      <c r="AJ746" s="59"/>
      <c r="AK746" s="59"/>
      <c r="AL746" s="59"/>
      <c r="AM746" s="59"/>
    </row>
    <row r="747" s="59" customFormat="1" ht="45" customHeight="1">
      <c r="A747" s="33">
        <v>17</v>
      </c>
      <c r="B747" s="50" t="s">
        <v>709</v>
      </c>
      <c r="C747" s="43" t="s">
        <v>43</v>
      </c>
      <c r="D747" s="33">
        <v>1963</v>
      </c>
      <c r="E747" s="44" t="s">
        <v>39</v>
      </c>
      <c r="F747" s="33" t="s">
        <v>44</v>
      </c>
      <c r="G747" s="45">
        <v>4</v>
      </c>
      <c r="H747" s="36">
        <v>4</v>
      </c>
      <c r="I747" s="46">
        <v>4411.1599999999999</v>
      </c>
      <c r="J747" s="94">
        <v>3476</v>
      </c>
      <c r="K747" s="165">
        <v>0</v>
      </c>
      <c r="L747" s="95">
        <v>144</v>
      </c>
      <c r="M747" s="39">
        <f t="shared" si="125"/>
        <v>20342607.82</v>
      </c>
      <c r="N747" s="46">
        <v>0</v>
      </c>
      <c r="O747" s="37">
        <v>0</v>
      </c>
      <c r="P747" s="46">
        <v>0</v>
      </c>
      <c r="Q747" s="37">
        <f>'Таблица 3 '!C736</f>
        <v>20342607.82</v>
      </c>
      <c r="R747" s="46">
        <f t="shared" si="126"/>
        <v>20342607.82</v>
      </c>
      <c r="S747" s="37">
        <v>0</v>
      </c>
      <c r="T747" s="46">
        <f t="shared" si="124"/>
        <v>5852.3037456846951</v>
      </c>
      <c r="U747" s="37">
        <f t="shared" si="127"/>
        <v>5852.3037456846951</v>
      </c>
      <c r="V747" s="41" t="s">
        <v>572</v>
      </c>
      <c r="W747" s="59"/>
      <c r="X747" s="59"/>
      <c r="Y747" s="59"/>
      <c r="Z747" s="59"/>
      <c r="AA747" s="59"/>
      <c r="AB747" s="59"/>
      <c r="AC747" s="59"/>
      <c r="AD747" s="59"/>
      <c r="AE747" s="59"/>
      <c r="AF747" s="59"/>
      <c r="AG747" s="59"/>
      <c r="AH747" s="59"/>
      <c r="AI747" s="59"/>
      <c r="AJ747" s="59"/>
      <c r="AK747" s="59"/>
      <c r="AL747" s="59"/>
      <c r="AM747" s="59"/>
    </row>
    <row r="748" s="59" customFormat="1" ht="45" customHeight="1">
      <c r="A748" s="33">
        <v>18</v>
      </c>
      <c r="B748" s="50" t="s">
        <v>710</v>
      </c>
      <c r="C748" s="33" t="s">
        <v>43</v>
      </c>
      <c r="D748" s="43">
        <v>1964</v>
      </c>
      <c r="E748" s="35" t="s">
        <v>39</v>
      </c>
      <c r="F748" s="43" t="s">
        <v>44</v>
      </c>
      <c r="G748" s="36">
        <v>4</v>
      </c>
      <c r="H748" s="45">
        <v>4</v>
      </c>
      <c r="I748" s="37">
        <v>4397.4399999999996</v>
      </c>
      <c r="J748" s="165">
        <v>3476</v>
      </c>
      <c r="K748" s="94">
        <v>0</v>
      </c>
      <c r="L748" s="164">
        <v>122</v>
      </c>
      <c r="M748" s="39">
        <f t="shared" si="125"/>
        <v>20342607.82</v>
      </c>
      <c r="N748" s="37">
        <v>0</v>
      </c>
      <c r="O748" s="46">
        <v>0</v>
      </c>
      <c r="P748" s="37">
        <v>0</v>
      </c>
      <c r="Q748" s="37">
        <f>'Таблица 3 '!C737</f>
        <v>20342607.82</v>
      </c>
      <c r="R748" s="37">
        <f t="shared" si="126"/>
        <v>20342607.82</v>
      </c>
      <c r="S748" s="46">
        <v>0</v>
      </c>
      <c r="T748" s="37">
        <f t="shared" si="124"/>
        <v>5852.3037456846951</v>
      </c>
      <c r="U748" s="46">
        <f t="shared" si="127"/>
        <v>5852.3037456846951</v>
      </c>
      <c r="V748" s="41" t="s">
        <v>572</v>
      </c>
      <c r="W748" s="59"/>
      <c r="X748" s="59"/>
      <c r="Y748" s="59"/>
      <c r="Z748" s="59"/>
      <c r="AA748" s="59"/>
      <c r="AB748" s="59"/>
      <c r="AC748" s="59"/>
      <c r="AD748" s="59"/>
      <c r="AE748" s="59"/>
      <c r="AF748" s="59"/>
      <c r="AG748" s="59"/>
      <c r="AH748" s="59"/>
      <c r="AI748" s="59"/>
      <c r="AJ748" s="59"/>
      <c r="AK748" s="59"/>
      <c r="AL748" s="59"/>
      <c r="AM748" s="59"/>
    </row>
    <row r="749" s="59" customFormat="1" ht="45" customHeight="1">
      <c r="A749" s="33">
        <v>19</v>
      </c>
      <c r="B749" s="50" t="s">
        <v>711</v>
      </c>
      <c r="C749" s="43" t="s">
        <v>43</v>
      </c>
      <c r="D749" s="33">
        <v>1964</v>
      </c>
      <c r="E749" s="44" t="s">
        <v>39</v>
      </c>
      <c r="F749" s="33" t="s">
        <v>44</v>
      </c>
      <c r="G749" s="45">
        <v>4</v>
      </c>
      <c r="H749" s="36">
        <v>4</v>
      </c>
      <c r="I749" s="46">
        <v>4397.4399999999996</v>
      </c>
      <c r="J749" s="94">
        <v>3642.8000000000002</v>
      </c>
      <c r="K749" s="165">
        <v>196</v>
      </c>
      <c r="L749" s="95">
        <v>97</v>
      </c>
      <c r="M749" s="39">
        <f t="shared" si="125"/>
        <v>21301958.59</v>
      </c>
      <c r="N749" s="46">
        <v>0</v>
      </c>
      <c r="O749" s="37">
        <v>0</v>
      </c>
      <c r="P749" s="46">
        <v>0</v>
      </c>
      <c r="Q749" s="37">
        <f>'Таблица 3 '!C738</f>
        <v>21301958.59</v>
      </c>
      <c r="R749" s="46">
        <f t="shared" si="126"/>
        <v>21301958.59</v>
      </c>
      <c r="S749" s="37">
        <v>0</v>
      </c>
      <c r="T749" s="46">
        <f t="shared" si="124"/>
        <v>5847.6882041286917</v>
      </c>
      <c r="U749" s="37">
        <f t="shared" si="127"/>
        <v>5847.6882041286917</v>
      </c>
      <c r="V749" s="41" t="s">
        <v>572</v>
      </c>
      <c r="W749" s="59"/>
      <c r="X749" s="59"/>
      <c r="Y749" s="59"/>
      <c r="Z749" s="59"/>
      <c r="AA749" s="59"/>
      <c r="AB749" s="59"/>
      <c r="AC749" s="59"/>
      <c r="AD749" s="59"/>
      <c r="AE749" s="59"/>
      <c r="AF749" s="59"/>
      <c r="AG749" s="59"/>
      <c r="AH749" s="59"/>
      <c r="AI749" s="59"/>
      <c r="AJ749" s="59"/>
      <c r="AK749" s="59"/>
      <c r="AL749" s="59"/>
      <c r="AM749" s="59"/>
    </row>
    <row r="750" s="60" customFormat="1" ht="45" customHeight="1">
      <c r="A750" s="33">
        <v>20</v>
      </c>
      <c r="B750" s="50" t="s">
        <v>448</v>
      </c>
      <c r="C750" s="33" t="s">
        <v>43</v>
      </c>
      <c r="D750" s="33">
        <v>1986</v>
      </c>
      <c r="E750" s="35" t="s">
        <v>39</v>
      </c>
      <c r="F750" s="33" t="s">
        <v>44</v>
      </c>
      <c r="G750" s="36">
        <v>4</v>
      </c>
      <c r="H750" s="36">
        <v>4</v>
      </c>
      <c r="I750" s="37">
        <v>4555.1599999999999</v>
      </c>
      <c r="J750" s="94">
        <v>3598.0999999999999</v>
      </c>
      <c r="K750" s="94">
        <v>0</v>
      </c>
      <c r="L750" s="95">
        <v>102</v>
      </c>
      <c r="M750" s="39">
        <f t="shared" si="125"/>
        <v>20694484.380000003</v>
      </c>
      <c r="N750" s="37">
        <v>0</v>
      </c>
      <c r="O750" s="37">
        <v>0</v>
      </c>
      <c r="P750" s="37">
        <v>0</v>
      </c>
      <c r="Q750" s="37">
        <f>'Таблица 3 '!C739</f>
        <v>20694484.380000003</v>
      </c>
      <c r="R750" s="37">
        <f t="shared" si="126"/>
        <v>20694484.380000003</v>
      </c>
      <c r="S750" s="37">
        <v>0</v>
      </c>
      <c r="T750" s="37">
        <f t="shared" si="124"/>
        <v>5751.5033990161483</v>
      </c>
      <c r="U750" s="37">
        <f t="shared" si="127"/>
        <v>5751.5033990161483</v>
      </c>
      <c r="V750" s="41" t="s">
        <v>572</v>
      </c>
      <c r="W750" s="60"/>
      <c r="X750" s="60"/>
      <c r="Y750" s="60"/>
      <c r="Z750" s="60"/>
      <c r="AA750" s="60"/>
      <c r="AB750" s="60"/>
      <c r="AC750" s="60"/>
      <c r="AD750" s="60"/>
      <c r="AE750" s="60"/>
      <c r="AF750" s="60"/>
      <c r="AG750" s="60"/>
      <c r="AH750" s="60"/>
      <c r="AI750" s="60"/>
      <c r="AJ750" s="60"/>
      <c r="AK750" s="60"/>
      <c r="AL750" s="60"/>
      <c r="AM750" s="60"/>
    </row>
    <row r="751" s="60" customFormat="1" ht="45" customHeight="1">
      <c r="A751" s="33">
        <v>21</v>
      </c>
      <c r="B751" s="50" t="s">
        <v>449</v>
      </c>
      <c r="C751" s="33" t="s">
        <v>43</v>
      </c>
      <c r="D751" s="33">
        <v>1966</v>
      </c>
      <c r="E751" s="35" t="s">
        <v>39</v>
      </c>
      <c r="F751" s="33" t="s">
        <v>44</v>
      </c>
      <c r="G751" s="36">
        <v>4</v>
      </c>
      <c r="H751" s="36">
        <v>4</v>
      </c>
      <c r="I751" s="37">
        <v>4405.1199999999999</v>
      </c>
      <c r="J751" s="94">
        <v>3637</v>
      </c>
      <c r="K751" s="94">
        <v>0</v>
      </c>
      <c r="L751" s="95">
        <v>131</v>
      </c>
      <c r="M751" s="39">
        <f t="shared" si="125"/>
        <v>20918217.870000001</v>
      </c>
      <c r="N751" s="37">
        <v>0</v>
      </c>
      <c r="O751" s="37">
        <v>0</v>
      </c>
      <c r="P751" s="37">
        <v>0</v>
      </c>
      <c r="Q751" s="37">
        <f>'Таблица 3 '!C740</f>
        <v>20918217.870000001</v>
      </c>
      <c r="R751" s="37">
        <f t="shared" si="126"/>
        <v>20918217.870000001</v>
      </c>
      <c r="S751" s="37">
        <v>0</v>
      </c>
      <c r="T751" s="37">
        <f t="shared" si="124"/>
        <v>5751.5034011547978</v>
      </c>
      <c r="U751" s="37">
        <f t="shared" si="127"/>
        <v>5751.5034011547978</v>
      </c>
      <c r="V751" s="41" t="s">
        <v>572</v>
      </c>
      <c r="W751" s="60"/>
    </row>
    <row r="752" s="60" customFormat="1" ht="45" customHeight="1">
      <c r="A752" s="33">
        <v>22</v>
      </c>
      <c r="B752" s="50" t="s">
        <v>450</v>
      </c>
      <c r="C752" s="43" t="s">
        <v>43</v>
      </c>
      <c r="D752" s="33">
        <v>1966</v>
      </c>
      <c r="E752" s="44" t="s">
        <v>39</v>
      </c>
      <c r="F752" s="33" t="s">
        <v>44</v>
      </c>
      <c r="G752" s="45">
        <v>4</v>
      </c>
      <c r="H752" s="36">
        <v>4</v>
      </c>
      <c r="I752" s="46">
        <v>4405.1199999999999</v>
      </c>
      <c r="J752" s="94">
        <v>3639</v>
      </c>
      <c r="K752" s="165">
        <v>44.200000000000003</v>
      </c>
      <c r="L752" s="95">
        <v>118</v>
      </c>
      <c r="M752" s="39">
        <f t="shared" si="125"/>
        <v>20929720.870000001</v>
      </c>
      <c r="N752" s="46">
        <v>0</v>
      </c>
      <c r="O752" s="37">
        <v>0</v>
      </c>
      <c r="P752" s="46">
        <v>0</v>
      </c>
      <c r="Q752" s="37">
        <f>'Таблица 3 '!C741</f>
        <v>20929720.870000001</v>
      </c>
      <c r="R752" s="46">
        <f t="shared" si="126"/>
        <v>20929720.870000001</v>
      </c>
      <c r="S752" s="37">
        <v>0</v>
      </c>
      <c r="T752" s="46">
        <f t="shared" si="124"/>
        <v>5751.5033992855178</v>
      </c>
      <c r="U752" s="37">
        <f t="shared" si="127"/>
        <v>5751.5033992855178</v>
      </c>
      <c r="V752" s="41" t="s">
        <v>572</v>
      </c>
      <c r="W752" s="60"/>
    </row>
    <row r="753" s="59" customFormat="1" ht="45" customHeight="1">
      <c r="A753" s="33">
        <v>23</v>
      </c>
      <c r="B753" s="50" t="s">
        <v>712</v>
      </c>
      <c r="C753" s="33" t="s">
        <v>43</v>
      </c>
      <c r="D753" s="33">
        <v>1949</v>
      </c>
      <c r="E753" s="35" t="s">
        <v>39</v>
      </c>
      <c r="F753" s="33" t="s">
        <v>44</v>
      </c>
      <c r="G753" s="36">
        <v>2</v>
      </c>
      <c r="H753" s="36">
        <v>2</v>
      </c>
      <c r="I753" s="37">
        <v>1346.3599999999999</v>
      </c>
      <c r="J753" s="94">
        <v>885.5</v>
      </c>
      <c r="K753" s="94">
        <v>145.69999999999999</v>
      </c>
      <c r="L753" s="95">
        <v>36</v>
      </c>
      <c r="M753" s="39">
        <f t="shared" si="125"/>
        <v>8413733.2400000002</v>
      </c>
      <c r="N753" s="37">
        <v>0</v>
      </c>
      <c r="O753" s="37">
        <v>0</v>
      </c>
      <c r="P753" s="37">
        <v>0</v>
      </c>
      <c r="Q753" s="37">
        <f>'Таблица 3 '!C742</f>
        <v>8413733.2400000002</v>
      </c>
      <c r="R753" s="37">
        <f t="shared" si="126"/>
        <v>8413733.2400000002</v>
      </c>
      <c r="S753" s="37">
        <v>0</v>
      </c>
      <c r="T753" s="37">
        <f t="shared" si="124"/>
        <v>9501.6750310559</v>
      </c>
      <c r="U753" s="37">
        <f t="shared" si="127"/>
        <v>9501.6750310559</v>
      </c>
      <c r="V753" s="41" t="s">
        <v>572</v>
      </c>
      <c r="W753" s="59"/>
    </row>
    <row r="754" s="59" customFormat="1" ht="30.75" customHeight="1">
      <c r="A754" s="166" t="s">
        <v>451</v>
      </c>
      <c r="B754" s="151"/>
      <c r="C754" s="152" t="s">
        <v>39</v>
      </c>
      <c r="D754" s="167" t="s">
        <v>39</v>
      </c>
      <c r="E754" s="153" t="s">
        <v>39</v>
      </c>
      <c r="F754" s="26" t="s">
        <v>39</v>
      </c>
      <c r="G754" s="168" t="s">
        <v>39</v>
      </c>
      <c r="H754" s="169" t="s">
        <v>39</v>
      </c>
      <c r="I754" s="29">
        <f>SUM(I755:I760)</f>
        <v>14114.200000000001</v>
      </c>
      <c r="J754" s="29">
        <f>SUM(J755:J760)</f>
        <v>11275.400000000001</v>
      </c>
      <c r="K754" s="29">
        <f>SUM(K755:K760)</f>
        <v>11138.299999999999</v>
      </c>
      <c r="L754" s="30">
        <f>SUM(L755:L760)</f>
        <v>317</v>
      </c>
      <c r="M754" s="29">
        <f>SUM(M755:M760)</f>
        <v>35065782.099999994</v>
      </c>
      <c r="N754" s="29">
        <f>SUM(N755:N760)</f>
        <v>0</v>
      </c>
      <c r="O754" s="29">
        <f>SUM(O755:O760)</f>
        <v>0</v>
      </c>
      <c r="P754" s="29">
        <f>SUM(P755:P760)</f>
        <v>0</v>
      </c>
      <c r="Q754" s="29">
        <f>SUM(Q755:Q760)</f>
        <v>35065782.097039998</v>
      </c>
      <c r="R754" s="29">
        <f>SUM(R755:R760)</f>
        <v>35065782.099999994</v>
      </c>
      <c r="S754" s="29">
        <f>SUM(S755:S760)</f>
        <v>0</v>
      </c>
      <c r="T754" s="32" t="s">
        <v>40</v>
      </c>
      <c r="U754" s="156" t="s">
        <v>40</v>
      </c>
      <c r="V754" s="28" t="s">
        <v>40</v>
      </c>
      <c r="W754" s="59"/>
    </row>
    <row r="755" s="59" customFormat="1" ht="45" customHeight="1">
      <c r="A755" s="170">
        <v>1</v>
      </c>
      <c r="B755" s="171" t="s">
        <v>713</v>
      </c>
      <c r="C755" s="172" t="s">
        <v>43</v>
      </c>
      <c r="D755" s="173">
        <v>1963</v>
      </c>
      <c r="E755" s="174" t="s">
        <v>47</v>
      </c>
      <c r="F755" s="172" t="s">
        <v>455</v>
      </c>
      <c r="G755" s="175">
        <v>3</v>
      </c>
      <c r="H755" s="175">
        <v>2</v>
      </c>
      <c r="I755" s="176">
        <v>1656.8</v>
      </c>
      <c r="J755" s="176">
        <v>1301.6900000000001</v>
      </c>
      <c r="K755" s="176">
        <v>1301.6900000000001</v>
      </c>
      <c r="L755" s="177">
        <v>42</v>
      </c>
      <c r="M755" s="178">
        <v>7268010.7000000002</v>
      </c>
      <c r="N755" s="126">
        <v>0</v>
      </c>
      <c r="O755" s="126">
        <v>0</v>
      </c>
      <c r="P755" s="125">
        <v>0</v>
      </c>
      <c r="Q755" s="176">
        <f>'Таблица 3 '!C744</f>
        <v>7268010.7000000002</v>
      </c>
      <c r="R755" s="179">
        <v>7268010.7000000002</v>
      </c>
      <c r="S755" s="126">
        <v>0</v>
      </c>
      <c r="T755" s="125">
        <f t="shared" si="124"/>
        <v>5583.51888698538</v>
      </c>
      <c r="U755" s="180">
        <v>9012</v>
      </c>
      <c r="V755" s="181" t="s">
        <v>572</v>
      </c>
      <c r="W755" s="142"/>
    </row>
    <row r="756" s="59" customFormat="1" ht="45" customHeight="1">
      <c r="A756" s="170">
        <v>2</v>
      </c>
      <c r="B756" s="171" t="s">
        <v>714</v>
      </c>
      <c r="C756" s="119" t="s">
        <v>43</v>
      </c>
      <c r="D756" s="182">
        <v>1959</v>
      </c>
      <c r="E756" s="183" t="s">
        <v>39</v>
      </c>
      <c r="F756" s="172" t="s">
        <v>455</v>
      </c>
      <c r="G756" s="175">
        <v>3</v>
      </c>
      <c r="H756" s="175">
        <v>2</v>
      </c>
      <c r="I756" s="184">
        <v>1322</v>
      </c>
      <c r="J756" s="184">
        <v>1039.7</v>
      </c>
      <c r="K756" s="185">
        <v>1039.7</v>
      </c>
      <c r="L756" s="186">
        <v>27</v>
      </c>
      <c r="M756" s="180">
        <v>1700287.8799999999</v>
      </c>
      <c r="N756" s="187">
        <v>0</v>
      </c>
      <c r="O756" s="188">
        <v>0</v>
      </c>
      <c r="P756" s="189">
        <v>0</v>
      </c>
      <c r="Q756" s="176">
        <f>'Таблица 3 '!C745</f>
        <v>1700287.8799999999</v>
      </c>
      <c r="R756" s="190">
        <v>1700287.8799999999</v>
      </c>
      <c r="S756" s="187">
        <v>0</v>
      </c>
      <c r="T756" s="191">
        <f t="shared" si="124"/>
        <v>1635.3639319034335</v>
      </c>
      <c r="U756" s="180">
        <v>9012</v>
      </c>
      <c r="V756" s="128" t="s">
        <v>572</v>
      </c>
      <c r="W756" s="142"/>
    </row>
    <row r="757" s="59" customFormat="1" ht="45" customHeight="1">
      <c r="A757" s="170">
        <v>3</v>
      </c>
      <c r="B757" s="171" t="s">
        <v>715</v>
      </c>
      <c r="C757" s="172" t="s">
        <v>43</v>
      </c>
      <c r="D757" s="173">
        <v>1989</v>
      </c>
      <c r="E757" s="192" t="s">
        <v>70</v>
      </c>
      <c r="F757" s="172" t="s">
        <v>77</v>
      </c>
      <c r="G757" s="175">
        <v>3</v>
      </c>
      <c r="H757" s="175">
        <v>3</v>
      </c>
      <c r="I757" s="184">
        <v>1995.4000000000001</v>
      </c>
      <c r="J757" s="184">
        <v>1228.0999999999999</v>
      </c>
      <c r="K757" s="184">
        <v>1228.0999999999999</v>
      </c>
      <c r="L757" s="186">
        <v>38</v>
      </c>
      <c r="M757" s="193">
        <v>11570078.640000001</v>
      </c>
      <c r="N757" s="126">
        <v>0</v>
      </c>
      <c r="O757" s="126">
        <v>0</v>
      </c>
      <c r="P757" s="125">
        <v>0</v>
      </c>
      <c r="Q757" s="176">
        <f>'Таблица 3 '!C746</f>
        <v>11570078.639999999</v>
      </c>
      <c r="R757" s="180">
        <v>11570078.640000001</v>
      </c>
      <c r="S757" s="126">
        <v>0</v>
      </c>
      <c r="T757" s="125">
        <f t="shared" si="124"/>
        <v>9421.1209510626177</v>
      </c>
      <c r="U757" s="180">
        <v>9012</v>
      </c>
      <c r="V757" s="128" t="s">
        <v>572</v>
      </c>
      <c r="W757" s="142"/>
    </row>
    <row r="758" s="59" customFormat="1" ht="45" customHeight="1">
      <c r="A758" s="170">
        <v>4</v>
      </c>
      <c r="B758" s="171" t="s">
        <v>716</v>
      </c>
      <c r="C758" s="119" t="s">
        <v>43</v>
      </c>
      <c r="D758" s="173">
        <v>1977</v>
      </c>
      <c r="E758" s="192" t="s">
        <v>60</v>
      </c>
      <c r="F758" s="172" t="s">
        <v>77</v>
      </c>
      <c r="G758" s="175">
        <v>2</v>
      </c>
      <c r="H758" s="175">
        <v>2</v>
      </c>
      <c r="I758" s="184">
        <v>1318</v>
      </c>
      <c r="J758" s="184">
        <v>743.69000000000005</v>
      </c>
      <c r="K758" s="184">
        <v>743.69000000000005</v>
      </c>
      <c r="L758" s="186">
        <v>25</v>
      </c>
      <c r="M758" s="193">
        <v>7111153.9500000002</v>
      </c>
      <c r="N758" s="126">
        <v>0</v>
      </c>
      <c r="O758" s="125">
        <v>0</v>
      </c>
      <c r="P758" s="191">
        <v>0</v>
      </c>
      <c r="Q758" s="176">
        <f>'Таблица 3 '!C747</f>
        <v>7111153.9500000002</v>
      </c>
      <c r="R758" s="180">
        <v>7111153.9500000002</v>
      </c>
      <c r="S758" s="126">
        <v>0</v>
      </c>
      <c r="T758" s="191">
        <f t="shared" si="124"/>
        <v>9561.9867821269618</v>
      </c>
      <c r="U758" s="180">
        <v>9012</v>
      </c>
      <c r="V758" s="128" t="s">
        <v>572</v>
      </c>
      <c r="W758" s="142"/>
    </row>
    <row r="759" s="59" customFormat="1" ht="45" customHeight="1">
      <c r="A759" s="170">
        <v>5</v>
      </c>
      <c r="B759" s="171" t="s">
        <v>717</v>
      </c>
      <c r="C759" s="172" t="s">
        <v>43</v>
      </c>
      <c r="D759" s="173">
        <v>1953</v>
      </c>
      <c r="E759" s="192" t="s">
        <v>228</v>
      </c>
      <c r="F759" s="194" t="s">
        <v>455</v>
      </c>
      <c r="G759" s="175">
        <v>2</v>
      </c>
      <c r="H759" s="175">
        <v>2</v>
      </c>
      <c r="I759" s="184">
        <v>772.29999999999995</v>
      </c>
      <c r="J759" s="184">
        <v>728.22000000000003</v>
      </c>
      <c r="K759" s="184">
        <v>728.22000000000003</v>
      </c>
      <c r="L759" s="186">
        <v>22</v>
      </c>
      <c r="M759" s="193">
        <v>6826815.9299999997</v>
      </c>
      <c r="N759" s="126">
        <v>0</v>
      </c>
      <c r="O759" s="126">
        <v>0</v>
      </c>
      <c r="P759" s="125">
        <v>0</v>
      </c>
      <c r="Q759" s="176">
        <f>'Таблица 3 '!C748</f>
        <v>6826815.9270399995</v>
      </c>
      <c r="R759" s="180">
        <v>6826815.9299999997</v>
      </c>
      <c r="S759" s="126">
        <v>0</v>
      </c>
      <c r="T759" s="125">
        <f t="shared" si="124"/>
        <v>9374.6614072670345</v>
      </c>
      <c r="U759" s="180">
        <v>9012</v>
      </c>
      <c r="V759" s="128" t="s">
        <v>572</v>
      </c>
      <c r="W759" s="142"/>
    </row>
    <row r="760" s="59" customFormat="1" ht="45" customHeight="1">
      <c r="A760" s="170">
        <v>6</v>
      </c>
      <c r="B760" s="195" t="s">
        <v>718</v>
      </c>
      <c r="C760" s="196" t="s">
        <v>43</v>
      </c>
      <c r="D760" s="173">
        <v>1992</v>
      </c>
      <c r="E760" s="197" t="s">
        <v>47</v>
      </c>
      <c r="F760" s="198" t="s">
        <v>48</v>
      </c>
      <c r="G760" s="175">
        <v>9</v>
      </c>
      <c r="H760" s="175">
        <v>3</v>
      </c>
      <c r="I760" s="184">
        <v>7049.6999999999998</v>
      </c>
      <c r="J760" s="184">
        <v>6234</v>
      </c>
      <c r="K760" s="184">
        <v>6096.8999999999996</v>
      </c>
      <c r="L760" s="186">
        <v>163</v>
      </c>
      <c r="M760" s="193">
        <v>589435</v>
      </c>
      <c r="N760" s="199">
        <v>0</v>
      </c>
      <c r="O760" s="199">
        <v>0</v>
      </c>
      <c r="P760" s="200">
        <v>0</v>
      </c>
      <c r="Q760" s="176">
        <f>'Таблица 3 '!C749</f>
        <v>589435</v>
      </c>
      <c r="R760" s="180">
        <v>589435</v>
      </c>
      <c r="S760" s="199">
        <v>0</v>
      </c>
      <c r="T760" s="200">
        <f t="shared" si="124"/>
        <v>94.551652229708054</v>
      </c>
      <c r="U760" s="180">
        <v>589435</v>
      </c>
      <c r="V760" s="201" t="s">
        <v>572</v>
      </c>
      <c r="W760" s="142"/>
    </row>
    <row r="761" s="31" customFormat="1" ht="22.5" customHeight="1">
      <c r="A761" s="202" t="s">
        <v>464</v>
      </c>
      <c r="B761" s="61"/>
      <c r="C761" s="28" t="s">
        <v>39</v>
      </c>
      <c r="D761" s="203" t="s">
        <v>39</v>
      </c>
      <c r="E761" s="204" t="s">
        <v>39</v>
      </c>
      <c r="F761" s="203" t="s">
        <v>39</v>
      </c>
      <c r="G761" s="203" t="s">
        <v>39</v>
      </c>
      <c r="H761" s="203" t="s">
        <v>39</v>
      </c>
      <c r="I761" s="205">
        <f>SUM(I762:I767)</f>
        <v>5384.3900000000003</v>
      </c>
      <c r="J761" s="205">
        <f>SUM(J762:J767)</f>
        <v>4341.25</v>
      </c>
      <c r="K761" s="205">
        <f>SUM(K762:K767)</f>
        <v>2399.8500000000004</v>
      </c>
      <c r="L761" s="206">
        <f>SUM(L762:L767)</f>
        <v>142</v>
      </c>
      <c r="M761" s="205">
        <f>SUM(M762:M767)</f>
        <v>26669184.099999998</v>
      </c>
      <c r="N761" s="64">
        <f>SUM(N762:N767)</f>
        <v>0</v>
      </c>
      <c r="O761" s="64">
        <f>SUM(O762:O767)</f>
        <v>0</v>
      </c>
      <c r="P761" s="64">
        <f>SUM(P762:P767)</f>
        <v>0</v>
      </c>
      <c r="Q761" s="205">
        <f>SUM(Q762:Q767)</f>
        <v>26669184.099999998</v>
      </c>
      <c r="R761" s="205">
        <f>SUM(R762:R767)</f>
        <v>26669184.099999998</v>
      </c>
      <c r="S761" s="64">
        <f>SUM(S762:S767)</f>
        <v>0</v>
      </c>
      <c r="T761" s="28" t="s">
        <v>39</v>
      </c>
      <c r="U761" s="203" t="s">
        <v>39</v>
      </c>
      <c r="V761" s="28" t="s">
        <v>39</v>
      </c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  <c r="AL761" s="31"/>
      <c r="AM761" s="31"/>
      <c r="AN761" s="31"/>
      <c r="AO761" s="31"/>
      <c r="AP761" s="31"/>
      <c r="AQ761" s="31"/>
      <c r="AR761" s="31"/>
      <c r="AS761" s="31"/>
      <c r="AT761" s="31"/>
      <c r="AU761" s="31"/>
      <c r="AV761" s="31"/>
      <c r="AW761" s="31"/>
      <c r="AX761" s="31"/>
      <c r="AY761" s="31"/>
      <c r="AZ761" s="31"/>
      <c r="BA761" s="31"/>
      <c r="BB761" s="31"/>
      <c r="BC761" s="31"/>
      <c r="BD761" s="31"/>
      <c r="BE761" s="31"/>
      <c r="BF761" s="31"/>
      <c r="BG761" s="31"/>
      <c r="BH761" s="31"/>
      <c r="BI761" s="31"/>
      <c r="BJ761" s="31"/>
      <c r="BK761" s="31"/>
      <c r="BL761" s="31"/>
      <c r="BM761" s="31"/>
      <c r="BN761" s="31"/>
      <c r="BO761" s="31"/>
      <c r="BP761" s="31"/>
      <c r="BQ761" s="31"/>
      <c r="BR761" s="31"/>
      <c r="BS761" s="31"/>
      <c r="BT761" s="31"/>
      <c r="BU761" s="31"/>
      <c r="BV761" s="31"/>
      <c r="BW761" s="31"/>
      <c r="BX761" s="31"/>
      <c r="BY761" s="31"/>
      <c r="BZ761" s="31"/>
      <c r="CA761" s="31"/>
      <c r="CB761" s="31"/>
      <c r="CC761" s="31"/>
      <c r="CD761" s="31"/>
      <c r="CE761" s="31"/>
      <c r="CF761" s="31"/>
      <c r="CG761" s="31"/>
      <c r="CH761" s="31"/>
      <c r="CI761" s="31"/>
      <c r="CJ761" s="31"/>
      <c r="CK761" s="31"/>
      <c r="CL761" s="31"/>
      <c r="CM761" s="31"/>
      <c r="CN761" s="31"/>
      <c r="CO761" s="31"/>
      <c r="CP761" s="31"/>
      <c r="CQ761" s="31"/>
    </row>
    <row r="762" s="31" customFormat="1" ht="43.5" customHeight="1">
      <c r="A762" s="33">
        <v>1</v>
      </c>
      <c r="B762" s="52" t="s">
        <v>466</v>
      </c>
      <c r="C762" s="33" t="s">
        <v>43</v>
      </c>
      <c r="D762" s="36">
        <v>1994</v>
      </c>
      <c r="E762" s="67" t="s">
        <v>39</v>
      </c>
      <c r="F762" s="33" t="s">
        <v>77</v>
      </c>
      <c r="G762" s="36">
        <v>2</v>
      </c>
      <c r="H762" s="36">
        <v>3</v>
      </c>
      <c r="I762" s="37">
        <v>1266</v>
      </c>
      <c r="J762" s="37">
        <v>732.54999999999995</v>
      </c>
      <c r="K762" s="37">
        <v>732.54999999999995</v>
      </c>
      <c r="L762" s="38">
        <v>29</v>
      </c>
      <c r="M762" s="39">
        <f t="shared" ref="M762:M769" si="128">SUM(N762:Q762)</f>
        <v>9820138.75</v>
      </c>
      <c r="N762" s="56">
        <v>0</v>
      </c>
      <c r="O762" s="56">
        <v>0</v>
      </c>
      <c r="P762" s="56">
        <v>0</v>
      </c>
      <c r="Q762" s="37">
        <f>'Таблица 3 '!C751</f>
        <v>9820138.75</v>
      </c>
      <c r="R762" s="56">
        <f t="shared" ref="R762:R769" si="129">Q762</f>
        <v>9820138.75</v>
      </c>
      <c r="S762" s="56">
        <v>0</v>
      </c>
      <c r="T762" s="37">
        <f t="shared" si="124"/>
        <v>13405.417718927036</v>
      </c>
      <c r="U762" s="39">
        <f t="shared" si="127"/>
        <v>13405.417718927036</v>
      </c>
      <c r="V762" s="41" t="s">
        <v>572</v>
      </c>
      <c r="W762" s="31"/>
    </row>
    <row r="763" s="31" customFormat="1" ht="43.5" customHeight="1">
      <c r="A763" s="33">
        <v>2</v>
      </c>
      <c r="B763" s="52" t="s">
        <v>467</v>
      </c>
      <c r="C763" s="33" t="s">
        <v>43</v>
      </c>
      <c r="D763" s="36">
        <v>1988</v>
      </c>
      <c r="E763" s="67" t="s">
        <v>39</v>
      </c>
      <c r="F763" s="33" t="s">
        <v>77</v>
      </c>
      <c r="G763" s="36">
        <v>3</v>
      </c>
      <c r="H763" s="36">
        <v>3</v>
      </c>
      <c r="I763" s="37">
        <v>721.5</v>
      </c>
      <c r="J763" s="37">
        <v>721.5</v>
      </c>
      <c r="K763" s="37">
        <v>0</v>
      </c>
      <c r="L763" s="38">
        <v>12</v>
      </c>
      <c r="M763" s="39">
        <f t="shared" si="128"/>
        <v>2323576.0800000001</v>
      </c>
      <c r="N763" s="56">
        <v>0</v>
      </c>
      <c r="O763" s="56">
        <v>0</v>
      </c>
      <c r="P763" s="56">
        <v>0</v>
      </c>
      <c r="Q763" s="37">
        <f>'Таблица 3 '!C752</f>
        <v>2323576.0800000001</v>
      </c>
      <c r="R763" s="56">
        <f t="shared" si="129"/>
        <v>2323576.0800000001</v>
      </c>
      <c r="S763" s="56">
        <v>0</v>
      </c>
      <c r="T763" s="37">
        <f t="shared" si="124"/>
        <v>3220.4796673596675</v>
      </c>
      <c r="U763" s="39">
        <f t="shared" si="127"/>
        <v>3220.4796673596675</v>
      </c>
      <c r="V763" s="41" t="s">
        <v>572</v>
      </c>
      <c r="W763" s="31"/>
    </row>
    <row r="764" s="31" customFormat="1" ht="43.5" customHeight="1">
      <c r="A764" s="33">
        <v>3</v>
      </c>
      <c r="B764" s="52" t="s">
        <v>468</v>
      </c>
      <c r="C764" s="43" t="s">
        <v>43</v>
      </c>
      <c r="D764" s="36">
        <v>1961</v>
      </c>
      <c r="E764" s="145" t="s">
        <v>39</v>
      </c>
      <c r="F764" s="33" t="s">
        <v>77</v>
      </c>
      <c r="G764" s="45">
        <v>2</v>
      </c>
      <c r="H764" s="36">
        <v>1</v>
      </c>
      <c r="I764" s="46">
        <v>1143.5</v>
      </c>
      <c r="J764" s="37">
        <v>1143.5</v>
      </c>
      <c r="K764" s="46">
        <v>0</v>
      </c>
      <c r="L764" s="38">
        <v>37</v>
      </c>
      <c r="M764" s="39">
        <f t="shared" si="128"/>
        <v>10525753.75</v>
      </c>
      <c r="N764" s="58">
        <v>0</v>
      </c>
      <c r="O764" s="56">
        <v>0</v>
      </c>
      <c r="P764" s="58">
        <v>0</v>
      </c>
      <c r="Q764" s="37">
        <f>'Таблица 3 '!C753</f>
        <v>10525753.75</v>
      </c>
      <c r="R764" s="58">
        <f t="shared" si="129"/>
        <v>10525753.75</v>
      </c>
      <c r="S764" s="56">
        <v>0</v>
      </c>
      <c r="T764" s="46">
        <f t="shared" si="124"/>
        <v>9204.8567993003944</v>
      </c>
      <c r="U764" s="39">
        <f t="shared" si="127"/>
        <v>9204.8567993003944</v>
      </c>
      <c r="V764" s="41" t="s">
        <v>572</v>
      </c>
      <c r="W764" s="60"/>
    </row>
    <row r="765" s="31" customFormat="1" ht="43.5" customHeight="1">
      <c r="A765" s="33">
        <v>4</v>
      </c>
      <c r="B765" s="52" t="s">
        <v>719</v>
      </c>
      <c r="C765" s="33" t="s">
        <v>43</v>
      </c>
      <c r="D765" s="36">
        <v>1970</v>
      </c>
      <c r="E765" s="67" t="s">
        <v>39</v>
      </c>
      <c r="F765" s="33" t="s">
        <v>77</v>
      </c>
      <c r="G765" s="36">
        <v>2</v>
      </c>
      <c r="H765" s="36">
        <v>1</v>
      </c>
      <c r="I765" s="37">
        <v>509</v>
      </c>
      <c r="J765" s="37">
        <v>478.69999999999999</v>
      </c>
      <c r="K765" s="37">
        <v>444.69999999999999</v>
      </c>
      <c r="L765" s="90">
        <v>16</v>
      </c>
      <c r="M765" s="39">
        <f t="shared" si="128"/>
        <v>1191751.5899999999</v>
      </c>
      <c r="N765" s="56">
        <v>0</v>
      </c>
      <c r="O765" s="56">
        <v>0</v>
      </c>
      <c r="P765" s="56">
        <v>0</v>
      </c>
      <c r="Q765" s="37">
        <f>'Таблица 3 '!C754</f>
        <v>1191751.5899999999</v>
      </c>
      <c r="R765" s="56">
        <f t="shared" si="129"/>
        <v>1191751.5899999999</v>
      </c>
      <c r="S765" s="56">
        <v>0</v>
      </c>
      <c r="T765" s="37">
        <f t="shared" si="124"/>
        <v>2489.5583664090241</v>
      </c>
      <c r="U765" s="39">
        <f t="shared" si="127"/>
        <v>2489.5583664090241</v>
      </c>
      <c r="V765" s="41" t="s">
        <v>572</v>
      </c>
      <c r="W765" s="59"/>
    </row>
    <row r="766" s="31" customFormat="1" ht="43.5" customHeight="1">
      <c r="A766" s="33">
        <v>5</v>
      </c>
      <c r="B766" s="52" t="s">
        <v>720</v>
      </c>
      <c r="C766" s="43" t="s">
        <v>43</v>
      </c>
      <c r="D766" s="36">
        <v>1964</v>
      </c>
      <c r="E766" s="145" t="s">
        <v>39</v>
      </c>
      <c r="F766" s="33" t="s">
        <v>77</v>
      </c>
      <c r="G766" s="45">
        <v>2</v>
      </c>
      <c r="H766" s="36">
        <v>2</v>
      </c>
      <c r="I766" s="46">
        <v>661</v>
      </c>
      <c r="J766" s="37">
        <v>637.29999999999995</v>
      </c>
      <c r="K766" s="37">
        <v>594.89999999999998</v>
      </c>
      <c r="L766" s="38">
        <v>21</v>
      </c>
      <c r="M766" s="39">
        <f t="shared" si="128"/>
        <v>1410605.54</v>
      </c>
      <c r="N766" s="58">
        <v>0</v>
      </c>
      <c r="O766" s="56">
        <v>0</v>
      </c>
      <c r="P766" s="58">
        <v>0</v>
      </c>
      <c r="Q766" s="37">
        <f>'Таблица 3 '!C755</f>
        <v>1410605.54</v>
      </c>
      <c r="R766" s="58">
        <f t="shared" si="129"/>
        <v>1410605.54</v>
      </c>
      <c r="S766" s="56">
        <v>0</v>
      </c>
      <c r="T766" s="46">
        <f t="shared" si="124"/>
        <v>2213.4089753648204</v>
      </c>
      <c r="U766" s="39">
        <f t="shared" si="127"/>
        <v>2213.4089753648204</v>
      </c>
      <c r="V766" s="41" t="s">
        <v>572</v>
      </c>
      <c r="W766" s="59"/>
    </row>
    <row r="767" s="59" customFormat="1" ht="43.200000000000003" customHeight="1">
      <c r="A767" s="33">
        <v>6</v>
      </c>
      <c r="B767" s="52" t="s">
        <v>721</v>
      </c>
      <c r="C767" s="33" t="s">
        <v>43</v>
      </c>
      <c r="D767" s="36">
        <v>1969</v>
      </c>
      <c r="E767" s="67" t="s">
        <v>39</v>
      </c>
      <c r="F767" s="33" t="s">
        <v>77</v>
      </c>
      <c r="G767" s="36">
        <v>2</v>
      </c>
      <c r="H767" s="36">
        <v>2</v>
      </c>
      <c r="I767" s="37">
        <v>1083.3900000000001</v>
      </c>
      <c r="J767" s="37">
        <v>627.70000000000005</v>
      </c>
      <c r="K767" s="37">
        <v>627.70000000000005</v>
      </c>
      <c r="L767" s="38">
        <v>27</v>
      </c>
      <c r="M767" s="39">
        <f t="shared" si="128"/>
        <v>1397358.3899999999</v>
      </c>
      <c r="N767" s="56">
        <v>0</v>
      </c>
      <c r="O767" s="56">
        <v>0</v>
      </c>
      <c r="P767" s="56">
        <v>0</v>
      </c>
      <c r="Q767" s="37">
        <f>'Таблица 3 '!C756</f>
        <v>1397358.3899999999</v>
      </c>
      <c r="R767" s="56">
        <f t="shared" si="129"/>
        <v>1397358.3899999999</v>
      </c>
      <c r="S767" s="56">
        <v>0</v>
      </c>
      <c r="T767" s="37">
        <f t="shared" si="124"/>
        <v>2226.156428230046</v>
      </c>
      <c r="U767" s="39">
        <f t="shared" si="127"/>
        <v>2226.156428230046</v>
      </c>
      <c r="V767" s="41" t="s">
        <v>572</v>
      </c>
      <c r="W767" s="59"/>
    </row>
    <row r="768" s="59" customFormat="1" ht="43.200000000000003" customHeight="1">
      <c r="A768" s="33">
        <v>7</v>
      </c>
      <c r="B768" s="52" t="s">
        <v>472</v>
      </c>
      <c r="C768" s="43" t="s">
        <v>43</v>
      </c>
      <c r="D768" s="36">
        <v>1973</v>
      </c>
      <c r="E768" s="145" t="s">
        <v>39</v>
      </c>
      <c r="F768" s="33" t="s">
        <v>77</v>
      </c>
      <c r="G768" s="45">
        <v>2</v>
      </c>
      <c r="H768" s="36">
        <v>2</v>
      </c>
      <c r="I768" s="46">
        <v>631.80999999999995</v>
      </c>
      <c r="J768" s="37">
        <v>631.80999999999995</v>
      </c>
      <c r="K768" s="46">
        <v>0</v>
      </c>
      <c r="L768" s="38">
        <v>20</v>
      </c>
      <c r="M768" s="46">
        <f t="shared" si="128"/>
        <v>3026233.8600000003</v>
      </c>
      <c r="N768" s="56">
        <v>0</v>
      </c>
      <c r="O768" s="58">
        <v>0</v>
      </c>
      <c r="P768" s="56">
        <v>0</v>
      </c>
      <c r="Q768" s="37">
        <f>'Таблица 3 '!C757</f>
        <v>3026233.8600000003</v>
      </c>
      <c r="R768" s="56">
        <f t="shared" si="129"/>
        <v>3026233.8600000003</v>
      </c>
      <c r="S768" s="58">
        <v>0</v>
      </c>
      <c r="T768" s="37">
        <f t="shared" si="124"/>
        <v>4789.7846821037983</v>
      </c>
      <c r="U768" s="46">
        <f t="shared" si="127"/>
        <v>4789.7846821037983</v>
      </c>
      <c r="V768" s="41" t="s">
        <v>572</v>
      </c>
      <c r="W768" s="59"/>
    </row>
    <row r="769" s="59" customFormat="1" ht="43.200000000000003" customHeight="1">
      <c r="A769" s="33">
        <v>8</v>
      </c>
      <c r="B769" s="52" t="s">
        <v>473</v>
      </c>
      <c r="C769" s="33" t="s">
        <v>43</v>
      </c>
      <c r="D769" s="45">
        <v>1973</v>
      </c>
      <c r="E769" s="67" t="s">
        <v>39</v>
      </c>
      <c r="F769" s="43" t="s">
        <v>77</v>
      </c>
      <c r="G769" s="36">
        <v>2</v>
      </c>
      <c r="H769" s="45">
        <v>2</v>
      </c>
      <c r="I769" s="37">
        <v>635.59000000000003</v>
      </c>
      <c r="J769" s="46">
        <v>635.59000000000003</v>
      </c>
      <c r="K769" s="37">
        <v>0</v>
      </c>
      <c r="L769" s="90">
        <v>22</v>
      </c>
      <c r="M769" s="37">
        <f t="shared" si="128"/>
        <v>3041161.2599999998</v>
      </c>
      <c r="N769" s="58">
        <v>0</v>
      </c>
      <c r="O769" s="56">
        <v>0</v>
      </c>
      <c r="P769" s="58">
        <v>0</v>
      </c>
      <c r="Q769" s="37">
        <f>'Таблица 3 '!C758</f>
        <v>3041161.2599999998</v>
      </c>
      <c r="R769" s="58">
        <f t="shared" si="129"/>
        <v>3041161.2599999998</v>
      </c>
      <c r="S769" s="56">
        <v>0</v>
      </c>
      <c r="T769" s="46">
        <f t="shared" si="124"/>
        <v>4784.7846253087673</v>
      </c>
      <c r="U769" s="37">
        <f t="shared" si="127"/>
        <v>4784.7846253087673</v>
      </c>
      <c r="V769" s="41" t="s">
        <v>572</v>
      </c>
      <c r="W769" s="59"/>
    </row>
    <row r="770" s="60" customFormat="1" ht="27" customHeight="1">
      <c r="A770" s="61" t="s">
        <v>722</v>
      </c>
      <c r="B770" s="61"/>
      <c r="C770" s="82" t="s">
        <v>39</v>
      </c>
      <c r="D770" s="83" t="s">
        <v>39</v>
      </c>
      <c r="E770" s="84" t="s">
        <v>39</v>
      </c>
      <c r="F770" s="82" t="s">
        <v>39</v>
      </c>
      <c r="G770" s="85" t="s">
        <v>39</v>
      </c>
      <c r="H770" s="85" t="s">
        <v>39</v>
      </c>
      <c r="I770" s="64">
        <f>SUM(I771:I774)</f>
        <v>3126.5999999999999</v>
      </c>
      <c r="J770" s="64">
        <f>SUM(J771:J774)</f>
        <v>2698.3000000000002</v>
      </c>
      <c r="K770" s="64">
        <f>SUM(K771:K774)</f>
        <v>2333.1999999999998</v>
      </c>
      <c r="L770" s="65">
        <f>SUM(L771:L774)</f>
        <v>91</v>
      </c>
      <c r="M770" s="64">
        <f>SUM(M771:M774)</f>
        <v>7923893.6899999995</v>
      </c>
      <c r="N770" s="64">
        <f>SUM(N771:N774)</f>
        <v>0</v>
      </c>
      <c r="O770" s="64">
        <f>SUM(O771:O774)</f>
        <v>0</v>
      </c>
      <c r="P770" s="64">
        <f>SUM(P771:P774)</f>
        <v>0</v>
      </c>
      <c r="Q770" s="64">
        <f>SUM(Q771:Q774)</f>
        <v>7923893.6899999995</v>
      </c>
      <c r="R770" s="64">
        <f>SUM(R771:R774)</f>
        <v>7923893.6899999995</v>
      </c>
      <c r="S770" s="64">
        <f>SUM(S771:S774)</f>
        <v>0</v>
      </c>
      <c r="T770" s="32" t="s">
        <v>39</v>
      </c>
      <c r="U770" s="207" t="s">
        <v>39</v>
      </c>
      <c r="V770" s="66" t="s">
        <v>39</v>
      </c>
      <c r="W770" s="60"/>
    </row>
    <row r="771" s="59" customFormat="1" ht="45" customHeight="1">
      <c r="A771" s="33">
        <v>1</v>
      </c>
      <c r="B771" s="98" t="s">
        <v>723</v>
      </c>
      <c r="C771" s="43" t="s">
        <v>43</v>
      </c>
      <c r="D771" s="33">
        <v>1965</v>
      </c>
      <c r="E771" s="35" t="s">
        <v>39</v>
      </c>
      <c r="F771" s="33" t="s">
        <v>77</v>
      </c>
      <c r="G771" s="45">
        <v>2</v>
      </c>
      <c r="H771" s="36">
        <v>3</v>
      </c>
      <c r="I771" s="51">
        <v>824.39999999999998</v>
      </c>
      <c r="J771" s="40">
        <v>471.10000000000002</v>
      </c>
      <c r="K771" s="51">
        <v>471.10000000000002</v>
      </c>
      <c r="L771" s="48">
        <v>12</v>
      </c>
      <c r="M771" s="39">
        <f t="shared" ref="M771:M774" si="130">SUM(N771:Q771)</f>
        <v>1180712.3</v>
      </c>
      <c r="N771" s="46">
        <v>0</v>
      </c>
      <c r="O771" s="37">
        <v>0</v>
      </c>
      <c r="P771" s="46">
        <v>0</v>
      </c>
      <c r="Q771" s="37">
        <f>'Таблица 3 '!C760</f>
        <v>1180712.3</v>
      </c>
      <c r="R771" s="46">
        <f t="shared" ref="R771:R774" si="131">Q771</f>
        <v>1180712.3</v>
      </c>
      <c r="S771" s="37">
        <v>0</v>
      </c>
      <c r="T771" s="46">
        <f t="shared" si="124"/>
        <v>2506.2880492464446</v>
      </c>
      <c r="U771" s="39">
        <f t="shared" si="127"/>
        <v>2506.2880492464446</v>
      </c>
      <c r="V771" s="41" t="s">
        <v>572</v>
      </c>
      <c r="W771" s="59"/>
    </row>
    <row r="772" s="59" customFormat="1" ht="45" customHeight="1">
      <c r="A772" s="33">
        <v>2</v>
      </c>
      <c r="B772" s="98" t="s">
        <v>724</v>
      </c>
      <c r="C772" s="33" t="s">
        <v>43</v>
      </c>
      <c r="D772" s="33">
        <v>1975</v>
      </c>
      <c r="E772" s="35" t="s">
        <v>39</v>
      </c>
      <c r="F772" s="33" t="s">
        <v>77</v>
      </c>
      <c r="G772" s="36">
        <v>2</v>
      </c>
      <c r="H772" s="36">
        <v>2</v>
      </c>
      <c r="I772" s="40">
        <v>803.60000000000002</v>
      </c>
      <c r="J772" s="40">
        <v>728.60000000000002</v>
      </c>
      <c r="K772" s="40">
        <v>723.70000000000005</v>
      </c>
      <c r="L772" s="48">
        <v>17</v>
      </c>
      <c r="M772" s="39">
        <f t="shared" si="130"/>
        <v>1529829.8799999999</v>
      </c>
      <c r="N772" s="37">
        <v>0</v>
      </c>
      <c r="O772" s="37">
        <v>0</v>
      </c>
      <c r="P772" s="37">
        <v>0</v>
      </c>
      <c r="Q772" s="37">
        <f>'Таблица 3 '!C761</f>
        <v>1529829.8799999999</v>
      </c>
      <c r="R772" s="37">
        <f t="shared" si="131"/>
        <v>1529829.8799999999</v>
      </c>
      <c r="S772" s="37">
        <v>0</v>
      </c>
      <c r="T772" s="37">
        <f t="shared" si="124"/>
        <v>2099.6841614054347</v>
      </c>
      <c r="U772" s="39">
        <f t="shared" si="127"/>
        <v>2099.6841614054347</v>
      </c>
      <c r="V772" s="41" t="s">
        <v>572</v>
      </c>
      <c r="W772" s="59"/>
    </row>
    <row r="773" s="59" customFormat="1" ht="45" customHeight="1">
      <c r="A773" s="33">
        <v>3</v>
      </c>
      <c r="B773" s="98" t="s">
        <v>479</v>
      </c>
      <c r="C773" s="33" t="s">
        <v>43</v>
      </c>
      <c r="D773" s="33">
        <v>1953</v>
      </c>
      <c r="E773" s="35" t="s">
        <v>39</v>
      </c>
      <c r="F773" s="33" t="s">
        <v>77</v>
      </c>
      <c r="G773" s="36">
        <v>2</v>
      </c>
      <c r="H773" s="36">
        <v>2</v>
      </c>
      <c r="I773" s="40">
        <v>887.20000000000005</v>
      </c>
      <c r="J773" s="40">
        <v>887.20000000000005</v>
      </c>
      <c r="K773" s="40">
        <v>887.20000000000005</v>
      </c>
      <c r="L773" s="48">
        <v>31</v>
      </c>
      <c r="M773" s="39">
        <f t="shared" si="130"/>
        <v>3384686.4899999998</v>
      </c>
      <c r="N773" s="37">
        <v>0</v>
      </c>
      <c r="O773" s="37">
        <v>0</v>
      </c>
      <c r="P773" s="37">
        <v>0</v>
      </c>
      <c r="Q773" s="37">
        <f>'Таблица 3 '!C762</f>
        <v>3384686.4899999998</v>
      </c>
      <c r="R773" s="37">
        <f t="shared" si="131"/>
        <v>3384686.4899999998</v>
      </c>
      <c r="S773" s="37">
        <v>0</v>
      </c>
      <c r="T773" s="37">
        <f t="shared" si="124"/>
        <v>3815.0208408476101</v>
      </c>
      <c r="U773" s="39">
        <f t="shared" si="127"/>
        <v>3815.0208408476101</v>
      </c>
      <c r="V773" s="41" t="s">
        <v>572</v>
      </c>
      <c r="W773" s="59"/>
    </row>
    <row r="774" s="60" customFormat="1" ht="43.200000000000003" customHeight="1">
      <c r="A774" s="33">
        <v>4</v>
      </c>
      <c r="B774" s="98" t="s">
        <v>482</v>
      </c>
      <c r="C774" s="33" t="s">
        <v>43</v>
      </c>
      <c r="D774" s="33" t="s">
        <v>286</v>
      </c>
      <c r="E774" s="35">
        <v>2019</v>
      </c>
      <c r="F774" s="33" t="s">
        <v>48</v>
      </c>
      <c r="G774" s="36">
        <v>2</v>
      </c>
      <c r="H774" s="36">
        <v>2</v>
      </c>
      <c r="I774" s="40">
        <v>611.39999999999998</v>
      </c>
      <c r="J774" s="40">
        <v>611.39999999999998</v>
      </c>
      <c r="K774" s="40">
        <v>251.19999999999999</v>
      </c>
      <c r="L774" s="48">
        <v>31</v>
      </c>
      <c r="M774" s="39">
        <f t="shared" si="130"/>
        <v>1828665.02</v>
      </c>
      <c r="N774" s="37">
        <v>0</v>
      </c>
      <c r="O774" s="37">
        <v>0</v>
      </c>
      <c r="P774" s="37">
        <v>0</v>
      </c>
      <c r="Q774" s="37">
        <f>'Таблица 3 '!C763</f>
        <v>1828665.02</v>
      </c>
      <c r="R774" s="37">
        <f t="shared" si="131"/>
        <v>1828665.02</v>
      </c>
      <c r="S774" s="37">
        <v>0</v>
      </c>
      <c r="T774" s="37">
        <f t="shared" si="124"/>
        <v>2990.9470395812891</v>
      </c>
      <c r="U774" s="39">
        <f t="shared" si="127"/>
        <v>2990.9470395812891</v>
      </c>
      <c r="V774" s="41" t="s">
        <v>572</v>
      </c>
      <c r="W774" s="60"/>
    </row>
    <row r="775" s="59" customFormat="1" ht="25.5" customHeight="1">
      <c r="A775" s="150" t="s">
        <v>484</v>
      </c>
      <c r="B775" s="151"/>
      <c r="C775" s="26" t="s">
        <v>39</v>
      </c>
      <c r="D775" s="26" t="s">
        <v>39</v>
      </c>
      <c r="E775" s="27" t="s">
        <v>39</v>
      </c>
      <c r="F775" s="26" t="s">
        <v>39</v>
      </c>
      <c r="G775" s="28" t="s">
        <v>39</v>
      </c>
      <c r="H775" s="168" t="s">
        <v>39</v>
      </c>
      <c r="I775" s="64">
        <f>SUM(I776:I777)</f>
        <v>3132.6099999999997</v>
      </c>
      <c r="J775" s="64">
        <f>SUM(J776:J777)</f>
        <v>2248.7600000000002</v>
      </c>
      <c r="K775" s="64">
        <f>SUM(K776:K777)</f>
        <v>1780.76</v>
      </c>
      <c r="L775" s="65">
        <f>SUM(L776:L777)</f>
        <v>126</v>
      </c>
      <c r="M775" s="64">
        <f>SUM(M776:M777)</f>
        <v>13882208.83</v>
      </c>
      <c r="N775" s="64">
        <f>SUM(N776:N777)</f>
        <v>0</v>
      </c>
      <c r="O775" s="64">
        <f>SUM(O776:O777)</f>
        <v>0</v>
      </c>
      <c r="P775" s="64">
        <f>SUM(P776:P777)</f>
        <v>0</v>
      </c>
      <c r="Q775" s="64">
        <f>SUM(Q776:Q777)</f>
        <v>13882208.83</v>
      </c>
      <c r="R775" s="64">
        <f>SUM(R776:R777)</f>
        <v>13882208.83</v>
      </c>
      <c r="S775" s="64">
        <f>SUM(S776:S777)</f>
        <v>0</v>
      </c>
      <c r="T775" s="32" t="s">
        <v>39</v>
      </c>
      <c r="U775" s="32" t="s">
        <v>39</v>
      </c>
      <c r="V775" s="63" t="s">
        <v>39</v>
      </c>
      <c r="W775" s="47"/>
    </row>
    <row r="776" s="59" customFormat="1" ht="47.25" customHeight="1">
      <c r="A776" s="33">
        <v>1</v>
      </c>
      <c r="B776" s="52" t="s">
        <v>485</v>
      </c>
      <c r="C776" s="43" t="s">
        <v>43</v>
      </c>
      <c r="D776" s="33">
        <v>1987</v>
      </c>
      <c r="E776" s="44" t="s">
        <v>39</v>
      </c>
      <c r="F776" s="33" t="s">
        <v>77</v>
      </c>
      <c r="G776" s="36">
        <v>3</v>
      </c>
      <c r="H776" s="36">
        <v>3</v>
      </c>
      <c r="I776" s="37">
        <v>2264.3899999999999</v>
      </c>
      <c r="J776" s="37">
        <v>1717.8</v>
      </c>
      <c r="K776" s="37">
        <v>1524</v>
      </c>
      <c r="L776" s="38">
        <v>63</v>
      </c>
      <c r="M776" s="37">
        <f t="shared" ref="M776:M777" si="132">SUM(N776:Q776)</f>
        <v>8729204.0600000005</v>
      </c>
      <c r="N776" s="37">
        <v>0</v>
      </c>
      <c r="O776" s="37">
        <v>0</v>
      </c>
      <c r="P776" s="37">
        <v>0</v>
      </c>
      <c r="Q776" s="37">
        <f>'Таблица 3 '!C765</f>
        <v>8729204.0600000005</v>
      </c>
      <c r="R776" s="37">
        <f t="shared" ref="R776:R777" si="133">Q776</f>
        <v>8729204.0600000005</v>
      </c>
      <c r="S776" s="37">
        <v>0</v>
      </c>
      <c r="T776" s="37">
        <f t="shared" si="124"/>
        <v>5081.6183839795094</v>
      </c>
      <c r="U776" s="37">
        <f t="shared" si="127"/>
        <v>5081.6183839795094</v>
      </c>
      <c r="V776" s="41" t="s">
        <v>572</v>
      </c>
      <c r="W776" s="59"/>
      <c r="X776" s="59"/>
      <c r="Y776" s="59"/>
      <c r="Z776" s="59"/>
      <c r="AA776" s="59"/>
      <c r="AB776" s="59"/>
      <c r="AC776" s="59"/>
      <c r="AD776" s="59"/>
      <c r="AE776" s="59"/>
      <c r="AF776" s="59"/>
      <c r="AG776" s="59"/>
      <c r="AH776" s="59"/>
      <c r="AI776" s="59"/>
      <c r="AJ776" s="59"/>
      <c r="AK776" s="59"/>
      <c r="AL776" s="59"/>
      <c r="AM776" s="59"/>
      <c r="AN776" s="59"/>
      <c r="AO776" s="59"/>
      <c r="AP776" s="59"/>
      <c r="AQ776" s="59"/>
      <c r="AR776" s="59"/>
      <c r="AS776" s="59"/>
      <c r="AT776" s="59"/>
      <c r="AU776" s="59"/>
      <c r="AV776" s="59"/>
      <c r="AW776" s="59"/>
      <c r="AX776" s="59"/>
      <c r="AY776" s="59"/>
      <c r="AZ776" s="59"/>
      <c r="BA776" s="59"/>
      <c r="BB776" s="59"/>
      <c r="BC776" s="59"/>
      <c r="BD776" s="59"/>
      <c r="BE776" s="59"/>
      <c r="BF776" s="59"/>
      <c r="BG776" s="59"/>
      <c r="BH776" s="59"/>
      <c r="BI776" s="59"/>
      <c r="BJ776" s="59"/>
      <c r="BK776" s="59"/>
      <c r="BL776" s="59"/>
      <c r="BM776" s="59"/>
      <c r="BN776" s="59"/>
      <c r="BO776" s="59"/>
      <c r="BP776" s="59"/>
      <c r="BQ776" s="59"/>
      <c r="BR776" s="59"/>
      <c r="BS776" s="59"/>
      <c r="BT776" s="59"/>
      <c r="BU776" s="59"/>
      <c r="BV776" s="59"/>
      <c r="BW776" s="59"/>
      <c r="BX776" s="59"/>
      <c r="BY776" s="59"/>
      <c r="BZ776" s="59"/>
      <c r="CA776" s="59"/>
      <c r="CB776" s="59"/>
      <c r="CC776" s="59"/>
      <c r="CD776" s="59"/>
      <c r="CE776" s="59"/>
      <c r="CF776" s="59"/>
      <c r="CG776" s="59"/>
      <c r="CH776" s="59"/>
      <c r="CI776" s="59"/>
      <c r="CJ776" s="59"/>
      <c r="CK776" s="59"/>
      <c r="CL776" s="59"/>
      <c r="CM776" s="59"/>
      <c r="CN776" s="59"/>
      <c r="CO776" s="59"/>
      <c r="CP776" s="59"/>
      <c r="CQ776" s="59"/>
      <c r="CR776" s="59"/>
    </row>
    <row r="777" s="59" customFormat="1" ht="43.200000000000003" customHeight="1">
      <c r="A777" s="33">
        <v>2</v>
      </c>
      <c r="B777" s="50" t="s">
        <v>725</v>
      </c>
      <c r="C777" s="33" t="s">
        <v>43</v>
      </c>
      <c r="D777" s="33">
        <v>1964</v>
      </c>
      <c r="E777" s="35" t="s">
        <v>39</v>
      </c>
      <c r="F777" s="33" t="s">
        <v>77</v>
      </c>
      <c r="G777" s="36">
        <v>2</v>
      </c>
      <c r="H777" s="36">
        <v>3</v>
      </c>
      <c r="I777" s="37">
        <v>868.22000000000003</v>
      </c>
      <c r="J777" s="37">
        <v>530.96000000000004</v>
      </c>
      <c r="K777" s="37">
        <v>256.75999999999999</v>
      </c>
      <c r="L777" s="38">
        <v>63</v>
      </c>
      <c r="M777" s="37">
        <f t="shared" si="132"/>
        <v>5153004.7699999996</v>
      </c>
      <c r="N777" s="37">
        <v>0</v>
      </c>
      <c r="O777" s="37">
        <v>0</v>
      </c>
      <c r="P777" s="37">
        <v>0</v>
      </c>
      <c r="Q777" s="37">
        <f>'Таблица 3 '!C766</f>
        <v>5153004.7699999996</v>
      </c>
      <c r="R777" s="37">
        <f t="shared" si="133"/>
        <v>5153004.7699999996</v>
      </c>
      <c r="S777" s="37">
        <v>0</v>
      </c>
      <c r="T777" s="37">
        <f t="shared" si="124"/>
        <v>9705.0715119783017</v>
      </c>
      <c r="U777" s="37">
        <f t="shared" si="127"/>
        <v>9705.0715119783017</v>
      </c>
      <c r="V777" s="41" t="s">
        <v>572</v>
      </c>
      <c r="W777" s="59"/>
      <c r="X777" s="59"/>
      <c r="Y777" s="59"/>
      <c r="Z777" s="59"/>
      <c r="AA777" s="59"/>
      <c r="AB777" s="59"/>
      <c r="AC777" s="59"/>
      <c r="AD777" s="59"/>
      <c r="AE777" s="59"/>
      <c r="AF777" s="59"/>
      <c r="AG777" s="59"/>
      <c r="AH777" s="59"/>
      <c r="AI777" s="59"/>
      <c r="AJ777" s="59"/>
      <c r="AK777" s="59"/>
      <c r="AL777" s="59"/>
      <c r="AM777" s="59"/>
      <c r="AN777" s="59"/>
      <c r="AO777" s="59"/>
      <c r="AP777" s="59"/>
      <c r="AQ777" s="59"/>
      <c r="AR777" s="59"/>
      <c r="AS777" s="59"/>
      <c r="AT777" s="59"/>
      <c r="AU777" s="59"/>
      <c r="AV777" s="59"/>
      <c r="AW777" s="59"/>
      <c r="AX777" s="59"/>
      <c r="AY777" s="59"/>
      <c r="AZ777" s="59"/>
      <c r="BA777" s="59"/>
      <c r="BB777" s="59"/>
      <c r="BC777" s="59"/>
      <c r="BD777" s="59"/>
      <c r="BE777" s="59"/>
      <c r="BF777" s="59"/>
      <c r="BG777" s="59"/>
      <c r="BH777" s="59"/>
      <c r="BI777" s="59"/>
      <c r="BJ777" s="59"/>
      <c r="BK777" s="59"/>
      <c r="BL777" s="59"/>
      <c r="BM777" s="59"/>
      <c r="BN777" s="59"/>
      <c r="BO777" s="59"/>
      <c r="BP777" s="59"/>
      <c r="BQ777" s="59"/>
      <c r="BR777" s="59"/>
      <c r="BS777" s="59"/>
      <c r="BT777" s="59"/>
      <c r="BU777" s="59"/>
      <c r="BV777" s="59"/>
      <c r="BW777" s="59"/>
      <c r="BX777" s="59"/>
      <c r="BY777" s="59"/>
      <c r="BZ777" s="59"/>
      <c r="CA777" s="59"/>
      <c r="CB777" s="59"/>
      <c r="CC777" s="59"/>
      <c r="CD777" s="59"/>
      <c r="CE777" s="59"/>
      <c r="CF777" s="59"/>
      <c r="CG777" s="59"/>
      <c r="CH777" s="59"/>
      <c r="CI777" s="59"/>
      <c r="CJ777" s="59"/>
      <c r="CK777" s="59"/>
      <c r="CL777" s="59"/>
      <c r="CM777" s="59"/>
      <c r="CN777" s="59"/>
      <c r="CO777" s="59"/>
      <c r="CP777" s="59"/>
      <c r="CQ777" s="59"/>
      <c r="CR777" s="59"/>
    </row>
    <row r="778" s="59" customFormat="1" ht="27.75" customHeight="1">
      <c r="A778" s="208" t="s">
        <v>487</v>
      </c>
      <c r="B778" s="209"/>
      <c r="C778" s="26" t="s">
        <v>39</v>
      </c>
      <c r="D778" s="26" t="s">
        <v>39</v>
      </c>
      <c r="E778" s="27" t="s">
        <v>39</v>
      </c>
      <c r="F778" s="26" t="s">
        <v>39</v>
      </c>
      <c r="G778" s="28" t="s">
        <v>39</v>
      </c>
      <c r="H778" s="168" t="s">
        <v>39</v>
      </c>
      <c r="I778" s="64">
        <f>I779</f>
        <v>1741.0999999999999</v>
      </c>
      <c r="J778" s="64">
        <f>J779</f>
        <v>1544.5</v>
      </c>
      <c r="K778" s="64">
        <f>K779</f>
        <v>1544.5</v>
      </c>
      <c r="L778" s="65">
        <f>L779</f>
        <v>39</v>
      </c>
      <c r="M778" s="64">
        <f>M779</f>
        <v>14216901.33</v>
      </c>
      <c r="N778" s="64">
        <f>N779</f>
        <v>0</v>
      </c>
      <c r="O778" s="64">
        <f>O779</f>
        <v>0</v>
      </c>
      <c r="P778" s="64">
        <f>P779</f>
        <v>0</v>
      </c>
      <c r="Q778" s="64">
        <f>Q779</f>
        <v>14216901.33</v>
      </c>
      <c r="R778" s="64">
        <f>R779</f>
        <v>14216901.33</v>
      </c>
      <c r="S778" s="64">
        <f>S779</f>
        <v>0</v>
      </c>
      <c r="T778" s="32" t="s">
        <v>39</v>
      </c>
      <c r="U778" s="32" t="s">
        <v>39</v>
      </c>
      <c r="V778" s="63" t="s">
        <v>39</v>
      </c>
      <c r="W778" s="47"/>
      <c r="X778" s="59"/>
      <c r="Y778" s="59"/>
      <c r="Z778" s="59"/>
      <c r="AA778" s="59"/>
      <c r="AB778" s="59"/>
      <c r="AC778" s="59"/>
      <c r="AD778" s="59"/>
      <c r="AE778" s="59"/>
      <c r="AF778" s="59"/>
      <c r="AG778" s="59"/>
      <c r="AH778" s="59"/>
      <c r="AI778" s="59"/>
      <c r="AJ778" s="59"/>
      <c r="AK778" s="59"/>
      <c r="AL778" s="59"/>
      <c r="AM778" s="59"/>
      <c r="AN778" s="59"/>
      <c r="AO778" s="59"/>
      <c r="AP778" s="59"/>
      <c r="AQ778" s="59"/>
      <c r="AR778" s="59"/>
      <c r="AS778" s="59"/>
      <c r="AT778" s="59"/>
      <c r="AU778" s="59"/>
      <c r="AV778" s="59"/>
      <c r="AW778" s="59"/>
      <c r="AX778" s="59"/>
      <c r="AY778" s="59"/>
      <c r="AZ778" s="59"/>
      <c r="BA778" s="59"/>
      <c r="BB778" s="59"/>
      <c r="BC778" s="59"/>
      <c r="BD778" s="59"/>
      <c r="BE778" s="59"/>
      <c r="BF778" s="59"/>
      <c r="BG778" s="59"/>
      <c r="BH778" s="59"/>
      <c r="BI778" s="59"/>
      <c r="BJ778" s="59"/>
      <c r="BK778" s="59"/>
      <c r="BL778" s="59"/>
      <c r="BM778" s="59"/>
      <c r="BN778" s="59"/>
      <c r="BO778" s="59"/>
      <c r="BP778" s="59"/>
      <c r="BQ778" s="59"/>
      <c r="BR778" s="59"/>
      <c r="BS778" s="59"/>
      <c r="BT778" s="59"/>
      <c r="BU778" s="59"/>
      <c r="BV778" s="59"/>
      <c r="BW778" s="59"/>
      <c r="BX778" s="59"/>
      <c r="BY778" s="59"/>
      <c r="BZ778" s="59"/>
      <c r="CA778" s="59"/>
      <c r="CB778" s="59"/>
      <c r="CC778" s="59"/>
      <c r="CD778" s="59"/>
      <c r="CE778" s="59"/>
      <c r="CF778" s="59"/>
      <c r="CG778" s="59"/>
      <c r="CH778" s="59"/>
      <c r="CI778" s="59"/>
      <c r="CJ778" s="59"/>
      <c r="CK778" s="59"/>
      <c r="CL778" s="59"/>
      <c r="CM778" s="59"/>
      <c r="CN778" s="59"/>
      <c r="CO778" s="59"/>
      <c r="CP778" s="59"/>
      <c r="CQ778" s="59"/>
      <c r="CR778" s="59"/>
    </row>
    <row r="779" s="59" customFormat="1" ht="44.25" customHeight="1">
      <c r="A779" s="33">
        <v>1</v>
      </c>
      <c r="B779" s="50" t="s">
        <v>488</v>
      </c>
      <c r="C779" s="33" t="s">
        <v>43</v>
      </c>
      <c r="D779" s="33">
        <v>1983</v>
      </c>
      <c r="E779" s="35" t="s">
        <v>39</v>
      </c>
      <c r="F779" s="33" t="s">
        <v>77</v>
      </c>
      <c r="G779" s="33">
        <v>3</v>
      </c>
      <c r="H779" s="36">
        <v>3</v>
      </c>
      <c r="I779" s="165">
        <v>1741.0999999999999</v>
      </c>
      <c r="J779" s="37">
        <v>1544.5</v>
      </c>
      <c r="K779" s="46">
        <v>1544.5</v>
      </c>
      <c r="L779" s="38">
        <v>39</v>
      </c>
      <c r="M779" s="46">
        <f>SUM(N779:Q779)</f>
        <v>14216901.33</v>
      </c>
      <c r="N779" s="37">
        <v>0</v>
      </c>
      <c r="O779" s="46">
        <v>0</v>
      </c>
      <c r="P779" s="37">
        <v>0</v>
      </c>
      <c r="Q779" s="46">
        <f>'Таблица 3 '!C768</f>
        <v>14216901.33</v>
      </c>
      <c r="R779" s="37">
        <f>Q779</f>
        <v>14216901.33</v>
      </c>
      <c r="S779" s="46">
        <v>0</v>
      </c>
      <c r="T779" s="37">
        <f t="shared" si="124"/>
        <v>9204.8568015539004</v>
      </c>
      <c r="U779" s="37">
        <f t="shared" si="127"/>
        <v>9204.8568015539004</v>
      </c>
      <c r="V779" s="41" t="s">
        <v>572</v>
      </c>
      <c r="W779" s="59"/>
      <c r="X779" s="59"/>
      <c r="Y779" s="59"/>
      <c r="Z779" s="59"/>
      <c r="AA779" s="59"/>
      <c r="AB779" s="59"/>
      <c r="AC779" s="59"/>
      <c r="AD779" s="59"/>
      <c r="AE779" s="59"/>
      <c r="AF779" s="59"/>
      <c r="AG779" s="59"/>
      <c r="AH779" s="59"/>
      <c r="AI779" s="59"/>
      <c r="AJ779" s="59"/>
      <c r="AK779" s="59"/>
      <c r="AL779" s="59"/>
      <c r="AM779" s="59"/>
      <c r="AN779" s="59"/>
      <c r="AO779" s="59"/>
      <c r="AP779" s="59"/>
      <c r="AQ779" s="59"/>
      <c r="AR779" s="59"/>
      <c r="AS779" s="59"/>
      <c r="AT779" s="59"/>
      <c r="AU779" s="59"/>
      <c r="AV779" s="59"/>
      <c r="AW779" s="59"/>
      <c r="AX779" s="59"/>
      <c r="AY779" s="59"/>
      <c r="AZ779" s="59"/>
      <c r="BA779" s="59"/>
      <c r="BB779" s="59"/>
      <c r="BC779" s="59"/>
      <c r="BD779" s="59"/>
      <c r="BE779" s="59"/>
      <c r="BF779" s="59"/>
      <c r="BG779" s="59"/>
      <c r="BH779" s="59"/>
      <c r="BI779" s="59"/>
      <c r="BJ779" s="59"/>
      <c r="BK779" s="59"/>
      <c r="BL779" s="59"/>
      <c r="BM779" s="59"/>
      <c r="BN779" s="59"/>
      <c r="BO779" s="59"/>
      <c r="BP779" s="59"/>
      <c r="BQ779" s="59"/>
      <c r="BR779" s="59"/>
      <c r="BS779" s="59"/>
      <c r="BT779" s="59"/>
      <c r="BU779" s="59"/>
      <c r="BV779" s="59"/>
      <c r="BW779" s="59"/>
      <c r="BX779" s="59"/>
      <c r="BY779" s="59"/>
      <c r="BZ779" s="59"/>
      <c r="CA779" s="59"/>
      <c r="CB779" s="59"/>
      <c r="CC779" s="59"/>
      <c r="CD779" s="59"/>
      <c r="CE779" s="59"/>
      <c r="CF779" s="59"/>
      <c r="CG779" s="59"/>
      <c r="CH779" s="59"/>
      <c r="CI779" s="59"/>
      <c r="CJ779" s="59"/>
      <c r="CK779" s="59"/>
      <c r="CL779" s="59"/>
      <c r="CM779" s="59"/>
      <c r="CN779" s="59"/>
      <c r="CO779" s="59"/>
      <c r="CP779" s="59"/>
      <c r="CQ779" s="59"/>
      <c r="CR779" s="59"/>
    </row>
    <row r="780" s="60" customFormat="1" ht="23.25" customHeight="1">
      <c r="A780" s="208" t="s">
        <v>493</v>
      </c>
      <c r="B780" s="209"/>
      <c r="C780" s="152" t="s">
        <v>39</v>
      </c>
      <c r="D780" s="26" t="s">
        <v>39</v>
      </c>
      <c r="E780" s="153" t="s">
        <v>39</v>
      </c>
      <c r="F780" s="26" t="s">
        <v>39</v>
      </c>
      <c r="G780" s="168" t="s">
        <v>39</v>
      </c>
      <c r="H780" s="28" t="s">
        <v>39</v>
      </c>
      <c r="I780" s="64">
        <f>SUM(I781:I783)</f>
        <v>10702.9</v>
      </c>
      <c r="J780" s="64">
        <f>SUM(J781:J783)</f>
        <v>10068.4</v>
      </c>
      <c r="K780" s="64">
        <f>SUM(K781:K783)</f>
        <v>1874.7</v>
      </c>
      <c r="L780" s="65">
        <f>SUM(L781:L783)</f>
        <v>257</v>
      </c>
      <c r="M780" s="64">
        <f>SUM(M781:M783)</f>
        <v>48332777.939999998</v>
      </c>
      <c r="N780" s="64">
        <f>SUM(N781:N783)</f>
        <v>0</v>
      </c>
      <c r="O780" s="64">
        <f>SUM(O781:O783)</f>
        <v>0</v>
      </c>
      <c r="P780" s="64">
        <f>SUM(P781:P783)</f>
        <v>0</v>
      </c>
      <c r="Q780" s="64">
        <f>SUM(Q781:Q783)</f>
        <v>48332777.939999998</v>
      </c>
      <c r="R780" s="64">
        <f>SUM(R781:R783)</f>
        <v>48332777.939999998</v>
      </c>
      <c r="S780" s="64">
        <f>SUM(S781:S783)</f>
        <v>0</v>
      </c>
      <c r="T780" s="32" t="s">
        <v>39</v>
      </c>
      <c r="U780" s="156" t="s">
        <v>39</v>
      </c>
      <c r="V780" s="66" t="s">
        <v>39</v>
      </c>
      <c r="W780" s="47"/>
      <c r="X780" s="60"/>
      <c r="Y780" s="60"/>
      <c r="Z780" s="60"/>
      <c r="AA780" s="60"/>
      <c r="AB780" s="60"/>
      <c r="AC780" s="60"/>
      <c r="AD780" s="60"/>
      <c r="AE780" s="60"/>
      <c r="AF780" s="60"/>
      <c r="AG780" s="60"/>
      <c r="AH780" s="60"/>
      <c r="AI780" s="60"/>
      <c r="AJ780" s="60"/>
      <c r="AK780" s="60"/>
      <c r="AL780" s="60"/>
      <c r="AM780" s="60"/>
      <c r="AN780" s="60"/>
      <c r="AO780" s="60"/>
      <c r="AP780" s="60"/>
      <c r="AQ780" s="60"/>
      <c r="AR780" s="60"/>
      <c r="AS780" s="60"/>
      <c r="AT780" s="60"/>
      <c r="AU780" s="60"/>
      <c r="AV780" s="60"/>
      <c r="AW780" s="60"/>
      <c r="AX780" s="60"/>
      <c r="AY780" s="60"/>
      <c r="AZ780" s="60"/>
      <c r="BA780" s="60"/>
      <c r="BB780" s="60"/>
      <c r="BC780" s="60"/>
      <c r="BD780" s="60"/>
      <c r="BE780" s="60"/>
      <c r="BF780" s="60"/>
      <c r="BG780" s="60"/>
      <c r="BH780" s="60"/>
      <c r="BI780" s="60"/>
      <c r="BJ780" s="60"/>
      <c r="BK780" s="60"/>
      <c r="BL780" s="60"/>
      <c r="BM780" s="60"/>
      <c r="BN780" s="60"/>
      <c r="BO780" s="60"/>
      <c r="BP780" s="60"/>
      <c r="BQ780" s="60"/>
      <c r="BR780" s="60"/>
      <c r="BS780" s="60"/>
      <c r="BT780" s="60"/>
      <c r="BU780" s="60"/>
      <c r="BV780" s="60"/>
      <c r="BW780" s="60"/>
      <c r="BX780" s="60"/>
      <c r="BY780" s="60"/>
      <c r="BZ780" s="60"/>
      <c r="CA780" s="60"/>
      <c r="CB780" s="60"/>
      <c r="CC780" s="60"/>
      <c r="CD780" s="60"/>
      <c r="CE780" s="60"/>
      <c r="CF780" s="60"/>
      <c r="CG780" s="60"/>
      <c r="CH780" s="60"/>
      <c r="CI780" s="60"/>
      <c r="CJ780" s="60"/>
      <c r="CK780" s="60"/>
      <c r="CL780" s="60"/>
      <c r="CM780" s="60"/>
      <c r="CN780" s="60"/>
      <c r="CO780" s="60"/>
      <c r="CP780" s="60"/>
      <c r="CQ780" s="60"/>
      <c r="CR780" s="60"/>
    </row>
    <row r="781" s="60" customFormat="1" ht="43.200000000000003" customHeight="1">
      <c r="A781" s="33">
        <v>1</v>
      </c>
      <c r="B781" s="52" t="s">
        <v>726</v>
      </c>
      <c r="C781" s="33" t="s">
        <v>43</v>
      </c>
      <c r="D781" s="43">
        <v>2002</v>
      </c>
      <c r="E781" s="35" t="s">
        <v>39</v>
      </c>
      <c r="F781" s="43" t="s">
        <v>77</v>
      </c>
      <c r="G781" s="36">
        <v>5</v>
      </c>
      <c r="H781" s="45">
        <v>2</v>
      </c>
      <c r="I781" s="37">
        <v>2118.1999999999998</v>
      </c>
      <c r="J781" s="46">
        <v>2068.1999999999998</v>
      </c>
      <c r="K781" s="37">
        <v>1874.7</v>
      </c>
      <c r="L781" s="90">
        <v>71</v>
      </c>
      <c r="M781" s="37">
        <f t="shared" ref="M781:M783" si="134">SUM(N781:Q781)</f>
        <v>3588782.3799999994</v>
      </c>
      <c r="N781" s="46">
        <v>0</v>
      </c>
      <c r="O781" s="37">
        <v>0</v>
      </c>
      <c r="P781" s="46">
        <v>0</v>
      </c>
      <c r="Q781" s="37">
        <f>'Таблица 3 '!C770</f>
        <v>3588782.3799999994</v>
      </c>
      <c r="R781" s="46">
        <f t="shared" ref="R781:R783" si="135">Q781</f>
        <v>3588782.3799999994</v>
      </c>
      <c r="S781" s="37">
        <v>0</v>
      </c>
      <c r="T781" s="46">
        <f t="shared" si="124"/>
        <v>1735.2201818005994</v>
      </c>
      <c r="U781" s="37">
        <f t="shared" si="127"/>
        <v>1735.2201818005994</v>
      </c>
      <c r="V781" s="41" t="s">
        <v>572</v>
      </c>
      <c r="W781" s="59"/>
      <c r="X781" s="60"/>
      <c r="Y781" s="60"/>
      <c r="Z781" s="60"/>
      <c r="AA781" s="60"/>
      <c r="AB781" s="60"/>
      <c r="AC781" s="60"/>
      <c r="AD781" s="60"/>
      <c r="AE781" s="60"/>
      <c r="AF781" s="60"/>
      <c r="AG781" s="60"/>
      <c r="AH781" s="60"/>
      <c r="AI781" s="60"/>
      <c r="AJ781" s="60"/>
      <c r="AK781" s="60"/>
      <c r="AL781" s="60"/>
      <c r="AM781" s="60"/>
      <c r="AN781" s="60"/>
      <c r="AO781" s="60"/>
      <c r="AP781" s="60"/>
      <c r="AQ781" s="60"/>
      <c r="AR781" s="60"/>
      <c r="AS781" s="60"/>
      <c r="AT781" s="60"/>
      <c r="AU781" s="60"/>
      <c r="AV781" s="60"/>
      <c r="AW781" s="60"/>
      <c r="AX781" s="60"/>
      <c r="AY781" s="60"/>
      <c r="AZ781" s="60"/>
      <c r="BA781" s="60"/>
      <c r="BB781" s="60"/>
      <c r="BC781" s="60"/>
      <c r="BD781" s="60"/>
      <c r="BE781" s="60"/>
      <c r="BF781" s="60"/>
      <c r="BG781" s="60"/>
      <c r="BH781" s="60"/>
      <c r="BI781" s="60"/>
      <c r="BJ781" s="60"/>
      <c r="BK781" s="60"/>
      <c r="BL781" s="60"/>
      <c r="BM781" s="60"/>
      <c r="BN781" s="60"/>
      <c r="BO781" s="60"/>
      <c r="BP781" s="60"/>
      <c r="BQ781" s="60"/>
      <c r="BR781" s="60"/>
      <c r="BS781" s="60"/>
      <c r="BT781" s="60"/>
      <c r="BU781" s="60"/>
      <c r="BV781" s="60"/>
      <c r="BW781" s="60"/>
      <c r="BX781" s="60"/>
      <c r="BY781" s="60"/>
      <c r="BZ781" s="60"/>
      <c r="CA781" s="60"/>
      <c r="CB781" s="60"/>
      <c r="CC781" s="60"/>
      <c r="CD781" s="60"/>
      <c r="CE781" s="60"/>
      <c r="CF781" s="60"/>
      <c r="CG781" s="60"/>
      <c r="CH781" s="60"/>
      <c r="CI781" s="60"/>
      <c r="CJ781" s="60"/>
      <c r="CK781" s="60"/>
      <c r="CL781" s="60"/>
      <c r="CM781" s="60"/>
      <c r="CN781" s="60"/>
      <c r="CO781" s="60"/>
      <c r="CP781" s="60"/>
      <c r="CQ781" s="60"/>
      <c r="CR781" s="60"/>
    </row>
    <row r="782" s="59" customFormat="1" ht="43.200000000000003" customHeight="1">
      <c r="A782" s="33">
        <v>2</v>
      </c>
      <c r="B782" s="50" t="s">
        <v>727</v>
      </c>
      <c r="C782" s="33" t="s">
        <v>43</v>
      </c>
      <c r="D782" s="33">
        <v>1981</v>
      </c>
      <c r="E782" s="35" t="s">
        <v>39</v>
      </c>
      <c r="F782" s="33" t="s">
        <v>48</v>
      </c>
      <c r="G782" s="36">
        <v>5</v>
      </c>
      <c r="H782" s="36">
        <v>4</v>
      </c>
      <c r="I782" s="37">
        <v>3769</v>
      </c>
      <c r="J782" s="37">
        <v>3735</v>
      </c>
      <c r="K782" s="37">
        <v>0</v>
      </c>
      <c r="L782" s="38">
        <v>74</v>
      </c>
      <c r="M782" s="37">
        <f t="shared" si="134"/>
        <v>20901221.59</v>
      </c>
      <c r="N782" s="37">
        <v>0</v>
      </c>
      <c r="O782" s="37">
        <v>0</v>
      </c>
      <c r="P782" s="37">
        <v>0</v>
      </c>
      <c r="Q782" s="37">
        <f>'Таблица 3 '!C771</f>
        <v>20901221.59</v>
      </c>
      <c r="R782" s="37">
        <f t="shared" si="135"/>
        <v>20901221.59</v>
      </c>
      <c r="S782" s="37">
        <v>0</v>
      </c>
      <c r="T782" s="37">
        <f t="shared" si="124"/>
        <v>5596.0432637215526</v>
      </c>
      <c r="U782" s="37">
        <f t="shared" si="127"/>
        <v>5596.0432637215526</v>
      </c>
      <c r="V782" s="41" t="s">
        <v>572</v>
      </c>
      <c r="W782" s="59"/>
      <c r="X782" s="59"/>
      <c r="Y782" s="59"/>
      <c r="Z782" s="59"/>
      <c r="AA782" s="59"/>
      <c r="AB782" s="59"/>
      <c r="AC782" s="59"/>
      <c r="AD782" s="59"/>
      <c r="AE782" s="59"/>
      <c r="AF782" s="59"/>
      <c r="AG782" s="59"/>
      <c r="AH782" s="59"/>
      <c r="AI782" s="59"/>
      <c r="AJ782" s="59"/>
      <c r="AK782" s="59"/>
      <c r="AL782" s="59"/>
      <c r="AM782" s="59"/>
      <c r="AN782" s="59"/>
      <c r="AO782" s="59"/>
      <c r="AP782" s="59"/>
      <c r="AQ782" s="59"/>
      <c r="AR782" s="59"/>
      <c r="AS782" s="59"/>
      <c r="AT782" s="59"/>
      <c r="AU782" s="59"/>
      <c r="AV782" s="59"/>
      <c r="AW782" s="59"/>
      <c r="AX782" s="59"/>
      <c r="AY782" s="59"/>
      <c r="AZ782" s="59"/>
      <c r="BA782" s="59"/>
      <c r="BB782" s="59"/>
      <c r="BC782" s="59"/>
      <c r="BD782" s="59"/>
      <c r="BE782" s="59"/>
      <c r="BF782" s="59"/>
      <c r="BG782" s="59"/>
      <c r="BH782" s="59"/>
      <c r="BI782" s="59"/>
      <c r="BJ782" s="59"/>
      <c r="BK782" s="59"/>
      <c r="BL782" s="59"/>
      <c r="BM782" s="59"/>
      <c r="BN782" s="59"/>
      <c r="BO782" s="59"/>
      <c r="BP782" s="59"/>
      <c r="BQ782" s="59"/>
      <c r="BR782" s="59"/>
      <c r="BS782" s="59"/>
      <c r="BT782" s="59"/>
      <c r="BU782" s="59"/>
      <c r="BV782" s="59"/>
      <c r="BW782" s="59"/>
      <c r="BX782" s="59"/>
      <c r="BY782" s="59"/>
      <c r="BZ782" s="59"/>
      <c r="CA782" s="59"/>
      <c r="CB782" s="59"/>
      <c r="CC782" s="59"/>
      <c r="CD782" s="59"/>
      <c r="CE782" s="59"/>
      <c r="CF782" s="59"/>
      <c r="CG782" s="59"/>
      <c r="CH782" s="59"/>
      <c r="CI782" s="59"/>
      <c r="CJ782" s="59"/>
      <c r="CK782" s="59"/>
      <c r="CL782" s="59"/>
      <c r="CM782" s="59"/>
      <c r="CN782" s="59"/>
      <c r="CO782" s="59"/>
      <c r="CP782" s="59"/>
      <c r="CQ782" s="59"/>
      <c r="CR782" s="59"/>
    </row>
    <row r="783" s="59" customFormat="1" ht="43.200000000000003" customHeight="1">
      <c r="A783" s="33">
        <v>3</v>
      </c>
      <c r="B783" s="50" t="s">
        <v>728</v>
      </c>
      <c r="C783" s="33" t="s">
        <v>43</v>
      </c>
      <c r="D783" s="33">
        <v>1983</v>
      </c>
      <c r="E783" s="35" t="s">
        <v>39</v>
      </c>
      <c r="F783" s="43" t="s">
        <v>48</v>
      </c>
      <c r="G783" s="36">
        <v>5</v>
      </c>
      <c r="H783" s="36">
        <v>6</v>
      </c>
      <c r="I783" s="37">
        <v>4815.6999999999998</v>
      </c>
      <c r="J783" s="37">
        <v>4265.1999999999998</v>
      </c>
      <c r="K783" s="37">
        <v>0</v>
      </c>
      <c r="L783" s="38">
        <v>112</v>
      </c>
      <c r="M783" s="37">
        <f t="shared" si="134"/>
        <v>23842773.970000003</v>
      </c>
      <c r="N783" s="37">
        <v>0</v>
      </c>
      <c r="O783" s="37">
        <v>0</v>
      </c>
      <c r="P783" s="37">
        <v>0</v>
      </c>
      <c r="Q783" s="37">
        <f>'Таблица 3 '!C772</f>
        <v>23842773.970000003</v>
      </c>
      <c r="R783" s="37">
        <f t="shared" si="135"/>
        <v>23842773.970000003</v>
      </c>
      <c r="S783" s="37">
        <v>0</v>
      </c>
      <c r="T783" s="37">
        <f t="shared" si="124"/>
        <v>5590.0717363781305</v>
      </c>
      <c r="U783" s="37">
        <f t="shared" si="127"/>
        <v>5590.0717363781305</v>
      </c>
      <c r="V783" s="41" t="s">
        <v>572</v>
      </c>
      <c r="W783" s="59"/>
      <c r="X783" s="59"/>
      <c r="Y783" s="59"/>
      <c r="Z783" s="59"/>
      <c r="AA783" s="59"/>
      <c r="AB783" s="59"/>
      <c r="AC783" s="59"/>
      <c r="AD783" s="59"/>
      <c r="AE783" s="59"/>
      <c r="AF783" s="59"/>
      <c r="AG783" s="59"/>
      <c r="AH783" s="59"/>
      <c r="AI783" s="59"/>
      <c r="AJ783" s="59"/>
      <c r="AK783" s="59"/>
      <c r="AL783" s="59"/>
      <c r="AM783" s="59"/>
      <c r="AN783" s="59"/>
      <c r="AO783" s="59"/>
      <c r="AP783" s="59"/>
      <c r="AQ783" s="59"/>
      <c r="AR783" s="59"/>
      <c r="AS783" s="59"/>
      <c r="AT783" s="59"/>
      <c r="AU783" s="59"/>
      <c r="AV783" s="59"/>
      <c r="AW783" s="59"/>
      <c r="AX783" s="59"/>
      <c r="AY783" s="59"/>
      <c r="AZ783" s="59"/>
      <c r="BA783" s="59"/>
      <c r="BB783" s="59"/>
      <c r="BC783" s="59"/>
      <c r="BD783" s="59"/>
      <c r="BE783" s="59"/>
      <c r="BF783" s="59"/>
      <c r="BG783" s="59"/>
      <c r="BH783" s="59"/>
      <c r="BI783" s="59"/>
      <c r="BJ783" s="59"/>
      <c r="BK783" s="59"/>
      <c r="BL783" s="59"/>
      <c r="BM783" s="59"/>
      <c r="BN783" s="59"/>
      <c r="BO783" s="59"/>
      <c r="BP783" s="59"/>
      <c r="BQ783" s="59"/>
      <c r="BR783" s="59"/>
      <c r="BS783" s="59"/>
      <c r="BT783" s="59"/>
      <c r="BU783" s="59"/>
      <c r="BV783" s="59"/>
      <c r="BW783" s="59"/>
      <c r="BX783" s="59"/>
      <c r="BY783" s="59"/>
      <c r="BZ783" s="59"/>
      <c r="CA783" s="59"/>
      <c r="CB783" s="59"/>
      <c r="CC783" s="59"/>
      <c r="CD783" s="59"/>
      <c r="CE783" s="59"/>
      <c r="CF783" s="59"/>
      <c r="CG783" s="59"/>
      <c r="CH783" s="59"/>
      <c r="CI783" s="59"/>
      <c r="CJ783" s="59"/>
      <c r="CK783" s="59"/>
      <c r="CL783" s="59"/>
      <c r="CM783" s="59"/>
      <c r="CN783" s="59"/>
      <c r="CO783" s="59"/>
      <c r="CP783" s="59"/>
      <c r="CQ783" s="59"/>
      <c r="CR783" s="59"/>
    </row>
    <row r="784" s="54" customFormat="1" ht="25.5" customHeight="1">
      <c r="A784" s="61" t="s">
        <v>501</v>
      </c>
      <c r="B784" s="61"/>
      <c r="C784" s="82" t="s">
        <v>39</v>
      </c>
      <c r="D784" s="83" t="s">
        <v>39</v>
      </c>
      <c r="E784" s="84" t="s">
        <v>39</v>
      </c>
      <c r="F784" s="82" t="s">
        <v>39</v>
      </c>
      <c r="G784" s="85" t="s">
        <v>39</v>
      </c>
      <c r="H784" s="85" t="s">
        <v>39</v>
      </c>
      <c r="I784" s="70">
        <f>SUM(I785:I792)</f>
        <v>10202.700000000001</v>
      </c>
      <c r="J784" s="70">
        <f>SUM(J785:J792)</f>
        <v>9420.5</v>
      </c>
      <c r="K784" s="70">
        <f>SUM(K785:K792)</f>
        <v>9027.1000000000004</v>
      </c>
      <c r="L784" s="71">
        <f>SUM(L785:L792)</f>
        <v>451</v>
      </c>
      <c r="M784" s="70">
        <f>SUM(M785:M792)</f>
        <v>64213883.300000004</v>
      </c>
      <c r="N784" s="70">
        <f>SUM(N785:N792)</f>
        <v>0</v>
      </c>
      <c r="O784" s="70">
        <f>SUM(O785:O792)</f>
        <v>0</v>
      </c>
      <c r="P784" s="70">
        <f>SUM(P785:P792)</f>
        <v>0</v>
      </c>
      <c r="Q784" s="70">
        <f>SUM(Q785:Q792)</f>
        <v>64213883.300000004</v>
      </c>
      <c r="R784" s="70">
        <f>SUM(R785:R792)</f>
        <v>64213883.300000004</v>
      </c>
      <c r="S784" s="70">
        <f>SUM(S785:S792)</f>
        <v>0</v>
      </c>
      <c r="T784" s="32" t="s">
        <v>39</v>
      </c>
      <c r="U784" s="32" t="s">
        <v>39</v>
      </c>
      <c r="V784" s="28" t="s">
        <v>39</v>
      </c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  <c r="AK784" s="31"/>
      <c r="AL784" s="31"/>
      <c r="AM784" s="31"/>
      <c r="AN784" s="31"/>
      <c r="AO784" s="31"/>
      <c r="AP784" s="31"/>
      <c r="AQ784" s="31"/>
      <c r="AR784" s="31"/>
      <c r="AS784" s="31"/>
      <c r="AT784" s="31"/>
      <c r="AU784" s="31"/>
      <c r="AV784" s="31"/>
      <c r="AW784" s="31"/>
      <c r="AX784" s="31"/>
      <c r="AY784" s="31"/>
      <c r="AZ784" s="31"/>
      <c r="BA784" s="31"/>
      <c r="BB784" s="31"/>
      <c r="BC784" s="31"/>
      <c r="BD784" s="31"/>
      <c r="BE784" s="31"/>
      <c r="BF784" s="31"/>
      <c r="BG784" s="31"/>
      <c r="BH784" s="31"/>
      <c r="BI784" s="31"/>
      <c r="BJ784" s="31"/>
      <c r="BK784" s="31"/>
      <c r="BL784" s="31"/>
      <c r="BM784" s="31"/>
      <c r="BN784" s="31"/>
      <c r="BO784" s="31"/>
      <c r="BP784" s="31"/>
      <c r="BQ784" s="31"/>
      <c r="BR784" s="31"/>
      <c r="BS784" s="31"/>
      <c r="BT784" s="31"/>
      <c r="BU784" s="31"/>
      <c r="BV784" s="31"/>
      <c r="BW784" s="31"/>
      <c r="BX784" s="31"/>
      <c r="BY784" s="31"/>
      <c r="BZ784" s="31"/>
      <c r="CA784" s="31"/>
      <c r="CB784" s="31"/>
      <c r="CC784" s="31"/>
      <c r="CD784" s="31"/>
      <c r="CE784" s="31"/>
      <c r="CF784" s="31"/>
      <c r="CG784" s="31"/>
      <c r="CH784" s="31"/>
      <c r="CI784" s="31"/>
      <c r="CJ784" s="31"/>
      <c r="CK784" s="31"/>
      <c r="CL784" s="31"/>
      <c r="CM784" s="31"/>
      <c r="CN784" s="31"/>
      <c r="CO784" s="31"/>
      <c r="CP784" s="31"/>
      <c r="CQ784" s="31"/>
      <c r="CR784" s="54"/>
    </row>
    <row r="785" s="54" customFormat="1" ht="44.25" customHeight="1">
      <c r="A785" s="33">
        <v>1</v>
      </c>
      <c r="B785" s="50" t="s">
        <v>729</v>
      </c>
      <c r="C785" s="43" t="s">
        <v>43</v>
      </c>
      <c r="D785" s="33">
        <v>1991</v>
      </c>
      <c r="E785" s="44" t="s">
        <v>39</v>
      </c>
      <c r="F785" s="33" t="s">
        <v>77</v>
      </c>
      <c r="G785" s="45">
        <v>3</v>
      </c>
      <c r="H785" s="36">
        <v>3</v>
      </c>
      <c r="I785" s="46">
        <v>1436.5999999999999</v>
      </c>
      <c r="J785" s="37">
        <v>1430.5</v>
      </c>
      <c r="K785" s="46">
        <v>1094.5999999999999</v>
      </c>
      <c r="L785" s="38">
        <v>48</v>
      </c>
      <c r="M785" s="39">
        <f t="shared" ref="M785:M792" si="136">SUM(N785:Q785)</f>
        <v>13433141.65</v>
      </c>
      <c r="N785" s="46">
        <v>0</v>
      </c>
      <c r="O785" s="37">
        <v>0</v>
      </c>
      <c r="P785" s="46">
        <v>0</v>
      </c>
      <c r="Q785" s="37">
        <f>'Таблица 3 '!C774</f>
        <v>13433141.65</v>
      </c>
      <c r="R785" s="46">
        <f t="shared" ref="R785:R792" si="137">Q785</f>
        <v>13433141.65</v>
      </c>
      <c r="S785" s="37">
        <v>0</v>
      </c>
      <c r="T785" s="46">
        <f t="shared" si="124"/>
        <v>9390.521950367005</v>
      </c>
      <c r="U785" s="37">
        <f t="shared" si="127"/>
        <v>9390.521950367005</v>
      </c>
      <c r="V785" s="41" t="s">
        <v>572</v>
      </c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  <c r="AG785" s="47"/>
      <c r="AH785" s="47"/>
      <c r="AI785" s="47"/>
      <c r="AJ785" s="47"/>
      <c r="AK785" s="47"/>
      <c r="AL785" s="47"/>
      <c r="AM785" s="47"/>
      <c r="AN785" s="47"/>
      <c r="AO785" s="47"/>
      <c r="AP785" s="47"/>
      <c r="AQ785" s="47"/>
      <c r="AR785" s="47"/>
      <c r="AS785" s="47"/>
      <c r="AT785" s="47"/>
      <c r="AU785" s="47"/>
      <c r="AV785" s="47"/>
      <c r="AW785" s="47"/>
      <c r="AX785" s="47"/>
      <c r="AY785" s="47"/>
      <c r="AZ785" s="47"/>
      <c r="BA785" s="47"/>
      <c r="BB785" s="47"/>
      <c r="BC785" s="47"/>
      <c r="BD785" s="47"/>
      <c r="BE785" s="47"/>
      <c r="BF785" s="47"/>
      <c r="BG785" s="47"/>
      <c r="BH785" s="47"/>
      <c r="BI785" s="47"/>
      <c r="BJ785" s="47"/>
      <c r="BK785" s="47"/>
      <c r="BL785" s="47"/>
      <c r="BM785" s="47"/>
      <c r="BN785" s="47"/>
      <c r="BO785" s="47"/>
      <c r="BP785" s="47"/>
      <c r="BQ785" s="47"/>
      <c r="BR785" s="47"/>
      <c r="BS785" s="47"/>
      <c r="BT785" s="47"/>
      <c r="BU785" s="47"/>
      <c r="BV785" s="47"/>
      <c r="BW785" s="47"/>
      <c r="BX785" s="47"/>
      <c r="BY785" s="47"/>
      <c r="BZ785" s="47"/>
      <c r="CA785" s="47"/>
      <c r="CB785" s="47"/>
      <c r="CC785" s="47"/>
      <c r="CD785" s="47"/>
      <c r="CE785" s="47"/>
      <c r="CF785" s="47"/>
      <c r="CG785" s="47"/>
      <c r="CH785" s="47"/>
      <c r="CI785" s="47"/>
      <c r="CJ785" s="47"/>
      <c r="CK785" s="47"/>
      <c r="CL785" s="47"/>
      <c r="CM785" s="47"/>
      <c r="CN785" s="47"/>
      <c r="CO785" s="47"/>
      <c r="CP785" s="47"/>
      <c r="CQ785" s="47"/>
      <c r="CR785" s="110"/>
    </row>
    <row r="786" s="54" customFormat="1" ht="44.25" customHeight="1">
      <c r="A786" s="33">
        <v>2</v>
      </c>
      <c r="B786" s="52" t="s">
        <v>730</v>
      </c>
      <c r="C786" s="33" t="s">
        <v>43</v>
      </c>
      <c r="D786" s="33">
        <v>1960</v>
      </c>
      <c r="E786" s="35" t="s">
        <v>39</v>
      </c>
      <c r="F786" s="33" t="s">
        <v>455</v>
      </c>
      <c r="G786" s="36">
        <v>2</v>
      </c>
      <c r="H786" s="36">
        <v>1</v>
      </c>
      <c r="I786" s="37">
        <v>282.69999999999999</v>
      </c>
      <c r="J786" s="37">
        <v>282.19999999999999</v>
      </c>
      <c r="K786" s="37">
        <v>282.19999999999999</v>
      </c>
      <c r="L786" s="38">
        <v>24</v>
      </c>
      <c r="M786" s="39">
        <f t="shared" si="136"/>
        <v>3128798.5899999999</v>
      </c>
      <c r="N786" s="37">
        <v>0</v>
      </c>
      <c r="O786" s="37">
        <v>0</v>
      </c>
      <c r="P786" s="37">
        <v>0</v>
      </c>
      <c r="Q786" s="37">
        <f>'Таблица 3 '!C775</f>
        <v>3128798.5899999999</v>
      </c>
      <c r="R786" s="37">
        <f t="shared" si="137"/>
        <v>3128798.5899999999</v>
      </c>
      <c r="S786" s="37">
        <v>0</v>
      </c>
      <c r="T786" s="37">
        <f t="shared" si="124"/>
        <v>11087.167221828491</v>
      </c>
      <c r="U786" s="37">
        <f t="shared" si="127"/>
        <v>11087.167221828491</v>
      </c>
      <c r="V786" s="41" t="s">
        <v>572</v>
      </c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  <c r="AG786" s="47"/>
      <c r="AH786" s="47"/>
      <c r="AI786" s="47"/>
      <c r="AJ786" s="47"/>
      <c r="AK786" s="47"/>
      <c r="AL786" s="47"/>
      <c r="AM786" s="47"/>
      <c r="AN786" s="47"/>
      <c r="AO786" s="47"/>
      <c r="AP786" s="47"/>
      <c r="AQ786" s="47"/>
      <c r="AR786" s="47"/>
      <c r="AS786" s="47"/>
      <c r="AT786" s="47"/>
      <c r="AU786" s="47"/>
      <c r="AV786" s="47"/>
      <c r="AW786" s="47"/>
      <c r="AX786" s="47"/>
      <c r="AY786" s="47"/>
      <c r="AZ786" s="47"/>
      <c r="BA786" s="47"/>
      <c r="BB786" s="47"/>
      <c r="BC786" s="47"/>
      <c r="BD786" s="47"/>
      <c r="BE786" s="47"/>
      <c r="BF786" s="47"/>
      <c r="BG786" s="47"/>
      <c r="BH786" s="47"/>
      <c r="BI786" s="47"/>
      <c r="BJ786" s="47"/>
      <c r="BK786" s="47"/>
      <c r="BL786" s="47"/>
      <c r="BM786" s="47"/>
      <c r="BN786" s="47"/>
      <c r="BO786" s="47"/>
      <c r="BP786" s="47"/>
      <c r="BQ786" s="47"/>
      <c r="BR786" s="47"/>
      <c r="BS786" s="47"/>
      <c r="BT786" s="47"/>
      <c r="BU786" s="47"/>
      <c r="BV786" s="47"/>
      <c r="BW786" s="47"/>
      <c r="BX786" s="47"/>
      <c r="BY786" s="47"/>
      <c r="BZ786" s="47"/>
      <c r="CA786" s="47"/>
      <c r="CB786" s="47"/>
      <c r="CC786" s="47"/>
      <c r="CD786" s="47"/>
      <c r="CE786" s="47"/>
      <c r="CF786" s="47"/>
      <c r="CG786" s="47"/>
      <c r="CH786" s="47"/>
      <c r="CI786" s="47"/>
      <c r="CJ786" s="47"/>
      <c r="CK786" s="47"/>
      <c r="CL786" s="47"/>
      <c r="CM786" s="47"/>
      <c r="CN786" s="47"/>
      <c r="CO786" s="47"/>
      <c r="CP786" s="47"/>
      <c r="CQ786" s="47"/>
      <c r="CR786" s="110"/>
    </row>
    <row r="787" s="54" customFormat="1" ht="44.25" customHeight="1">
      <c r="A787" s="33">
        <v>3</v>
      </c>
      <c r="B787" s="52" t="s">
        <v>502</v>
      </c>
      <c r="C787" s="33" t="s">
        <v>43</v>
      </c>
      <c r="D787" s="33">
        <v>1960</v>
      </c>
      <c r="E787" s="35">
        <v>2019</v>
      </c>
      <c r="F787" s="33" t="s">
        <v>77</v>
      </c>
      <c r="G787" s="36">
        <v>2</v>
      </c>
      <c r="H787" s="36">
        <v>2</v>
      </c>
      <c r="I787" s="37">
        <v>683.60000000000002</v>
      </c>
      <c r="J787" s="37">
        <v>630.60000000000002</v>
      </c>
      <c r="K787" s="37">
        <v>585.89999999999998</v>
      </c>
      <c r="L787" s="38">
        <v>21</v>
      </c>
      <c r="M787" s="39">
        <f t="shared" si="136"/>
        <v>8287151.1400000006</v>
      </c>
      <c r="N787" s="37">
        <v>0</v>
      </c>
      <c r="O787" s="37">
        <v>0</v>
      </c>
      <c r="P787" s="37">
        <v>0</v>
      </c>
      <c r="Q787" s="37">
        <f>'Таблица 3 '!C776</f>
        <v>8287151.1400000006</v>
      </c>
      <c r="R787" s="37">
        <f t="shared" si="137"/>
        <v>8287151.1400000006</v>
      </c>
      <c r="S787" s="37">
        <v>0</v>
      </c>
      <c r="T787" s="37">
        <f t="shared" si="124"/>
        <v>13141.692261338409</v>
      </c>
      <c r="U787" s="37">
        <f t="shared" si="127"/>
        <v>13141.692261338409</v>
      </c>
      <c r="V787" s="41" t="s">
        <v>572</v>
      </c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  <c r="AK787" s="31"/>
      <c r="AL787" s="31"/>
      <c r="AM787" s="31"/>
      <c r="AN787" s="31"/>
      <c r="AO787" s="31"/>
      <c r="AP787" s="31"/>
      <c r="AQ787" s="31"/>
      <c r="AR787" s="31"/>
      <c r="AS787" s="31"/>
      <c r="AT787" s="31"/>
      <c r="AU787" s="31"/>
      <c r="AV787" s="31"/>
      <c r="AW787" s="31"/>
      <c r="AX787" s="31"/>
      <c r="AY787" s="31"/>
      <c r="AZ787" s="31"/>
      <c r="BA787" s="31"/>
      <c r="BB787" s="31"/>
      <c r="BC787" s="31"/>
      <c r="BD787" s="31"/>
      <c r="BE787" s="31"/>
      <c r="BF787" s="31"/>
      <c r="BG787" s="31"/>
      <c r="BH787" s="31"/>
      <c r="BI787" s="31"/>
      <c r="BJ787" s="31"/>
      <c r="BK787" s="31"/>
      <c r="BL787" s="31"/>
      <c r="BM787" s="31"/>
      <c r="BN787" s="31"/>
      <c r="BO787" s="31"/>
      <c r="BP787" s="31"/>
      <c r="BQ787" s="31"/>
      <c r="BR787" s="31"/>
      <c r="BS787" s="31"/>
      <c r="BT787" s="31"/>
      <c r="BU787" s="31"/>
      <c r="BV787" s="31"/>
      <c r="BW787" s="31"/>
      <c r="BX787" s="31"/>
      <c r="BY787" s="31"/>
      <c r="BZ787" s="31"/>
      <c r="CA787" s="31"/>
      <c r="CB787" s="31"/>
      <c r="CC787" s="31"/>
      <c r="CD787" s="31"/>
      <c r="CE787" s="31"/>
      <c r="CF787" s="31"/>
      <c r="CG787" s="31"/>
      <c r="CH787" s="31"/>
      <c r="CI787" s="31"/>
      <c r="CJ787" s="31"/>
      <c r="CK787" s="31"/>
      <c r="CL787" s="31"/>
      <c r="CM787" s="31"/>
      <c r="CN787" s="31"/>
      <c r="CO787" s="31"/>
      <c r="CP787" s="31"/>
      <c r="CQ787" s="31"/>
      <c r="CR787" s="54"/>
    </row>
    <row r="788" s="54" customFormat="1" ht="44.25" customHeight="1">
      <c r="A788" s="33">
        <v>4</v>
      </c>
      <c r="B788" s="52" t="s">
        <v>731</v>
      </c>
      <c r="C788" s="33" t="s">
        <v>43</v>
      </c>
      <c r="D788" s="33">
        <v>1977</v>
      </c>
      <c r="E788" s="35" t="s">
        <v>39</v>
      </c>
      <c r="F788" s="33" t="s">
        <v>77</v>
      </c>
      <c r="G788" s="36">
        <v>5</v>
      </c>
      <c r="H788" s="36">
        <v>5</v>
      </c>
      <c r="I788" s="37">
        <v>3644.5</v>
      </c>
      <c r="J788" s="37">
        <v>3200.0999999999999</v>
      </c>
      <c r="K788" s="37">
        <v>3115.4000000000001</v>
      </c>
      <c r="L788" s="90">
        <v>102</v>
      </c>
      <c r="M788" s="39">
        <f t="shared" si="136"/>
        <v>5711500.4199999999</v>
      </c>
      <c r="N788" s="37">
        <v>0</v>
      </c>
      <c r="O788" s="37">
        <v>0</v>
      </c>
      <c r="P788" s="37">
        <v>0</v>
      </c>
      <c r="Q788" s="37">
        <f>'Таблица 3 '!C777</f>
        <v>5711500.4199999999</v>
      </c>
      <c r="R788" s="37">
        <f t="shared" si="137"/>
        <v>5711500.4199999999</v>
      </c>
      <c r="S788" s="37">
        <v>0</v>
      </c>
      <c r="T788" s="37">
        <f t="shared" si="124"/>
        <v>1784.788106621668</v>
      </c>
      <c r="U788" s="46">
        <f t="shared" si="127"/>
        <v>1784.788106621668</v>
      </c>
      <c r="V788" s="41" t="s">
        <v>572</v>
      </c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  <c r="AG788" s="47"/>
      <c r="AH788" s="47"/>
      <c r="AI788" s="47"/>
      <c r="AJ788" s="47"/>
      <c r="AK788" s="47"/>
      <c r="AL788" s="47"/>
      <c r="AM788" s="47"/>
      <c r="AN788" s="47"/>
      <c r="AO788" s="47"/>
      <c r="AP788" s="47"/>
      <c r="AQ788" s="47"/>
      <c r="AR788" s="47"/>
      <c r="AS788" s="47"/>
      <c r="AT788" s="47"/>
      <c r="AU788" s="47"/>
      <c r="AV788" s="47"/>
      <c r="AW788" s="47"/>
      <c r="AX788" s="47"/>
      <c r="AY788" s="47"/>
      <c r="AZ788" s="47"/>
      <c r="BA788" s="47"/>
      <c r="BB788" s="47"/>
      <c r="BC788" s="47"/>
      <c r="BD788" s="47"/>
      <c r="BE788" s="47"/>
      <c r="BF788" s="47"/>
      <c r="BG788" s="47"/>
      <c r="BH788" s="47"/>
      <c r="BI788" s="47"/>
      <c r="BJ788" s="47"/>
      <c r="BK788" s="47"/>
      <c r="BL788" s="47"/>
      <c r="BM788" s="47"/>
      <c r="BN788" s="47"/>
      <c r="BO788" s="47"/>
      <c r="BP788" s="47"/>
      <c r="BQ788" s="47"/>
      <c r="BR788" s="47"/>
      <c r="BS788" s="47"/>
      <c r="BT788" s="47"/>
      <c r="BU788" s="47"/>
      <c r="BV788" s="47"/>
      <c r="BW788" s="47"/>
      <c r="BX788" s="47"/>
      <c r="BY788" s="47"/>
      <c r="BZ788" s="47"/>
      <c r="CA788" s="47"/>
      <c r="CB788" s="47"/>
      <c r="CC788" s="47"/>
      <c r="CD788" s="47"/>
      <c r="CE788" s="47"/>
      <c r="CF788" s="47"/>
      <c r="CG788" s="47"/>
      <c r="CH788" s="47"/>
      <c r="CI788" s="47"/>
      <c r="CJ788" s="47"/>
      <c r="CK788" s="47"/>
      <c r="CL788" s="47"/>
      <c r="CM788" s="47"/>
      <c r="CN788" s="47"/>
      <c r="CO788" s="47"/>
      <c r="CP788" s="47"/>
      <c r="CQ788" s="47"/>
      <c r="CR788" s="110"/>
    </row>
    <row r="789" s="54" customFormat="1" ht="44.25" customHeight="1">
      <c r="A789" s="33">
        <v>5</v>
      </c>
      <c r="B789" s="52" t="s">
        <v>732</v>
      </c>
      <c r="C789" s="33" t="s">
        <v>43</v>
      </c>
      <c r="D789" s="33">
        <v>1961</v>
      </c>
      <c r="E789" s="35" t="s">
        <v>39</v>
      </c>
      <c r="F789" s="33" t="s">
        <v>77</v>
      </c>
      <c r="G789" s="36">
        <v>2</v>
      </c>
      <c r="H789" s="36">
        <v>2</v>
      </c>
      <c r="I789" s="37">
        <v>642.70000000000005</v>
      </c>
      <c r="J789" s="37">
        <v>556.20000000000005</v>
      </c>
      <c r="K789" s="37">
        <v>512.70000000000005</v>
      </c>
      <c r="L789" s="38">
        <v>46</v>
      </c>
      <c r="M789" s="39">
        <f t="shared" si="136"/>
        <v>5385335.3500000006</v>
      </c>
      <c r="N789" s="37">
        <v>0</v>
      </c>
      <c r="O789" s="37">
        <v>0</v>
      </c>
      <c r="P789" s="37">
        <v>0</v>
      </c>
      <c r="Q789" s="37">
        <f>'Таблица 3 '!C778</f>
        <v>5385335.3500000006</v>
      </c>
      <c r="R789" s="37">
        <f t="shared" si="137"/>
        <v>5385335.3500000006</v>
      </c>
      <c r="S789" s="37">
        <v>0</v>
      </c>
      <c r="T789" s="37">
        <f t="shared" ref="T789:T852" si="138">M789/J789</f>
        <v>9682.3720783890694</v>
      </c>
      <c r="U789" s="37">
        <f t="shared" si="127"/>
        <v>9682.3720783890694</v>
      </c>
      <c r="V789" s="41" t="s">
        <v>572</v>
      </c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  <c r="AG789" s="47"/>
      <c r="AH789" s="47"/>
      <c r="AI789" s="47"/>
      <c r="AJ789" s="47"/>
      <c r="AK789" s="47"/>
      <c r="AL789" s="47"/>
      <c r="AM789" s="47"/>
      <c r="AN789" s="47"/>
      <c r="AO789" s="47"/>
      <c r="AP789" s="47"/>
      <c r="AQ789" s="47"/>
      <c r="AR789" s="47"/>
      <c r="AS789" s="47"/>
      <c r="AT789" s="47"/>
      <c r="AU789" s="47"/>
      <c r="AV789" s="47"/>
      <c r="AW789" s="47"/>
      <c r="AX789" s="47"/>
      <c r="AY789" s="47"/>
      <c r="AZ789" s="47"/>
      <c r="BA789" s="47"/>
      <c r="BB789" s="47"/>
      <c r="BC789" s="47"/>
      <c r="BD789" s="47"/>
      <c r="BE789" s="47"/>
      <c r="BF789" s="47"/>
      <c r="BG789" s="47"/>
      <c r="BH789" s="47"/>
      <c r="BI789" s="47"/>
      <c r="BJ789" s="47"/>
      <c r="BK789" s="47"/>
      <c r="BL789" s="47"/>
      <c r="BM789" s="47"/>
      <c r="BN789" s="47"/>
      <c r="BO789" s="47"/>
      <c r="BP789" s="47"/>
      <c r="BQ789" s="47"/>
      <c r="BR789" s="47"/>
      <c r="BS789" s="47"/>
      <c r="BT789" s="47"/>
      <c r="BU789" s="47"/>
      <c r="BV789" s="47"/>
      <c r="BW789" s="47"/>
      <c r="BX789" s="47"/>
      <c r="BY789" s="47"/>
      <c r="BZ789" s="47"/>
      <c r="CA789" s="47"/>
      <c r="CB789" s="47"/>
      <c r="CC789" s="47"/>
      <c r="CD789" s="47"/>
      <c r="CE789" s="47"/>
      <c r="CF789" s="47"/>
      <c r="CG789" s="47"/>
      <c r="CH789" s="47"/>
      <c r="CI789" s="47"/>
      <c r="CJ789" s="47"/>
      <c r="CK789" s="47"/>
      <c r="CL789" s="47"/>
      <c r="CM789" s="47"/>
      <c r="CN789" s="47"/>
      <c r="CO789" s="47"/>
      <c r="CP789" s="47"/>
      <c r="CQ789" s="47"/>
      <c r="CR789" s="110"/>
    </row>
    <row r="790" s="54" customFormat="1" ht="44.25" customHeight="1">
      <c r="A790" s="33">
        <v>6</v>
      </c>
      <c r="B790" s="52" t="s">
        <v>504</v>
      </c>
      <c r="C790" s="33" t="s">
        <v>43</v>
      </c>
      <c r="D790" s="33">
        <v>1962</v>
      </c>
      <c r="E790" s="35" t="s">
        <v>39</v>
      </c>
      <c r="F790" s="43" t="s">
        <v>455</v>
      </c>
      <c r="G790" s="36">
        <v>2</v>
      </c>
      <c r="H790" s="36">
        <v>2</v>
      </c>
      <c r="I790" s="37">
        <v>642.60000000000002</v>
      </c>
      <c r="J790" s="37">
        <v>461.5</v>
      </c>
      <c r="K790" s="37">
        <v>641.5</v>
      </c>
      <c r="L790" s="38">
        <v>48</v>
      </c>
      <c r="M790" s="39">
        <f t="shared" si="136"/>
        <v>1416401.1599999999</v>
      </c>
      <c r="N790" s="37">
        <v>0</v>
      </c>
      <c r="O790" s="37">
        <v>0</v>
      </c>
      <c r="P790" s="37">
        <v>0</v>
      </c>
      <c r="Q790" s="37">
        <f>'Таблица 3 '!C779</f>
        <v>1416401.1599999999</v>
      </c>
      <c r="R790" s="37">
        <f t="shared" si="137"/>
        <v>1416401.1599999999</v>
      </c>
      <c r="S790" s="37">
        <v>0</v>
      </c>
      <c r="T790" s="37">
        <f t="shared" si="138"/>
        <v>3069.1249404117007</v>
      </c>
      <c r="U790" s="37">
        <f t="shared" si="127"/>
        <v>3069.1249404117007</v>
      </c>
      <c r="V790" s="41" t="s">
        <v>572</v>
      </c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  <c r="AG790" s="47"/>
      <c r="AH790" s="47"/>
      <c r="AI790" s="47"/>
      <c r="AJ790" s="47"/>
      <c r="AK790" s="47"/>
      <c r="AL790" s="47"/>
      <c r="AM790" s="47"/>
      <c r="AN790" s="47"/>
      <c r="AO790" s="47"/>
      <c r="AP790" s="47"/>
      <c r="AQ790" s="47"/>
      <c r="AR790" s="47"/>
      <c r="AS790" s="47"/>
      <c r="AT790" s="47"/>
      <c r="AU790" s="47"/>
      <c r="AV790" s="47"/>
      <c r="AW790" s="47"/>
      <c r="AX790" s="47"/>
      <c r="AY790" s="47"/>
      <c r="AZ790" s="47"/>
      <c r="BA790" s="47"/>
      <c r="BB790" s="47"/>
      <c r="BC790" s="47"/>
      <c r="BD790" s="47"/>
      <c r="BE790" s="47"/>
      <c r="BF790" s="47"/>
      <c r="BG790" s="47"/>
      <c r="BH790" s="47"/>
      <c r="BI790" s="47"/>
      <c r="BJ790" s="47"/>
      <c r="BK790" s="47"/>
      <c r="BL790" s="47"/>
      <c r="BM790" s="47"/>
      <c r="BN790" s="47"/>
      <c r="BO790" s="47"/>
      <c r="BP790" s="47"/>
      <c r="BQ790" s="47"/>
      <c r="BR790" s="47"/>
      <c r="BS790" s="47"/>
      <c r="BT790" s="47"/>
      <c r="BU790" s="47"/>
      <c r="BV790" s="47"/>
      <c r="BW790" s="47"/>
      <c r="BX790" s="47"/>
      <c r="BY790" s="47"/>
      <c r="BZ790" s="47"/>
      <c r="CA790" s="47"/>
      <c r="CB790" s="47"/>
      <c r="CC790" s="47"/>
      <c r="CD790" s="47"/>
      <c r="CE790" s="47"/>
      <c r="CF790" s="47"/>
      <c r="CG790" s="47"/>
      <c r="CH790" s="47"/>
      <c r="CI790" s="47"/>
      <c r="CJ790" s="47"/>
      <c r="CK790" s="47"/>
      <c r="CL790" s="47"/>
      <c r="CM790" s="47"/>
      <c r="CN790" s="47"/>
      <c r="CO790" s="47"/>
      <c r="CP790" s="47"/>
      <c r="CQ790" s="47"/>
      <c r="CR790" s="110"/>
    </row>
    <row r="791" s="54" customFormat="1" ht="44.25" customHeight="1">
      <c r="A791" s="33">
        <v>7</v>
      </c>
      <c r="B791" s="52" t="s">
        <v>733</v>
      </c>
      <c r="C791" s="43" t="s">
        <v>43</v>
      </c>
      <c r="D791" s="33">
        <v>1994</v>
      </c>
      <c r="E791" s="44" t="s">
        <v>39</v>
      </c>
      <c r="F791" s="33" t="s">
        <v>77</v>
      </c>
      <c r="G791" s="45">
        <v>3</v>
      </c>
      <c r="H791" s="36">
        <v>3</v>
      </c>
      <c r="I791" s="46">
        <v>1422</v>
      </c>
      <c r="J791" s="37">
        <v>1412.4000000000001</v>
      </c>
      <c r="K791" s="46">
        <v>1412.4000000000001</v>
      </c>
      <c r="L791" s="38">
        <v>81</v>
      </c>
      <c r="M791" s="39">
        <f t="shared" si="136"/>
        <v>13266533.200000001</v>
      </c>
      <c r="N791" s="46">
        <v>0</v>
      </c>
      <c r="O791" s="37">
        <v>0</v>
      </c>
      <c r="P791" s="46">
        <v>0</v>
      </c>
      <c r="Q791" s="37">
        <f>'Таблица 3 '!C780</f>
        <v>13266533.200000001</v>
      </c>
      <c r="R791" s="46">
        <f t="shared" si="137"/>
        <v>13266533.200000001</v>
      </c>
      <c r="S791" s="37">
        <v>0</v>
      </c>
      <c r="T791" s="46">
        <f t="shared" si="138"/>
        <v>9392.9008779382621</v>
      </c>
      <c r="U791" s="37">
        <f t="shared" si="127"/>
        <v>9392.9008779382621</v>
      </c>
      <c r="V791" s="41" t="s">
        <v>572</v>
      </c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  <c r="AG791" s="47"/>
      <c r="AH791" s="47"/>
      <c r="AI791" s="47"/>
      <c r="AJ791" s="47"/>
      <c r="AK791" s="47"/>
      <c r="AL791" s="47"/>
      <c r="AM791" s="47"/>
      <c r="AN791" s="47"/>
      <c r="AO791" s="47"/>
      <c r="AP791" s="47"/>
      <c r="AQ791" s="47"/>
      <c r="AR791" s="47"/>
      <c r="AS791" s="47"/>
      <c r="AT791" s="47"/>
      <c r="AU791" s="47"/>
      <c r="AV791" s="47"/>
      <c r="AW791" s="47"/>
      <c r="AX791" s="47"/>
      <c r="AY791" s="47"/>
      <c r="AZ791" s="47"/>
      <c r="BA791" s="47"/>
      <c r="BB791" s="47"/>
      <c r="BC791" s="47"/>
      <c r="BD791" s="47"/>
      <c r="BE791" s="47"/>
      <c r="BF791" s="47"/>
      <c r="BG791" s="47"/>
      <c r="BH791" s="47"/>
      <c r="BI791" s="47"/>
      <c r="BJ791" s="47"/>
      <c r="BK791" s="47"/>
      <c r="BL791" s="47"/>
      <c r="BM791" s="47"/>
      <c r="BN791" s="47"/>
      <c r="BO791" s="47"/>
      <c r="BP791" s="47"/>
      <c r="BQ791" s="47"/>
      <c r="BR791" s="47"/>
      <c r="BS791" s="47"/>
      <c r="BT791" s="47"/>
      <c r="BU791" s="47"/>
      <c r="BV791" s="47"/>
      <c r="BW791" s="47"/>
      <c r="BX791" s="47"/>
      <c r="BY791" s="47"/>
      <c r="BZ791" s="47"/>
      <c r="CA791" s="47"/>
      <c r="CB791" s="47"/>
      <c r="CC791" s="47"/>
      <c r="CD791" s="47"/>
      <c r="CE791" s="47"/>
      <c r="CF791" s="47"/>
      <c r="CG791" s="47"/>
      <c r="CH791" s="47"/>
      <c r="CI791" s="47"/>
      <c r="CJ791" s="47"/>
      <c r="CK791" s="47"/>
      <c r="CL791" s="47"/>
      <c r="CM791" s="47"/>
      <c r="CN791" s="47"/>
      <c r="CO791" s="47"/>
      <c r="CP791" s="47"/>
      <c r="CQ791" s="47"/>
      <c r="CR791" s="110"/>
    </row>
    <row r="792" s="110" customFormat="1" ht="44.25" customHeight="1">
      <c r="A792" s="33">
        <v>8</v>
      </c>
      <c r="B792" s="52" t="s">
        <v>734</v>
      </c>
      <c r="C792" s="33" t="s">
        <v>43</v>
      </c>
      <c r="D792" s="33">
        <v>1990</v>
      </c>
      <c r="E792" s="35" t="s">
        <v>39</v>
      </c>
      <c r="F792" s="33" t="s">
        <v>77</v>
      </c>
      <c r="G792" s="36">
        <v>3</v>
      </c>
      <c r="H792" s="36">
        <v>3</v>
      </c>
      <c r="I792" s="37">
        <v>1448</v>
      </c>
      <c r="J792" s="37">
        <v>1447</v>
      </c>
      <c r="K792" s="37">
        <v>1382.4000000000001</v>
      </c>
      <c r="L792" s="38">
        <v>81</v>
      </c>
      <c r="M792" s="39">
        <f t="shared" si="136"/>
        <v>13585021.789999999</v>
      </c>
      <c r="N792" s="37">
        <v>0</v>
      </c>
      <c r="O792" s="37">
        <v>0</v>
      </c>
      <c r="P792" s="37">
        <v>0</v>
      </c>
      <c r="Q792" s="37">
        <f>'Таблица 3 '!C781</f>
        <v>13585021.789999999</v>
      </c>
      <c r="R792" s="37">
        <f t="shared" si="137"/>
        <v>13585021.789999999</v>
      </c>
      <c r="S792" s="37">
        <v>0</v>
      </c>
      <c r="T792" s="37">
        <f t="shared" si="138"/>
        <v>9388.4048306841742</v>
      </c>
      <c r="U792" s="37">
        <f t="shared" si="127"/>
        <v>9388.4048306841742</v>
      </c>
      <c r="V792" s="41" t="s">
        <v>572</v>
      </c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  <c r="AG792" s="47"/>
      <c r="AH792" s="47"/>
      <c r="AI792" s="47"/>
      <c r="AJ792" s="47"/>
      <c r="AK792" s="47"/>
      <c r="AL792" s="47"/>
      <c r="AM792" s="47"/>
      <c r="AN792" s="47"/>
      <c r="AO792" s="47"/>
      <c r="AP792" s="47"/>
      <c r="AQ792" s="47"/>
      <c r="AR792" s="47"/>
      <c r="AS792" s="47"/>
      <c r="AT792" s="47"/>
      <c r="AU792" s="47"/>
      <c r="AV792" s="47"/>
      <c r="AW792" s="47"/>
      <c r="AX792" s="47"/>
      <c r="AY792" s="47"/>
      <c r="AZ792" s="47"/>
      <c r="BA792" s="47"/>
      <c r="BB792" s="47"/>
      <c r="BC792" s="47"/>
      <c r="BD792" s="47"/>
      <c r="BE792" s="47"/>
      <c r="BF792" s="47"/>
      <c r="BG792" s="47"/>
      <c r="BH792" s="47"/>
      <c r="BI792" s="47"/>
      <c r="BJ792" s="47"/>
      <c r="BK792" s="47"/>
      <c r="BL792" s="47"/>
      <c r="BM792" s="47"/>
      <c r="BN792" s="47"/>
      <c r="BO792" s="47"/>
      <c r="BP792" s="47"/>
      <c r="BQ792" s="47"/>
      <c r="BR792" s="47"/>
      <c r="BS792" s="47"/>
      <c r="BT792" s="47"/>
      <c r="BU792" s="47"/>
      <c r="BV792" s="47"/>
      <c r="BW792" s="47"/>
      <c r="BX792" s="47"/>
      <c r="BY792" s="47"/>
      <c r="BZ792" s="47"/>
      <c r="CA792" s="47"/>
      <c r="CB792" s="47"/>
      <c r="CC792" s="47"/>
      <c r="CD792" s="47"/>
      <c r="CE792" s="47"/>
      <c r="CF792" s="47"/>
      <c r="CG792" s="47"/>
      <c r="CH792" s="47"/>
      <c r="CI792" s="47"/>
      <c r="CJ792" s="47"/>
      <c r="CK792" s="47"/>
      <c r="CL792" s="47"/>
      <c r="CM792" s="47"/>
      <c r="CN792" s="47"/>
      <c r="CO792" s="47"/>
      <c r="CP792" s="47"/>
      <c r="CQ792" s="47"/>
      <c r="CR792" s="110"/>
    </row>
    <row r="793" s="60" customFormat="1" ht="27.75" customHeight="1">
      <c r="A793" s="25" t="s">
        <v>506</v>
      </c>
      <c r="B793" s="25"/>
      <c r="C793" s="26" t="s">
        <v>39</v>
      </c>
      <c r="D793" s="26" t="s">
        <v>39</v>
      </c>
      <c r="E793" s="27" t="s">
        <v>39</v>
      </c>
      <c r="F793" s="26" t="s">
        <v>39</v>
      </c>
      <c r="G793" s="28" t="s">
        <v>39</v>
      </c>
      <c r="H793" s="28" t="s">
        <v>39</v>
      </c>
      <c r="I793" s="64">
        <f>SUM(I794:I811)</f>
        <v>43090.820000000007</v>
      </c>
      <c r="J793" s="64">
        <f>SUM(J794:J811)</f>
        <v>33817.299999999996</v>
      </c>
      <c r="K793" s="64">
        <f>SUM(K794:K811)</f>
        <v>18105.900000000001</v>
      </c>
      <c r="L793" s="65">
        <f>SUM(L794:L811)</f>
        <v>805</v>
      </c>
      <c r="M793" s="64">
        <f>SUM(M794:M811)</f>
        <v>153489370.90000001</v>
      </c>
      <c r="N793" s="64">
        <f>SUM(N794:N811)</f>
        <v>0</v>
      </c>
      <c r="O793" s="64">
        <f>SUM(O794:O811)</f>
        <v>0</v>
      </c>
      <c r="P793" s="64">
        <f>SUM(P794:P811)</f>
        <v>0</v>
      </c>
      <c r="Q793" s="64">
        <f>SUM(Q794:Q811)</f>
        <v>153489370.90000001</v>
      </c>
      <c r="R793" s="64">
        <f>SUM(R794:R811)</f>
        <v>153489370.90000001</v>
      </c>
      <c r="S793" s="64">
        <f>SUM(S794:S811)</f>
        <v>0</v>
      </c>
      <c r="T793" s="32" t="s">
        <v>40</v>
      </c>
      <c r="U793" s="32" t="s">
        <v>40</v>
      </c>
      <c r="V793" s="28" t="s">
        <v>40</v>
      </c>
      <c r="W793" s="60"/>
    </row>
    <row r="794" s="60" customFormat="1" ht="44.25" customHeight="1">
      <c r="A794" s="33">
        <v>1</v>
      </c>
      <c r="B794" s="50" t="s">
        <v>735</v>
      </c>
      <c r="C794" s="33" t="s">
        <v>43</v>
      </c>
      <c r="D794" s="33">
        <v>1970</v>
      </c>
      <c r="E794" s="35" t="s">
        <v>39</v>
      </c>
      <c r="F794" s="33" t="s">
        <v>48</v>
      </c>
      <c r="G794" s="36">
        <v>4</v>
      </c>
      <c r="H794" s="36">
        <v>3</v>
      </c>
      <c r="I794" s="37">
        <v>2143.8000000000002</v>
      </c>
      <c r="J794" s="37">
        <v>2106.3000000000002</v>
      </c>
      <c r="K794" s="37">
        <v>1842.5</v>
      </c>
      <c r="L794" s="38">
        <v>105</v>
      </c>
      <c r="M794" s="37">
        <f t="shared" ref="M794:M808" si="139">SUM(N794:Q794)</f>
        <v>2808837.0800000001</v>
      </c>
      <c r="N794" s="37">
        <v>0</v>
      </c>
      <c r="O794" s="37">
        <v>0</v>
      </c>
      <c r="P794" s="37">
        <v>0</v>
      </c>
      <c r="Q794" s="37">
        <f>'Таблица 3 '!C783</f>
        <v>2808837.0800000001</v>
      </c>
      <c r="R794" s="37">
        <f t="shared" ref="R794:R808" si="140">Q794</f>
        <v>2808837.0800000001</v>
      </c>
      <c r="S794" s="37">
        <v>0</v>
      </c>
      <c r="T794" s="37">
        <f t="shared" si="138"/>
        <v>1333.5408441342638</v>
      </c>
      <c r="U794" s="37">
        <f t="shared" si="127"/>
        <v>1333.5408441342638</v>
      </c>
      <c r="V794" s="41" t="s">
        <v>572</v>
      </c>
      <c r="W794" s="60"/>
      <c r="X794" s="60"/>
      <c r="Y794" s="60"/>
      <c r="Z794" s="60"/>
      <c r="AA794" s="60"/>
      <c r="AB794" s="60"/>
      <c r="AC794" s="60"/>
      <c r="AD794" s="60"/>
      <c r="AE794" s="60"/>
      <c r="AF794" s="60"/>
      <c r="AG794" s="60"/>
      <c r="AH794" s="60"/>
      <c r="AI794" s="60"/>
      <c r="AJ794" s="60"/>
      <c r="AK794" s="60"/>
      <c r="AL794" s="60"/>
      <c r="AM794" s="60"/>
      <c r="AN794" s="60"/>
      <c r="AO794" s="60"/>
      <c r="AP794" s="60"/>
      <c r="AQ794" s="60"/>
      <c r="AR794" s="60"/>
      <c r="AS794" s="60"/>
      <c r="AT794" s="60"/>
      <c r="AU794" s="60"/>
      <c r="AV794" s="60"/>
      <c r="AW794" s="60"/>
      <c r="AX794" s="60"/>
      <c r="AY794" s="60"/>
      <c r="AZ794" s="60"/>
      <c r="BA794" s="60"/>
      <c r="BB794" s="60"/>
      <c r="BC794" s="60"/>
      <c r="BD794" s="60"/>
      <c r="BE794" s="60"/>
      <c r="BF794" s="60"/>
      <c r="BG794" s="60"/>
      <c r="BH794" s="60"/>
      <c r="BI794" s="60"/>
      <c r="BJ794" s="60"/>
      <c r="BK794" s="60"/>
      <c r="BL794" s="60"/>
      <c r="BM794" s="60"/>
      <c r="BN794" s="60"/>
      <c r="BO794" s="60"/>
      <c r="BP794" s="60"/>
      <c r="BQ794" s="60"/>
      <c r="BR794" s="60"/>
      <c r="BS794" s="60"/>
      <c r="BT794" s="60"/>
      <c r="BU794" s="60"/>
      <c r="BV794" s="60"/>
      <c r="BW794" s="60"/>
      <c r="BX794" s="60"/>
      <c r="BY794" s="60"/>
      <c r="BZ794" s="60"/>
      <c r="CA794" s="60"/>
      <c r="CB794" s="60"/>
      <c r="CC794" s="60"/>
      <c r="CD794" s="60"/>
      <c r="CE794" s="60"/>
      <c r="CF794" s="60"/>
      <c r="CG794" s="60"/>
      <c r="CH794" s="60"/>
      <c r="CI794" s="60"/>
      <c r="CJ794" s="60"/>
      <c r="CK794" s="60"/>
      <c r="CL794" s="60"/>
      <c r="CM794" s="60"/>
      <c r="CN794" s="60"/>
      <c r="CO794" s="60"/>
      <c r="CP794" s="60"/>
      <c r="CQ794" s="60"/>
      <c r="CR794" s="60"/>
    </row>
    <row r="795" s="60" customFormat="1" ht="44.25" customHeight="1">
      <c r="A795" s="33">
        <v>2</v>
      </c>
      <c r="B795" s="50" t="s">
        <v>736</v>
      </c>
      <c r="C795" s="43" t="s">
        <v>43</v>
      </c>
      <c r="D795" s="33">
        <v>1956</v>
      </c>
      <c r="E795" s="44">
        <v>2019</v>
      </c>
      <c r="F795" s="33" t="s">
        <v>44</v>
      </c>
      <c r="G795" s="45">
        <v>2</v>
      </c>
      <c r="H795" s="36">
        <v>2</v>
      </c>
      <c r="I795" s="46">
        <v>946.39999999999998</v>
      </c>
      <c r="J795" s="37">
        <v>827.20000000000005</v>
      </c>
      <c r="K795" s="46">
        <v>827.20000000000005</v>
      </c>
      <c r="L795" s="38">
        <v>15</v>
      </c>
      <c r="M795" s="46">
        <f t="shared" si="139"/>
        <v>2292808.8399999999</v>
      </c>
      <c r="N795" s="37">
        <v>0</v>
      </c>
      <c r="O795" s="46">
        <v>0</v>
      </c>
      <c r="P795" s="37">
        <v>0</v>
      </c>
      <c r="Q795" s="37">
        <f>'Таблица 3 '!C784</f>
        <v>2292808.8399999999</v>
      </c>
      <c r="R795" s="37">
        <f>Q795</f>
        <v>2292808.8399999999</v>
      </c>
      <c r="S795" s="46">
        <v>0</v>
      </c>
      <c r="T795" s="37">
        <v>2085</v>
      </c>
      <c r="U795" s="46">
        <v>2085</v>
      </c>
      <c r="V795" s="41" t="s">
        <v>572</v>
      </c>
      <c r="W795" s="60"/>
      <c r="X795" s="60"/>
    </row>
    <row r="796" s="60" customFormat="1" ht="42.75">
      <c r="A796" s="33">
        <v>3</v>
      </c>
      <c r="B796" s="50" t="s">
        <v>511</v>
      </c>
      <c r="C796" s="33" t="s">
        <v>43</v>
      </c>
      <c r="D796" s="33">
        <v>1984</v>
      </c>
      <c r="E796" s="35" t="s">
        <v>39</v>
      </c>
      <c r="F796" s="33" t="s">
        <v>48</v>
      </c>
      <c r="G796" s="36">
        <v>5</v>
      </c>
      <c r="H796" s="36">
        <v>5</v>
      </c>
      <c r="I796" s="40">
        <v>3641</v>
      </c>
      <c r="J796" s="40">
        <v>3604.8000000000002</v>
      </c>
      <c r="K796" s="40">
        <v>3553.9000000000001</v>
      </c>
      <c r="L796" s="48">
        <v>138</v>
      </c>
      <c r="M796" s="39">
        <f t="shared" si="139"/>
        <v>19157147.969999999</v>
      </c>
      <c r="N796" s="37">
        <v>0</v>
      </c>
      <c r="O796" s="37">
        <v>0</v>
      </c>
      <c r="P796" s="37">
        <v>0</v>
      </c>
      <c r="Q796" s="37">
        <f>'Таблица 3 '!C785</f>
        <v>19157147.969999999</v>
      </c>
      <c r="R796" s="37">
        <f>Q796</f>
        <v>19157147.969999999</v>
      </c>
      <c r="S796" s="79">
        <v>0</v>
      </c>
      <c r="T796" s="37">
        <f t="shared" si="138"/>
        <v>5314.3441994007981</v>
      </c>
      <c r="U796" s="37">
        <f t="shared" si="127"/>
        <v>5314.3441994007981</v>
      </c>
      <c r="V796" s="41" t="s">
        <v>572</v>
      </c>
      <c r="W796" s="60"/>
      <c r="X796" s="60"/>
    </row>
    <row r="797" s="60" customFormat="1" ht="42.75">
      <c r="A797" s="33">
        <v>4</v>
      </c>
      <c r="B797" s="52" t="s">
        <v>737</v>
      </c>
      <c r="C797" s="33" t="s">
        <v>43</v>
      </c>
      <c r="D797" s="33">
        <v>1969</v>
      </c>
      <c r="E797" s="35">
        <v>2024</v>
      </c>
      <c r="F797" s="33" t="s">
        <v>44</v>
      </c>
      <c r="G797" s="36">
        <v>2</v>
      </c>
      <c r="H797" s="36">
        <v>2</v>
      </c>
      <c r="I797" s="40">
        <v>732.10000000000002</v>
      </c>
      <c r="J797" s="40">
        <v>640.10000000000002</v>
      </c>
      <c r="K797" s="40">
        <v>640.10000000000002</v>
      </c>
      <c r="L797" s="48">
        <v>24</v>
      </c>
      <c r="M797" s="39">
        <f t="shared" si="139"/>
        <v>1119373.2700000003</v>
      </c>
      <c r="N797" s="37">
        <v>0</v>
      </c>
      <c r="O797" s="37">
        <v>0</v>
      </c>
      <c r="P797" s="37">
        <v>0</v>
      </c>
      <c r="Q797" s="37">
        <f>'Таблица 3 '!C786</f>
        <v>1119373.2700000003</v>
      </c>
      <c r="R797" s="37">
        <f>Q797</f>
        <v>1119373.2700000003</v>
      </c>
      <c r="S797" s="79">
        <v>0</v>
      </c>
      <c r="T797" s="37">
        <f t="shared" si="138"/>
        <v>1748.7474925792849</v>
      </c>
      <c r="U797" s="37">
        <f t="shared" si="127"/>
        <v>1748.7474925792849</v>
      </c>
      <c r="V797" s="41" t="s">
        <v>572</v>
      </c>
      <c r="W797" s="60"/>
      <c r="X797" s="60"/>
      <c r="Y797" s="60"/>
      <c r="Z797" s="60"/>
      <c r="AA797" s="60"/>
      <c r="AB797" s="60"/>
      <c r="AC797" s="60"/>
      <c r="AD797" s="60"/>
      <c r="AE797" s="60"/>
      <c r="AF797" s="60"/>
      <c r="AG797" s="60"/>
      <c r="AH797" s="60"/>
      <c r="AI797" s="60"/>
      <c r="AJ797" s="60"/>
      <c r="AK797" s="60"/>
      <c r="AL797" s="60"/>
      <c r="AM797" s="60"/>
      <c r="AN797" s="60"/>
      <c r="AO797" s="60"/>
      <c r="AP797" s="60"/>
      <c r="AQ797" s="60"/>
      <c r="AR797" s="60"/>
      <c r="AS797" s="60"/>
      <c r="AT797" s="60"/>
      <c r="AU797" s="60"/>
      <c r="AV797" s="60"/>
      <c r="AW797" s="60"/>
      <c r="AX797" s="60"/>
      <c r="AY797" s="60"/>
      <c r="AZ797" s="60"/>
      <c r="BA797" s="60"/>
      <c r="BB797" s="60"/>
      <c r="BC797" s="60"/>
      <c r="BD797" s="60"/>
      <c r="BE797" s="60"/>
      <c r="BF797" s="60"/>
      <c r="BG797" s="60"/>
      <c r="BH797" s="60"/>
      <c r="BI797" s="60"/>
      <c r="BJ797" s="60"/>
      <c r="BK797" s="60"/>
      <c r="BL797" s="60"/>
      <c r="BM797" s="60"/>
      <c r="BN797" s="60"/>
      <c r="BO797" s="60"/>
      <c r="BP797" s="60"/>
      <c r="BQ797" s="60"/>
      <c r="BR797" s="60"/>
      <c r="BS797" s="60"/>
      <c r="BT797" s="60"/>
      <c r="BU797" s="60"/>
      <c r="BV797" s="60"/>
      <c r="BW797" s="60"/>
      <c r="BX797" s="60"/>
      <c r="BY797" s="60"/>
      <c r="BZ797" s="60"/>
      <c r="CA797" s="60"/>
      <c r="CB797" s="60"/>
      <c r="CC797" s="60"/>
      <c r="CD797" s="60"/>
      <c r="CE797" s="60"/>
      <c r="CF797" s="60"/>
      <c r="CG797" s="60"/>
      <c r="CH797" s="60"/>
      <c r="CI797" s="60"/>
      <c r="CJ797" s="60"/>
      <c r="CK797" s="60"/>
      <c r="CL797" s="60"/>
      <c r="CM797" s="60"/>
      <c r="CN797" s="60"/>
      <c r="CO797" s="60"/>
      <c r="CP797" s="60"/>
      <c r="CQ797" s="60"/>
    </row>
    <row r="798" s="60" customFormat="1" ht="45" customHeight="1">
      <c r="A798" s="33">
        <v>5</v>
      </c>
      <c r="B798" s="75" t="s">
        <v>512</v>
      </c>
      <c r="C798" s="99" t="s">
        <v>43</v>
      </c>
      <c r="D798" s="36">
        <v>1984</v>
      </c>
      <c r="E798" s="67">
        <v>2022</v>
      </c>
      <c r="F798" s="33" t="s">
        <v>44</v>
      </c>
      <c r="G798" s="36">
        <v>2</v>
      </c>
      <c r="H798" s="36">
        <v>3</v>
      </c>
      <c r="I798" s="37">
        <v>1587.4000000000001</v>
      </c>
      <c r="J798" s="37">
        <v>861.10000000000002</v>
      </c>
      <c r="K798" s="37">
        <v>771.60000000000002</v>
      </c>
      <c r="L798" s="38">
        <v>18</v>
      </c>
      <c r="M798" s="39">
        <f t="shared" si="139"/>
        <v>2058927.3400000001</v>
      </c>
      <c r="N798" s="37">
        <v>0</v>
      </c>
      <c r="O798" s="37">
        <v>0</v>
      </c>
      <c r="P798" s="37">
        <v>0</v>
      </c>
      <c r="Q798" s="37">
        <f>'Таблица 3 '!C787</f>
        <v>2058927.3400000001</v>
      </c>
      <c r="R798" s="37">
        <f>Q798</f>
        <v>2058927.3400000001</v>
      </c>
      <c r="S798" s="56">
        <v>0</v>
      </c>
      <c r="T798" s="37">
        <f t="shared" si="138"/>
        <v>2391.0432470096389</v>
      </c>
      <c r="U798" s="37">
        <f t="shared" si="127"/>
        <v>2391.0432470096389</v>
      </c>
      <c r="V798" s="41" t="s">
        <v>572</v>
      </c>
      <c r="W798" s="60"/>
      <c r="X798" s="60"/>
    </row>
    <row r="799" s="60" customFormat="1" ht="45" customHeight="1">
      <c r="A799" s="33">
        <v>6</v>
      </c>
      <c r="B799" s="52" t="s">
        <v>738</v>
      </c>
      <c r="C799" s="99" t="s">
        <v>43</v>
      </c>
      <c r="D799" s="33">
        <v>1984</v>
      </c>
      <c r="E799" s="35" t="s">
        <v>70</v>
      </c>
      <c r="F799" s="33" t="s">
        <v>44</v>
      </c>
      <c r="G799" s="36">
        <v>2</v>
      </c>
      <c r="H799" s="36">
        <v>3</v>
      </c>
      <c r="I799" s="37">
        <f>I798</f>
        <v>1587.4000000000001</v>
      </c>
      <c r="J799" s="37">
        <f>J798</f>
        <v>861.10000000000002</v>
      </c>
      <c r="K799" s="37">
        <f>K798</f>
        <v>771.60000000000002</v>
      </c>
      <c r="L799" s="38">
        <v>18</v>
      </c>
      <c r="M799" s="39">
        <f t="shared" si="139"/>
        <v>229392.20000000001</v>
      </c>
      <c r="N799" s="37">
        <v>0</v>
      </c>
      <c r="O799" s="37">
        <v>0</v>
      </c>
      <c r="P799" s="37">
        <v>0</v>
      </c>
      <c r="Q799" s="37">
        <f>'Таблица 3 '!C788</f>
        <v>229392.20000000001</v>
      </c>
      <c r="R799" s="37">
        <f>Q799</f>
        <v>229392.20000000001</v>
      </c>
      <c r="S799" s="56">
        <v>0</v>
      </c>
      <c r="T799" s="37">
        <f t="shared" si="138"/>
        <v>266.39437928231331</v>
      </c>
      <c r="U799" s="37">
        <f t="shared" si="127"/>
        <v>266.39437928231331</v>
      </c>
      <c r="V799" s="41" t="s">
        <v>572</v>
      </c>
      <c r="W799" s="60"/>
      <c r="X799" s="60"/>
    </row>
    <row r="800" s="60" customFormat="1" ht="45" customHeight="1">
      <c r="A800" s="33">
        <v>7</v>
      </c>
      <c r="B800" s="75" t="s">
        <v>739</v>
      </c>
      <c r="C800" s="99" t="s">
        <v>43</v>
      </c>
      <c r="D800" s="36">
        <v>1957</v>
      </c>
      <c r="E800" s="67" t="s">
        <v>39</v>
      </c>
      <c r="F800" s="36" t="s">
        <v>517</v>
      </c>
      <c r="G800" s="36">
        <v>2</v>
      </c>
      <c r="H800" s="36">
        <v>1</v>
      </c>
      <c r="I800" s="37">
        <v>1308</v>
      </c>
      <c r="J800" s="37">
        <v>396.19999999999999</v>
      </c>
      <c r="K800" s="37">
        <v>0</v>
      </c>
      <c r="L800" s="38">
        <v>8</v>
      </c>
      <c r="M800" s="39">
        <f t="shared" si="139"/>
        <v>1145490.24</v>
      </c>
      <c r="N800" s="37">
        <v>0</v>
      </c>
      <c r="O800" s="37">
        <v>0</v>
      </c>
      <c r="P800" s="37">
        <v>0</v>
      </c>
      <c r="Q800" s="37">
        <f>'Таблица 3 '!C789</f>
        <v>1145490.24</v>
      </c>
      <c r="R800" s="37">
        <f>Q800</f>
        <v>1145490.24</v>
      </c>
      <c r="S800" s="56">
        <v>0</v>
      </c>
      <c r="T800" s="37">
        <f t="shared" si="138"/>
        <v>2891.1919232710752</v>
      </c>
      <c r="U800" s="37">
        <f t="shared" ref="U800:U863" si="141">T800</f>
        <v>2891.1919232710752</v>
      </c>
      <c r="V800" s="41" t="s">
        <v>572</v>
      </c>
      <c r="W800" s="60"/>
      <c r="X800" s="60"/>
    </row>
    <row r="801" s="60" customFormat="1" ht="45" customHeight="1">
      <c r="A801" s="33">
        <v>8</v>
      </c>
      <c r="B801" s="75" t="s">
        <v>740</v>
      </c>
      <c r="C801" s="99" t="s">
        <v>43</v>
      </c>
      <c r="D801" s="36">
        <v>1984</v>
      </c>
      <c r="E801" s="67" t="s">
        <v>39</v>
      </c>
      <c r="F801" s="36" t="s">
        <v>48</v>
      </c>
      <c r="G801" s="36">
        <v>5</v>
      </c>
      <c r="H801" s="36">
        <v>4</v>
      </c>
      <c r="I801" s="37">
        <v>3290.0999999999999</v>
      </c>
      <c r="J801" s="37">
        <v>2909.9000000000001</v>
      </c>
      <c r="K801" s="37">
        <v>2482.4000000000001</v>
      </c>
      <c r="L801" s="38">
        <v>64</v>
      </c>
      <c r="M801" s="39">
        <f t="shared" si="139"/>
        <v>8053282.5999999996</v>
      </c>
      <c r="N801" s="37">
        <v>0</v>
      </c>
      <c r="O801" s="37">
        <v>0</v>
      </c>
      <c r="P801" s="37">
        <v>0</v>
      </c>
      <c r="Q801" s="37">
        <f>'Таблица 3 '!C790</f>
        <v>8053282.5999999996</v>
      </c>
      <c r="R801" s="37">
        <f>Q801</f>
        <v>8053282.5999999996</v>
      </c>
      <c r="S801" s="56">
        <v>0</v>
      </c>
      <c r="T801" s="37">
        <f t="shared" si="138"/>
        <v>2767.5461699714765</v>
      </c>
      <c r="U801" s="37">
        <f t="shared" si="141"/>
        <v>2767.5461699714765</v>
      </c>
      <c r="V801" s="41" t="s">
        <v>572</v>
      </c>
      <c r="W801" s="60"/>
      <c r="X801" s="60"/>
    </row>
    <row r="802" s="60" customFormat="1" ht="45" customHeight="1">
      <c r="A802" s="33">
        <v>9</v>
      </c>
      <c r="B802" s="75" t="s">
        <v>514</v>
      </c>
      <c r="C802" s="99" t="s">
        <v>43</v>
      </c>
      <c r="D802" s="36">
        <v>1970</v>
      </c>
      <c r="E802" s="67">
        <v>2023</v>
      </c>
      <c r="F802" s="36" t="s">
        <v>48</v>
      </c>
      <c r="G802" s="36">
        <v>5</v>
      </c>
      <c r="H802" s="36">
        <v>4</v>
      </c>
      <c r="I802" s="37">
        <v>4312.3000000000002</v>
      </c>
      <c r="J802" s="37">
        <v>3441.9000000000001</v>
      </c>
      <c r="K802" s="37">
        <v>2469.9000000000001</v>
      </c>
      <c r="L802" s="38">
        <v>75</v>
      </c>
      <c r="M802" s="37">
        <f t="shared" si="139"/>
        <v>11871825.610000001</v>
      </c>
      <c r="N802" s="37">
        <v>0</v>
      </c>
      <c r="O802" s="37">
        <v>0</v>
      </c>
      <c r="P802" s="37">
        <v>0</v>
      </c>
      <c r="Q802" s="37">
        <f>'Таблица 3 '!C791</f>
        <v>11871825.610000001</v>
      </c>
      <c r="R802" s="37">
        <f>Q802</f>
        <v>11871825.610000001</v>
      </c>
      <c r="S802" s="56">
        <v>0</v>
      </c>
      <c r="T802" s="37">
        <f t="shared" si="138"/>
        <v>3449.2070106627157</v>
      </c>
      <c r="U802" s="46">
        <f t="shared" si="141"/>
        <v>3449.2070106627157</v>
      </c>
      <c r="V802" s="41" t="s">
        <v>572</v>
      </c>
      <c r="W802" s="60"/>
      <c r="X802" s="60"/>
    </row>
    <row r="803" s="60" customFormat="1" ht="45" customHeight="1">
      <c r="A803" s="33">
        <v>10</v>
      </c>
      <c r="B803" s="52" t="s">
        <v>741</v>
      </c>
      <c r="C803" s="99" t="s">
        <v>43</v>
      </c>
      <c r="D803" s="45">
        <v>1985</v>
      </c>
      <c r="E803" s="67" t="s">
        <v>39</v>
      </c>
      <c r="F803" s="43" t="s">
        <v>77</v>
      </c>
      <c r="G803" s="36">
        <v>5</v>
      </c>
      <c r="H803" s="45">
        <v>4</v>
      </c>
      <c r="I803" s="37">
        <v>2875.8600000000001</v>
      </c>
      <c r="J803" s="46">
        <v>2868</v>
      </c>
      <c r="K803" s="37">
        <v>0</v>
      </c>
      <c r="L803" s="90">
        <v>60</v>
      </c>
      <c r="M803" s="39">
        <f t="shared" si="139"/>
        <v>21484181.350000001</v>
      </c>
      <c r="N803" s="46">
        <v>0</v>
      </c>
      <c r="O803" s="37">
        <v>0</v>
      </c>
      <c r="P803" s="46">
        <v>0</v>
      </c>
      <c r="Q803" s="37">
        <f>'Таблица 3 '!C792</f>
        <v>21484181.350000001</v>
      </c>
      <c r="R803" s="37">
        <f>Q803</f>
        <v>21484181.350000001</v>
      </c>
      <c r="S803" s="56">
        <v>0</v>
      </c>
      <c r="T803" s="46">
        <f t="shared" si="138"/>
        <v>7490.9976813110188</v>
      </c>
      <c r="U803" s="37">
        <f t="shared" si="141"/>
        <v>7490.9976813110188</v>
      </c>
      <c r="V803" s="41" t="s">
        <v>572</v>
      </c>
      <c r="W803" s="59"/>
      <c r="X803" s="60"/>
    </row>
    <row r="804" s="60" customFormat="1" ht="45" customHeight="1">
      <c r="A804" s="33">
        <v>11</v>
      </c>
      <c r="B804" s="52" t="s">
        <v>518</v>
      </c>
      <c r="C804" s="33" t="s">
        <v>43</v>
      </c>
      <c r="D804" s="36">
        <v>1975</v>
      </c>
      <c r="E804" s="67">
        <v>2018</v>
      </c>
      <c r="F804" s="33" t="s">
        <v>44</v>
      </c>
      <c r="G804" s="36">
        <v>2</v>
      </c>
      <c r="H804" s="36">
        <v>1</v>
      </c>
      <c r="I804" s="37">
        <v>376.60000000000002</v>
      </c>
      <c r="J804" s="37">
        <v>376.60000000000002</v>
      </c>
      <c r="K804" s="37">
        <v>332.39999999999998</v>
      </c>
      <c r="L804" s="38">
        <v>16</v>
      </c>
      <c r="M804" s="37">
        <f t="shared" si="139"/>
        <v>4583984.1600000001</v>
      </c>
      <c r="N804" s="37">
        <v>0</v>
      </c>
      <c r="O804" s="37">
        <v>0</v>
      </c>
      <c r="P804" s="37">
        <v>0</v>
      </c>
      <c r="Q804" s="37">
        <f>'Таблица 3 '!C793</f>
        <v>4583984.1600000001</v>
      </c>
      <c r="R804" s="37">
        <f t="shared" si="140"/>
        <v>4583984.1600000001</v>
      </c>
      <c r="S804" s="56">
        <v>0</v>
      </c>
      <c r="T804" s="37">
        <f t="shared" si="138"/>
        <v>12172.023791821561</v>
      </c>
      <c r="U804" s="46">
        <f t="shared" si="141"/>
        <v>12172.023791821561</v>
      </c>
      <c r="V804" s="41" t="s">
        <v>572</v>
      </c>
      <c r="W804" s="59"/>
      <c r="X804" s="60"/>
    </row>
    <row r="805" s="60" customFormat="1" ht="45" customHeight="1">
      <c r="A805" s="33">
        <v>12</v>
      </c>
      <c r="B805" s="52" t="s">
        <v>742</v>
      </c>
      <c r="C805" s="99" t="s">
        <v>43</v>
      </c>
      <c r="D805" s="36">
        <v>1996</v>
      </c>
      <c r="E805" s="67" t="s">
        <v>39</v>
      </c>
      <c r="F805" s="33" t="s">
        <v>566</v>
      </c>
      <c r="G805" s="36">
        <v>2</v>
      </c>
      <c r="H805" s="36">
        <v>2</v>
      </c>
      <c r="I805" s="37">
        <v>618</v>
      </c>
      <c r="J805" s="37">
        <v>589.60000000000002</v>
      </c>
      <c r="K805" s="37">
        <v>0</v>
      </c>
      <c r="L805" s="38">
        <v>8</v>
      </c>
      <c r="M805" s="39">
        <f t="shared" si="139"/>
        <v>5958371.5700000003</v>
      </c>
      <c r="N805" s="37">
        <v>0</v>
      </c>
      <c r="O805" s="37">
        <v>0</v>
      </c>
      <c r="P805" s="37">
        <v>0</v>
      </c>
      <c r="Q805" s="37">
        <f>'Таблица 3 '!C794</f>
        <v>5958371.5700000003</v>
      </c>
      <c r="R805" s="37">
        <f t="shared" si="140"/>
        <v>5958371.5700000003</v>
      </c>
      <c r="S805" s="56">
        <v>0</v>
      </c>
      <c r="T805" s="37">
        <f t="shared" si="138"/>
        <v>10105.786244911806</v>
      </c>
      <c r="U805" s="37">
        <f t="shared" si="141"/>
        <v>10105.786244911806</v>
      </c>
      <c r="V805" s="41" t="s">
        <v>572</v>
      </c>
      <c r="W805" s="59"/>
      <c r="X805" s="60"/>
    </row>
    <row r="806" s="60" customFormat="1" ht="45" customHeight="1">
      <c r="A806" s="33">
        <v>13</v>
      </c>
      <c r="B806" s="52" t="s">
        <v>743</v>
      </c>
      <c r="C806" s="99" t="s">
        <v>43</v>
      </c>
      <c r="D806" s="36">
        <v>2005</v>
      </c>
      <c r="E806" s="67" t="s">
        <v>39</v>
      </c>
      <c r="F806" s="33" t="s">
        <v>77</v>
      </c>
      <c r="G806" s="36">
        <v>2</v>
      </c>
      <c r="H806" s="36">
        <v>2</v>
      </c>
      <c r="I806" s="37">
        <v>743.55999999999995</v>
      </c>
      <c r="J806" s="37">
        <v>570.79999999999995</v>
      </c>
      <c r="K806" s="37">
        <v>0</v>
      </c>
      <c r="L806" s="38">
        <v>12</v>
      </c>
      <c r="M806" s="39">
        <f t="shared" si="139"/>
        <v>5785320.2599999998</v>
      </c>
      <c r="N806" s="37">
        <v>0</v>
      </c>
      <c r="O806" s="37">
        <v>0</v>
      </c>
      <c r="P806" s="37">
        <v>0</v>
      </c>
      <c r="Q806" s="37">
        <f>'Таблица 3 '!C795</f>
        <v>5785320.2599999998</v>
      </c>
      <c r="R806" s="37">
        <f t="shared" si="140"/>
        <v>5785320.2599999998</v>
      </c>
      <c r="S806" s="56">
        <v>0</v>
      </c>
      <c r="T806" s="37">
        <f t="shared" si="138"/>
        <v>10135.459460406448</v>
      </c>
      <c r="U806" s="37">
        <f t="shared" si="141"/>
        <v>10135.459460406448</v>
      </c>
      <c r="V806" s="41" t="s">
        <v>572</v>
      </c>
      <c r="W806" s="59"/>
      <c r="X806" s="60"/>
    </row>
    <row r="807" s="60" customFormat="1" ht="45" customHeight="1">
      <c r="A807" s="33">
        <v>14</v>
      </c>
      <c r="B807" s="52" t="s">
        <v>744</v>
      </c>
      <c r="C807" s="99" t="s">
        <v>43</v>
      </c>
      <c r="D807" s="36">
        <v>1987</v>
      </c>
      <c r="E807" s="67" t="s">
        <v>39</v>
      </c>
      <c r="F807" s="33" t="s">
        <v>77</v>
      </c>
      <c r="G807" s="36">
        <v>2</v>
      </c>
      <c r="H807" s="36">
        <v>2</v>
      </c>
      <c r="I807" s="37">
        <v>767.39999999999998</v>
      </c>
      <c r="J807" s="37">
        <v>560</v>
      </c>
      <c r="K807" s="37">
        <v>0</v>
      </c>
      <c r="L807" s="38">
        <v>12</v>
      </c>
      <c r="M807" s="39">
        <f t="shared" si="139"/>
        <v>5951501.8099999996</v>
      </c>
      <c r="N807" s="37">
        <v>0</v>
      </c>
      <c r="O807" s="37">
        <v>0</v>
      </c>
      <c r="P807" s="37">
        <v>0</v>
      </c>
      <c r="Q807" s="37">
        <f>'Таблица 3 '!C796</f>
        <v>5951501.8099999996</v>
      </c>
      <c r="R807" s="37">
        <f t="shared" si="140"/>
        <v>5951501.8099999996</v>
      </c>
      <c r="S807" s="56">
        <v>0</v>
      </c>
      <c r="T807" s="37">
        <f t="shared" si="138"/>
        <v>10627.681803571428</v>
      </c>
      <c r="U807" s="37">
        <f t="shared" si="141"/>
        <v>10627.681803571428</v>
      </c>
      <c r="V807" s="41" t="s">
        <v>572</v>
      </c>
      <c r="W807" s="59"/>
      <c r="X807" s="60"/>
    </row>
    <row r="808" s="60" customFormat="1" ht="45" customHeight="1">
      <c r="A808" s="33">
        <v>15</v>
      </c>
      <c r="B808" s="52" t="s">
        <v>745</v>
      </c>
      <c r="C808" s="99" t="s">
        <v>43</v>
      </c>
      <c r="D808" s="36">
        <v>1990</v>
      </c>
      <c r="E808" s="67" t="s">
        <v>39</v>
      </c>
      <c r="F808" s="33" t="s">
        <v>77</v>
      </c>
      <c r="G808" s="36">
        <v>5</v>
      </c>
      <c r="H808" s="36">
        <v>4</v>
      </c>
      <c r="I808" s="37">
        <v>4493</v>
      </c>
      <c r="J808" s="37">
        <v>2792.0999999999999</v>
      </c>
      <c r="K808" s="37">
        <v>0</v>
      </c>
      <c r="L808" s="38">
        <v>60</v>
      </c>
      <c r="M808" s="39">
        <f t="shared" si="139"/>
        <v>16248742.83</v>
      </c>
      <c r="N808" s="37">
        <v>0</v>
      </c>
      <c r="O808" s="37">
        <v>0</v>
      </c>
      <c r="P808" s="37">
        <v>0</v>
      </c>
      <c r="Q808" s="37">
        <f>'Таблица 3 '!C797</f>
        <v>16248742.83</v>
      </c>
      <c r="R808" s="37">
        <f t="shared" si="140"/>
        <v>16248742.83</v>
      </c>
      <c r="S808" s="56">
        <v>0</v>
      </c>
      <c r="T808" s="37">
        <f t="shared" si="138"/>
        <v>5819.541860964865</v>
      </c>
      <c r="U808" s="37">
        <f t="shared" si="141"/>
        <v>5819.541860964865</v>
      </c>
      <c r="V808" s="41" t="s">
        <v>572</v>
      </c>
      <c r="W808" s="59"/>
      <c r="X808" s="60"/>
    </row>
    <row r="809" s="60" customFormat="1" ht="45" customHeight="1">
      <c r="A809" s="33">
        <v>16</v>
      </c>
      <c r="B809" s="210" t="s">
        <v>746</v>
      </c>
      <c r="C809" s="119" t="s">
        <v>43</v>
      </c>
      <c r="D809" s="124">
        <v>1983</v>
      </c>
      <c r="E809" s="211" t="s">
        <v>39</v>
      </c>
      <c r="F809" s="122" t="s">
        <v>48</v>
      </c>
      <c r="G809" s="123">
        <v>5</v>
      </c>
      <c r="H809" s="124">
        <v>6</v>
      </c>
      <c r="I809" s="212">
        <v>5768.6000000000004</v>
      </c>
      <c r="J809" s="139">
        <v>4414.3000000000002</v>
      </c>
      <c r="K809" s="212">
        <v>4414.3000000000002</v>
      </c>
      <c r="L809" s="140">
        <v>160</v>
      </c>
      <c r="M809" s="39">
        <f>SUM(N809:Q809)</f>
        <v>350382</v>
      </c>
      <c r="N809" s="126">
        <v>0</v>
      </c>
      <c r="O809" s="125">
        <v>0</v>
      </c>
      <c r="P809" s="126">
        <v>0</v>
      </c>
      <c r="Q809" s="37">
        <f>'Таблица 3 '!C798</f>
        <v>350382</v>
      </c>
      <c r="R809" s="37">
        <f>Q809</f>
        <v>350382</v>
      </c>
      <c r="S809" s="213">
        <v>0</v>
      </c>
      <c r="T809" s="126">
        <f t="shared" si="138"/>
        <v>79.374306232018668</v>
      </c>
      <c r="U809" s="125">
        <f t="shared" si="141"/>
        <v>79.374306232018668</v>
      </c>
      <c r="V809" s="128" t="s">
        <v>572</v>
      </c>
      <c r="W809" s="59"/>
      <c r="X809" s="60"/>
    </row>
    <row r="810" s="60" customFormat="1" ht="45" customHeight="1">
      <c r="A810" s="33">
        <v>17</v>
      </c>
      <c r="B810" s="210" t="s">
        <v>747</v>
      </c>
      <c r="C810" s="122" t="s">
        <v>43</v>
      </c>
      <c r="D810" s="124">
        <v>1979</v>
      </c>
      <c r="E810" s="214" t="s">
        <v>39</v>
      </c>
      <c r="F810" s="122" t="s">
        <v>44</v>
      </c>
      <c r="G810" s="124">
        <v>2</v>
      </c>
      <c r="H810" s="124">
        <v>2</v>
      </c>
      <c r="I810" s="139">
        <v>3987.8000000000002</v>
      </c>
      <c r="J810" s="139">
        <v>3128.4000000000001</v>
      </c>
      <c r="K810" s="139" t="s">
        <v>39</v>
      </c>
      <c r="L810" s="140">
        <v>6</v>
      </c>
      <c r="M810" s="39">
        <f>SUM(N810:Q810)</f>
        <v>22901492.329999998</v>
      </c>
      <c r="N810" s="126">
        <v>0</v>
      </c>
      <c r="O810" s="126">
        <v>0</v>
      </c>
      <c r="P810" s="126">
        <v>0</v>
      </c>
      <c r="Q810" s="37">
        <f>'Таблица 3 '!C799</f>
        <v>22901492.329999998</v>
      </c>
      <c r="R810" s="37">
        <f>Q810</f>
        <v>22901492.329999998</v>
      </c>
      <c r="S810" s="187">
        <v>0</v>
      </c>
      <c r="T810" s="126">
        <f t="shared" si="138"/>
        <v>7320.5128276435235</v>
      </c>
      <c r="U810" s="126">
        <f t="shared" si="141"/>
        <v>7320.5128276435235</v>
      </c>
      <c r="V810" s="128" t="s">
        <v>572</v>
      </c>
      <c r="W810" s="59"/>
      <c r="X810" s="60"/>
    </row>
    <row r="811" s="60" customFormat="1" ht="45" customHeight="1">
      <c r="A811" s="33">
        <v>18</v>
      </c>
      <c r="B811" s="210" t="s">
        <v>748</v>
      </c>
      <c r="C811" s="122" t="s">
        <v>43</v>
      </c>
      <c r="D811" s="124">
        <v>1985</v>
      </c>
      <c r="E811" s="214" t="s">
        <v>39</v>
      </c>
      <c r="F811" s="122" t="s">
        <v>44</v>
      </c>
      <c r="G811" s="124">
        <v>2</v>
      </c>
      <c r="H811" s="124">
        <v>2</v>
      </c>
      <c r="I811" s="139">
        <v>3911.5</v>
      </c>
      <c r="J811" s="139">
        <v>2868.9000000000001</v>
      </c>
      <c r="K811" s="139">
        <v>0</v>
      </c>
      <c r="L811" s="140">
        <v>6</v>
      </c>
      <c r="M811" s="39">
        <f>SUM(N811:Q811)</f>
        <v>21488309.440000001</v>
      </c>
      <c r="N811" s="126">
        <v>0</v>
      </c>
      <c r="O811" s="126">
        <v>0</v>
      </c>
      <c r="P811" s="125">
        <v>0</v>
      </c>
      <c r="Q811" s="37">
        <f>'Таблица 3 '!C800</f>
        <v>21488309.440000001</v>
      </c>
      <c r="R811" s="37">
        <f>Q811</f>
        <v>21488309.440000001</v>
      </c>
      <c r="S811" s="215">
        <v>0</v>
      </c>
      <c r="T811" s="126">
        <f t="shared" si="138"/>
        <v>7490.0865976506675</v>
      </c>
      <c r="U811" s="126">
        <f t="shared" si="141"/>
        <v>7490.0865976506675</v>
      </c>
      <c r="V811" s="128" t="s">
        <v>572</v>
      </c>
      <c r="W811" s="59"/>
      <c r="X811" s="60"/>
      <c r="Y811" s="60"/>
      <c r="Z811" s="60"/>
      <c r="AA811" s="60"/>
      <c r="AB811" s="60"/>
      <c r="AC811" s="60"/>
      <c r="AD811" s="60"/>
      <c r="AE811" s="60"/>
      <c r="AF811" s="60"/>
      <c r="AG811" s="60"/>
      <c r="AH811" s="60"/>
      <c r="AI811" s="60"/>
      <c r="AJ811" s="60"/>
      <c r="AK811" s="60"/>
      <c r="AL811" s="60"/>
      <c r="AM811" s="60"/>
    </row>
    <row r="812" s="59" customFormat="1" ht="25.5" customHeight="1">
      <c r="A812" s="208" t="s">
        <v>749</v>
      </c>
      <c r="B812" s="209"/>
      <c r="C812" s="82" t="s">
        <v>39</v>
      </c>
      <c r="D812" s="216" t="s">
        <v>39</v>
      </c>
      <c r="E812" s="84" t="s">
        <v>39</v>
      </c>
      <c r="F812" s="82" t="s">
        <v>39</v>
      </c>
      <c r="G812" s="85" t="s">
        <v>39</v>
      </c>
      <c r="H812" s="85" t="s">
        <v>39</v>
      </c>
      <c r="I812" s="64">
        <f>I813</f>
        <v>1156.4000000000001</v>
      </c>
      <c r="J812" s="64">
        <f>J813</f>
        <v>744.70000000000005</v>
      </c>
      <c r="K812" s="64">
        <f>K813</f>
        <v>543.10000000000002</v>
      </c>
      <c r="L812" s="65">
        <f>L813</f>
        <v>26</v>
      </c>
      <c r="M812" s="64">
        <f>M813</f>
        <v>7386044.8600000003</v>
      </c>
      <c r="N812" s="64">
        <f>N813</f>
        <v>0</v>
      </c>
      <c r="O812" s="64">
        <f>O813</f>
        <v>0</v>
      </c>
      <c r="P812" s="64">
        <f>P813</f>
        <v>0</v>
      </c>
      <c r="Q812" s="64">
        <f>Q813</f>
        <v>7386044.8600000003</v>
      </c>
      <c r="R812" s="64">
        <f>R813</f>
        <v>7386044.8600000003</v>
      </c>
      <c r="S812" s="64">
        <f>S813</f>
        <v>0</v>
      </c>
      <c r="T812" s="32" t="s">
        <v>39</v>
      </c>
      <c r="U812" s="207" t="s">
        <v>39</v>
      </c>
      <c r="V812" s="66" t="s">
        <v>39</v>
      </c>
      <c r="W812" s="59"/>
      <c r="X812" s="59"/>
      <c r="Y812" s="59"/>
      <c r="Z812" s="59"/>
      <c r="AA812" s="59"/>
      <c r="AB812" s="59"/>
      <c r="AC812" s="59"/>
      <c r="AD812" s="59"/>
      <c r="AE812" s="59"/>
      <c r="AF812" s="59"/>
      <c r="AG812" s="59"/>
      <c r="AH812" s="59"/>
      <c r="AI812" s="59"/>
      <c r="AJ812" s="59"/>
      <c r="AK812" s="59"/>
      <c r="AL812" s="59"/>
      <c r="AM812" s="59"/>
    </row>
    <row r="813" s="59" customFormat="1" ht="44.399999999999999" customHeight="1">
      <c r="A813" s="33">
        <v>1</v>
      </c>
      <c r="B813" s="34" t="s">
        <v>750</v>
      </c>
      <c r="C813" s="43" t="s">
        <v>43</v>
      </c>
      <c r="D813" s="103" t="s">
        <v>525</v>
      </c>
      <c r="E813" s="113" t="s">
        <v>40</v>
      </c>
      <c r="F813" s="105" t="s">
        <v>44</v>
      </c>
      <c r="G813" s="106">
        <v>2</v>
      </c>
      <c r="H813" s="107">
        <v>2</v>
      </c>
      <c r="I813" s="108">
        <v>1156.4000000000001</v>
      </c>
      <c r="J813" s="109">
        <v>744.70000000000005</v>
      </c>
      <c r="K813" s="108">
        <v>543.10000000000002</v>
      </c>
      <c r="L813" s="109">
        <v>26</v>
      </c>
      <c r="M813" s="39">
        <f>SUM(N813:Q813)</f>
        <v>7386044.8600000003</v>
      </c>
      <c r="N813" s="46">
        <v>0</v>
      </c>
      <c r="O813" s="37">
        <v>0</v>
      </c>
      <c r="P813" s="46">
        <v>0</v>
      </c>
      <c r="Q813" s="37">
        <f>'Таблица 3 '!C802</f>
        <v>7386044.8600000003</v>
      </c>
      <c r="R813" s="46">
        <f>Q813</f>
        <v>7386044.8600000003</v>
      </c>
      <c r="S813" s="37">
        <v>0</v>
      </c>
      <c r="T813" s="51">
        <f t="shared" si="138"/>
        <v>9918.1480596213241</v>
      </c>
      <c r="U813" s="87">
        <f t="shared" si="141"/>
        <v>9918.1480596213241</v>
      </c>
      <c r="V813" s="41" t="s">
        <v>572</v>
      </c>
      <c r="W813" s="110"/>
      <c r="X813" s="110"/>
      <c r="Y813" s="110"/>
      <c r="Z813" s="110"/>
      <c r="AA813" s="110"/>
      <c r="AB813" s="110"/>
      <c r="AC813" s="110"/>
      <c r="AD813" s="110"/>
      <c r="AE813" s="110"/>
      <c r="AF813" s="110"/>
      <c r="AG813" s="110"/>
      <c r="AH813" s="110"/>
      <c r="AI813" s="110"/>
      <c r="AJ813" s="110"/>
      <c r="AK813" s="110"/>
      <c r="AL813" s="110"/>
      <c r="AM813" s="110"/>
      <c r="AN813" s="59"/>
    </row>
    <row r="814" s="60" customFormat="1" ht="25.5" customHeight="1">
      <c r="A814" s="61" t="s">
        <v>519</v>
      </c>
      <c r="B814" s="61"/>
      <c r="C814" s="82" t="s">
        <v>39</v>
      </c>
      <c r="D814" s="83" t="s">
        <v>39</v>
      </c>
      <c r="E814" s="84" t="s">
        <v>39</v>
      </c>
      <c r="F814" s="82" t="s">
        <v>39</v>
      </c>
      <c r="G814" s="85" t="s">
        <v>39</v>
      </c>
      <c r="H814" s="85" t="s">
        <v>39</v>
      </c>
      <c r="I814" s="64">
        <f>SUM(I815:I834)</f>
        <v>22104.559999999998</v>
      </c>
      <c r="J814" s="64">
        <f>SUM(J815:J834)</f>
        <v>20510.699999999997</v>
      </c>
      <c r="K814" s="64">
        <f>SUM(K815:K834)</f>
        <v>19322.799999999996</v>
      </c>
      <c r="L814" s="65">
        <f>SUM(L815:L834)</f>
        <v>979</v>
      </c>
      <c r="M814" s="64">
        <f>SUM(M815:M834)</f>
        <v>86201098.680000022</v>
      </c>
      <c r="N814" s="64">
        <f>SUM(N815:N834)</f>
        <v>0</v>
      </c>
      <c r="O814" s="64">
        <f>SUM(O815:O834)</f>
        <v>0</v>
      </c>
      <c r="P814" s="64">
        <f>SUM(P815:P834)</f>
        <v>0</v>
      </c>
      <c r="Q814" s="64">
        <f>SUM(Q815:Q834)</f>
        <v>86201098.680000022</v>
      </c>
      <c r="R814" s="64">
        <f>SUM(R815:R834)</f>
        <v>86201098.680000022</v>
      </c>
      <c r="S814" s="64">
        <f>SUM(S815:S834)</f>
        <v>0</v>
      </c>
      <c r="T814" s="32" t="s">
        <v>39</v>
      </c>
      <c r="U814" s="207" t="s">
        <v>39</v>
      </c>
      <c r="V814" s="66" t="s">
        <v>39</v>
      </c>
      <c r="W814" s="60"/>
      <c r="X814" s="60"/>
      <c r="Y814" s="60"/>
      <c r="Z814" s="60"/>
      <c r="AA814" s="60"/>
      <c r="AB814" s="60"/>
      <c r="AC814" s="60"/>
      <c r="AD814" s="60"/>
      <c r="AE814" s="60"/>
      <c r="AF814" s="60"/>
      <c r="AG814" s="60"/>
      <c r="AH814" s="60"/>
      <c r="AI814" s="60"/>
      <c r="AJ814" s="60"/>
      <c r="AK814" s="60"/>
      <c r="AL814" s="60"/>
      <c r="AM814" s="60"/>
    </row>
    <row r="815" s="54" customFormat="1" ht="47.25" customHeight="1">
      <c r="A815" s="33">
        <v>1</v>
      </c>
      <c r="B815" s="34" t="s">
        <v>532</v>
      </c>
      <c r="C815" s="33" t="s">
        <v>43</v>
      </c>
      <c r="D815" s="103" t="s">
        <v>200</v>
      </c>
      <c r="E815" s="113" t="s">
        <v>40</v>
      </c>
      <c r="F815" s="217" t="s">
        <v>44</v>
      </c>
      <c r="G815" s="106">
        <v>2</v>
      </c>
      <c r="H815" s="106">
        <v>3</v>
      </c>
      <c r="I815" s="108">
        <v>625.5</v>
      </c>
      <c r="J815" s="108">
        <v>625.5</v>
      </c>
      <c r="K815" s="108">
        <v>625.5</v>
      </c>
      <c r="L815" s="108">
        <v>48</v>
      </c>
      <c r="M815" s="39">
        <f t="shared" ref="M815:M834" si="142">SUM(N815:Q815)</f>
        <v>7045039.8099999996</v>
      </c>
      <c r="N815" s="37">
        <v>0</v>
      </c>
      <c r="O815" s="37">
        <v>0</v>
      </c>
      <c r="P815" s="37">
        <v>0</v>
      </c>
      <c r="Q815" s="37">
        <f>'Таблица 3 '!C804</f>
        <v>7045039.8099999996</v>
      </c>
      <c r="R815" s="37">
        <f t="shared" ref="R815:R834" si="143">Q815</f>
        <v>7045039.8099999996</v>
      </c>
      <c r="S815" s="37">
        <v>0</v>
      </c>
      <c r="T815" s="40">
        <f t="shared" si="138"/>
        <v>11263.053253397282</v>
      </c>
      <c r="U815" s="87">
        <f t="shared" si="141"/>
        <v>11263.053253397282</v>
      </c>
      <c r="V815" s="41" t="s">
        <v>572</v>
      </c>
      <c r="W815" s="54"/>
      <c r="X815" s="54"/>
    </row>
    <row r="816" s="218" customFormat="1" ht="42" customHeight="1">
      <c r="A816" s="33">
        <v>2</v>
      </c>
      <c r="B816" s="34" t="s">
        <v>751</v>
      </c>
      <c r="C816" s="43" t="s">
        <v>43</v>
      </c>
      <c r="D816" s="35" t="s">
        <v>83</v>
      </c>
      <c r="E816" s="44" t="s">
        <v>39</v>
      </c>
      <c r="F816" s="33" t="s">
        <v>77</v>
      </c>
      <c r="G816" s="45" t="s">
        <v>419</v>
      </c>
      <c r="H816" s="36" t="s">
        <v>460</v>
      </c>
      <c r="I816" s="46">
        <v>627.70000000000005</v>
      </c>
      <c r="J816" s="37">
        <v>594.20000000000005</v>
      </c>
      <c r="K816" s="46">
        <v>567.89999999999998</v>
      </c>
      <c r="L816" s="38">
        <v>23</v>
      </c>
      <c r="M816" s="39">
        <f t="shared" si="142"/>
        <v>664337.72999999998</v>
      </c>
      <c r="N816" s="46">
        <v>0</v>
      </c>
      <c r="O816" s="37">
        <v>0</v>
      </c>
      <c r="P816" s="46">
        <v>0</v>
      </c>
      <c r="Q816" s="37">
        <f>'Таблица 3 '!C805</f>
        <v>664337.72999999998</v>
      </c>
      <c r="R816" s="46">
        <f t="shared" si="143"/>
        <v>664337.72999999998</v>
      </c>
      <c r="S816" s="37">
        <v>0</v>
      </c>
      <c r="T816" s="51">
        <f t="shared" si="138"/>
        <v>1118.0372433524064</v>
      </c>
      <c r="U816" s="87">
        <f t="shared" si="141"/>
        <v>1118.0372433524064</v>
      </c>
      <c r="V816" s="41" t="s">
        <v>572</v>
      </c>
      <c r="W816" s="110"/>
      <c r="X816" s="218"/>
    </row>
    <row r="817" s="54" customFormat="1" ht="43.5" customHeight="1">
      <c r="A817" s="33">
        <v>3</v>
      </c>
      <c r="B817" s="34" t="s">
        <v>533</v>
      </c>
      <c r="C817" s="33" t="s">
        <v>43</v>
      </c>
      <c r="D817" s="35" t="s">
        <v>200</v>
      </c>
      <c r="E817" s="35" t="s">
        <v>39</v>
      </c>
      <c r="F817" s="33" t="s">
        <v>77</v>
      </c>
      <c r="G817" s="36" t="s">
        <v>419</v>
      </c>
      <c r="H817" s="36" t="s">
        <v>460</v>
      </c>
      <c r="I817" s="37">
        <v>559.20000000000005</v>
      </c>
      <c r="J817" s="37">
        <v>517.70000000000005</v>
      </c>
      <c r="K817" s="37">
        <v>517.70000000000005</v>
      </c>
      <c r="L817" s="38">
        <v>15</v>
      </c>
      <c r="M817" s="39">
        <f t="shared" si="142"/>
        <v>3346180.1200000001</v>
      </c>
      <c r="N817" s="37">
        <v>0</v>
      </c>
      <c r="O817" s="37">
        <v>0</v>
      </c>
      <c r="P817" s="37">
        <v>0</v>
      </c>
      <c r="Q817" s="37">
        <f>'Таблица 3 '!C806</f>
        <v>3346180.1200000001</v>
      </c>
      <c r="R817" s="37">
        <f t="shared" si="143"/>
        <v>3346180.1200000001</v>
      </c>
      <c r="S817" s="37">
        <v>0</v>
      </c>
      <c r="T817" s="40">
        <f t="shared" si="138"/>
        <v>6463.550550511879</v>
      </c>
      <c r="U817" s="87">
        <f t="shared" si="141"/>
        <v>6463.550550511879</v>
      </c>
      <c r="V817" s="41" t="s">
        <v>572</v>
      </c>
      <c r="W817" s="54"/>
      <c r="X817" s="54"/>
    </row>
    <row r="818" s="54" customFormat="1" ht="47.25" customHeight="1">
      <c r="A818" s="33">
        <v>4</v>
      </c>
      <c r="B818" s="34" t="s">
        <v>535</v>
      </c>
      <c r="C818" s="33" t="s">
        <v>43</v>
      </c>
      <c r="D818" s="103" t="s">
        <v>205</v>
      </c>
      <c r="E818" s="113" t="s">
        <v>39</v>
      </c>
      <c r="F818" s="217" t="s">
        <v>44</v>
      </c>
      <c r="G818" s="106">
        <v>5</v>
      </c>
      <c r="H818" s="106">
        <v>4</v>
      </c>
      <c r="I818" s="114">
        <v>2855.6999999999998</v>
      </c>
      <c r="J818" s="114">
        <v>2657.1999999999998</v>
      </c>
      <c r="K818" s="114">
        <v>2657.1999999999998</v>
      </c>
      <c r="L818" s="219">
        <v>180</v>
      </c>
      <c r="M818" s="39">
        <f t="shared" si="142"/>
        <v>18473186.109999999</v>
      </c>
      <c r="N818" s="37">
        <v>0</v>
      </c>
      <c r="O818" s="37">
        <v>0</v>
      </c>
      <c r="P818" s="37">
        <v>0</v>
      </c>
      <c r="Q818" s="37">
        <f>'Таблица 3 '!C807</f>
        <v>18473186.109999999</v>
      </c>
      <c r="R818" s="37">
        <f t="shared" si="143"/>
        <v>18473186.109999999</v>
      </c>
      <c r="S818" s="37">
        <v>0</v>
      </c>
      <c r="T818" s="40">
        <f t="shared" si="138"/>
        <v>6952.1248344121632</v>
      </c>
      <c r="U818" s="87">
        <f t="shared" si="141"/>
        <v>6952.1248344121632</v>
      </c>
      <c r="V818" s="41" t="s">
        <v>572</v>
      </c>
      <c r="W818" s="54"/>
      <c r="X818" s="54"/>
    </row>
    <row r="819" s="54" customFormat="1" ht="47.25" customHeight="1">
      <c r="A819" s="33">
        <v>5</v>
      </c>
      <c r="B819" s="34" t="s">
        <v>537</v>
      </c>
      <c r="C819" s="33" t="s">
        <v>43</v>
      </c>
      <c r="D819" s="103" t="s">
        <v>369</v>
      </c>
      <c r="E819" s="113" t="s">
        <v>57</v>
      </c>
      <c r="F819" s="217" t="s">
        <v>44</v>
      </c>
      <c r="G819" s="106">
        <v>5</v>
      </c>
      <c r="H819" s="106">
        <v>4</v>
      </c>
      <c r="I819" s="114">
        <v>2996</v>
      </c>
      <c r="J819" s="114">
        <v>2846</v>
      </c>
      <c r="K819" s="114">
        <v>2846</v>
      </c>
      <c r="L819" s="219">
        <v>180</v>
      </c>
      <c r="M819" s="39">
        <f t="shared" si="142"/>
        <v>14824129.32</v>
      </c>
      <c r="N819" s="37">
        <v>0</v>
      </c>
      <c r="O819" s="37">
        <v>0</v>
      </c>
      <c r="P819" s="37">
        <v>0</v>
      </c>
      <c r="Q819" s="37">
        <f>'Таблица 3 '!C808</f>
        <v>14824129.32</v>
      </c>
      <c r="R819" s="37">
        <f t="shared" si="143"/>
        <v>14824129.32</v>
      </c>
      <c r="S819" s="37">
        <v>0</v>
      </c>
      <c r="T819" s="40">
        <f t="shared" si="138"/>
        <v>5208.7594237526355</v>
      </c>
      <c r="U819" s="87">
        <f t="shared" si="141"/>
        <v>5208.7594237526355</v>
      </c>
      <c r="V819" s="41" t="s">
        <v>572</v>
      </c>
      <c r="W819" s="54"/>
      <c r="X819" s="54"/>
    </row>
    <row r="820" s="54" customFormat="1" ht="47.25" customHeight="1">
      <c r="A820" s="33">
        <v>6</v>
      </c>
      <c r="B820" s="42" t="s">
        <v>543</v>
      </c>
      <c r="C820" s="33" t="s">
        <v>43</v>
      </c>
      <c r="D820" s="35" t="s">
        <v>200</v>
      </c>
      <c r="E820" s="35" t="s">
        <v>39</v>
      </c>
      <c r="F820" s="33" t="s">
        <v>77</v>
      </c>
      <c r="G820" s="36" t="s">
        <v>414</v>
      </c>
      <c r="H820" s="36" t="s">
        <v>460</v>
      </c>
      <c r="I820" s="40">
        <v>2124.4000000000001</v>
      </c>
      <c r="J820" s="40">
        <v>1974.5999999999999</v>
      </c>
      <c r="K820" s="40">
        <v>1858.4000000000001</v>
      </c>
      <c r="L820" s="48">
        <v>84</v>
      </c>
      <c r="M820" s="39">
        <f t="shared" si="142"/>
        <v>390184.41999999998</v>
      </c>
      <c r="N820" s="37">
        <v>0</v>
      </c>
      <c r="O820" s="37">
        <v>0</v>
      </c>
      <c r="P820" s="37">
        <v>0</v>
      </c>
      <c r="Q820" s="37">
        <f>'Таблица 3 '!C809</f>
        <v>390184.41999999998</v>
      </c>
      <c r="R820" s="37">
        <f t="shared" si="143"/>
        <v>390184.41999999998</v>
      </c>
      <c r="S820" s="37">
        <v>0</v>
      </c>
      <c r="T820" s="40">
        <f t="shared" si="138"/>
        <v>197.60175225362099</v>
      </c>
      <c r="U820" s="87">
        <f t="shared" si="141"/>
        <v>197.60175225362099</v>
      </c>
      <c r="V820" s="41" t="s">
        <v>572</v>
      </c>
      <c r="W820" s="60"/>
      <c r="X820" s="54"/>
    </row>
    <row r="821" s="60" customFormat="1" ht="42.75" customHeight="1">
      <c r="A821" s="33">
        <v>7</v>
      </c>
      <c r="B821" s="34" t="s">
        <v>752</v>
      </c>
      <c r="C821" s="33" t="s">
        <v>43</v>
      </c>
      <c r="D821" s="35" t="s">
        <v>195</v>
      </c>
      <c r="E821" s="35" t="s">
        <v>39</v>
      </c>
      <c r="F821" s="33" t="s">
        <v>77</v>
      </c>
      <c r="G821" s="36" t="s">
        <v>419</v>
      </c>
      <c r="H821" s="36" t="s">
        <v>419</v>
      </c>
      <c r="I821" s="37">
        <v>669.39999999999998</v>
      </c>
      <c r="J821" s="37">
        <v>618.90999999999997</v>
      </c>
      <c r="K821" s="37">
        <v>494.20999999999998</v>
      </c>
      <c r="L821" s="38">
        <v>31</v>
      </c>
      <c r="M821" s="39">
        <f t="shared" si="142"/>
        <v>2972346.3300000001</v>
      </c>
      <c r="N821" s="37">
        <v>0</v>
      </c>
      <c r="O821" s="37">
        <v>0</v>
      </c>
      <c r="P821" s="37">
        <v>0</v>
      </c>
      <c r="Q821" s="37">
        <f>'Таблица 3 '!C810</f>
        <v>2972346.3300000001</v>
      </c>
      <c r="R821" s="37">
        <f t="shared" si="143"/>
        <v>2972346.3300000001</v>
      </c>
      <c r="S821" s="37">
        <v>0</v>
      </c>
      <c r="T821" s="37">
        <f t="shared" si="138"/>
        <v>4802.5501769239472</v>
      </c>
      <c r="U821" s="39">
        <f t="shared" si="141"/>
        <v>4802.5501769239472</v>
      </c>
      <c r="V821" s="41" t="s">
        <v>572</v>
      </c>
      <c r="W821" s="60"/>
      <c r="X821" s="60"/>
      <c r="Y821" s="60"/>
      <c r="Z821" s="60"/>
      <c r="AA821" s="60"/>
      <c r="AB821" s="60"/>
      <c r="AC821" s="60"/>
      <c r="AD821" s="60"/>
      <c r="AE821" s="60"/>
      <c r="AF821" s="60"/>
      <c r="AG821" s="60"/>
      <c r="AH821" s="60"/>
      <c r="AI821" s="60"/>
      <c r="AJ821" s="60"/>
      <c r="AK821" s="60"/>
      <c r="AL821" s="60"/>
      <c r="AM821" s="60"/>
      <c r="AN821" s="60"/>
      <c r="AO821" s="60"/>
      <c r="AP821" s="60"/>
      <c r="AQ821" s="60"/>
      <c r="AR821" s="60"/>
      <c r="AS821" s="60"/>
      <c r="AT821" s="60"/>
      <c r="AU821" s="60"/>
      <c r="AV821" s="60"/>
      <c r="AW821" s="60"/>
      <c r="AX821" s="60"/>
      <c r="AY821" s="60"/>
      <c r="AZ821" s="60"/>
      <c r="BA821" s="60"/>
      <c r="BB821" s="60"/>
      <c r="BC821" s="60"/>
      <c r="BD821" s="60"/>
      <c r="BE821" s="60"/>
      <c r="BF821" s="60"/>
      <c r="BG821" s="60"/>
      <c r="BH821" s="60"/>
      <c r="BI821" s="60"/>
      <c r="BJ821" s="60"/>
      <c r="BK821" s="60"/>
      <c r="BL821" s="60"/>
      <c r="BM821" s="60"/>
      <c r="BN821" s="60"/>
      <c r="BO821" s="60"/>
      <c r="BP821" s="60"/>
      <c r="BQ821" s="60"/>
      <c r="BR821" s="60"/>
      <c r="BS821" s="60"/>
      <c r="BT821" s="60"/>
      <c r="BU821" s="60"/>
      <c r="BV821" s="60"/>
      <c r="BW821" s="60"/>
      <c r="BX821" s="60"/>
      <c r="BY821" s="60"/>
      <c r="BZ821" s="60"/>
      <c r="CA821" s="60"/>
      <c r="CB821" s="60"/>
      <c r="CC821" s="60"/>
      <c r="CD821" s="60"/>
      <c r="CE821" s="60"/>
      <c r="CF821" s="60"/>
      <c r="CG821" s="60"/>
      <c r="CH821" s="60"/>
      <c r="CI821" s="60"/>
      <c r="CJ821" s="60"/>
      <c r="CK821" s="60"/>
      <c r="CL821" s="60"/>
      <c r="CM821" s="60"/>
      <c r="CN821" s="60"/>
      <c r="CO821" s="60"/>
      <c r="CP821" s="60"/>
      <c r="CQ821" s="60"/>
      <c r="CR821" s="60"/>
    </row>
    <row r="822" s="60" customFormat="1" ht="42.75" customHeight="1">
      <c r="A822" s="33">
        <v>8</v>
      </c>
      <c r="B822" s="34" t="s">
        <v>753</v>
      </c>
      <c r="C822" s="33" t="s">
        <v>43</v>
      </c>
      <c r="D822" s="35" t="s">
        <v>225</v>
      </c>
      <c r="E822" s="35" t="s">
        <v>39</v>
      </c>
      <c r="F822" s="33" t="s">
        <v>517</v>
      </c>
      <c r="G822" s="36" t="s">
        <v>419</v>
      </c>
      <c r="H822" s="36">
        <v>1</v>
      </c>
      <c r="I822" s="37">
        <v>566.29999999999995</v>
      </c>
      <c r="J822" s="37">
        <v>521.28999999999996</v>
      </c>
      <c r="K822" s="37">
        <v>521.28999999999996</v>
      </c>
      <c r="L822" s="38">
        <v>28</v>
      </c>
      <c r="M822" s="39">
        <f t="shared" si="142"/>
        <v>1248522.01</v>
      </c>
      <c r="N822" s="37">
        <v>0</v>
      </c>
      <c r="O822" s="37">
        <v>0</v>
      </c>
      <c r="P822" s="37">
        <v>0</v>
      </c>
      <c r="Q822" s="37">
        <f>'Таблица 3 '!C811</f>
        <v>1248522.01</v>
      </c>
      <c r="R822" s="37">
        <f t="shared" si="143"/>
        <v>1248522.01</v>
      </c>
      <c r="S822" s="37">
        <v>0</v>
      </c>
      <c r="T822" s="37">
        <f t="shared" si="138"/>
        <v>2395.0622686028892</v>
      </c>
      <c r="U822" s="39">
        <f t="shared" si="141"/>
        <v>2395.0622686028892</v>
      </c>
      <c r="V822" s="41" t="s">
        <v>572</v>
      </c>
      <c r="W822" s="59"/>
      <c r="X822" s="59"/>
      <c r="Y822" s="59"/>
      <c r="Z822" s="59"/>
      <c r="AA822" s="59"/>
      <c r="AB822" s="59"/>
      <c r="AC822" s="59"/>
      <c r="AD822" s="59"/>
      <c r="AE822" s="59"/>
      <c r="AF822" s="59"/>
      <c r="AG822" s="59"/>
      <c r="AH822" s="59"/>
      <c r="AI822" s="59"/>
      <c r="AJ822" s="59"/>
      <c r="AK822" s="59"/>
      <c r="AL822" s="59"/>
      <c r="AM822" s="59"/>
      <c r="AN822" s="59"/>
      <c r="AO822" s="59"/>
      <c r="AP822" s="59"/>
      <c r="AQ822" s="59"/>
      <c r="AR822" s="59"/>
      <c r="AS822" s="59"/>
      <c r="AT822" s="59"/>
      <c r="AU822" s="59"/>
      <c r="AV822" s="59"/>
      <c r="AW822" s="59"/>
      <c r="AX822" s="59"/>
      <c r="AY822" s="59"/>
      <c r="AZ822" s="59"/>
      <c r="BA822" s="59"/>
      <c r="BB822" s="59"/>
      <c r="BC822" s="59"/>
      <c r="BD822" s="59"/>
      <c r="BE822" s="59"/>
      <c r="BF822" s="59"/>
      <c r="BG822" s="59"/>
      <c r="BH822" s="59"/>
      <c r="BI822" s="59"/>
      <c r="BJ822" s="59"/>
      <c r="BK822" s="59"/>
      <c r="BL822" s="59"/>
      <c r="BM822" s="59"/>
      <c r="BN822" s="59"/>
      <c r="BO822" s="59"/>
      <c r="BP822" s="59"/>
      <c r="BQ822" s="59"/>
      <c r="BR822" s="59"/>
      <c r="BS822" s="59"/>
      <c r="BT822" s="59"/>
      <c r="BU822" s="59"/>
      <c r="BV822" s="59"/>
      <c r="BW822" s="59"/>
      <c r="BX822" s="59"/>
      <c r="BY822" s="59"/>
      <c r="BZ822" s="59"/>
      <c r="CA822" s="59"/>
      <c r="CB822" s="59"/>
      <c r="CC822" s="59"/>
      <c r="CD822" s="59"/>
      <c r="CE822" s="59"/>
      <c r="CF822" s="59"/>
      <c r="CG822" s="59"/>
      <c r="CH822" s="59"/>
      <c r="CI822" s="59"/>
      <c r="CJ822" s="59"/>
      <c r="CK822" s="59"/>
      <c r="CL822" s="59"/>
      <c r="CM822" s="59"/>
      <c r="CN822" s="59"/>
      <c r="CO822" s="59"/>
      <c r="CP822" s="59"/>
      <c r="CQ822" s="59"/>
      <c r="CR822" s="59"/>
    </row>
    <row r="823" s="60" customFormat="1" ht="42.75" customHeight="1">
      <c r="A823" s="33">
        <v>9</v>
      </c>
      <c r="B823" s="34" t="s">
        <v>548</v>
      </c>
      <c r="C823" s="33" t="s">
        <v>43</v>
      </c>
      <c r="D823" s="35" t="s">
        <v>200</v>
      </c>
      <c r="E823" s="35" t="s">
        <v>39</v>
      </c>
      <c r="F823" s="33" t="s">
        <v>455</v>
      </c>
      <c r="G823" s="36" t="s">
        <v>419</v>
      </c>
      <c r="H823" s="36">
        <v>2</v>
      </c>
      <c r="I823" s="37">
        <v>521.60000000000002</v>
      </c>
      <c r="J823" s="37">
        <v>471.60000000000002</v>
      </c>
      <c r="K823" s="37">
        <v>471.60000000000002</v>
      </c>
      <c r="L823" s="38">
        <v>19</v>
      </c>
      <c r="M823" s="39">
        <f t="shared" si="142"/>
        <v>1181954.2200000002</v>
      </c>
      <c r="N823" s="37">
        <v>0</v>
      </c>
      <c r="O823" s="37">
        <v>0</v>
      </c>
      <c r="P823" s="37">
        <v>0</v>
      </c>
      <c r="Q823" s="37">
        <f>'Таблица 3 '!C812</f>
        <v>1181954.2200000002</v>
      </c>
      <c r="R823" s="37">
        <f t="shared" si="143"/>
        <v>1181954.2200000002</v>
      </c>
      <c r="S823" s="37">
        <v>0</v>
      </c>
      <c r="T823" s="37">
        <f t="shared" si="138"/>
        <v>2506.2642493638682</v>
      </c>
      <c r="U823" s="39">
        <f t="shared" si="141"/>
        <v>2506.2642493638682</v>
      </c>
      <c r="V823" s="41" t="s">
        <v>572</v>
      </c>
      <c r="W823" s="59"/>
      <c r="X823" s="59"/>
      <c r="Y823" s="59"/>
      <c r="Z823" s="59"/>
      <c r="AA823" s="59"/>
      <c r="AB823" s="59"/>
      <c r="AC823" s="59"/>
      <c r="AD823" s="59"/>
      <c r="AE823" s="59"/>
      <c r="AF823" s="59"/>
      <c r="AG823" s="59"/>
      <c r="AH823" s="59"/>
      <c r="AI823" s="59"/>
      <c r="AJ823" s="59"/>
      <c r="AK823" s="59"/>
      <c r="AL823" s="59"/>
      <c r="AM823" s="59"/>
      <c r="AN823" s="59"/>
      <c r="AO823" s="59"/>
      <c r="AP823" s="59"/>
      <c r="AQ823" s="59"/>
      <c r="AR823" s="59"/>
      <c r="AS823" s="59"/>
      <c r="AT823" s="59"/>
      <c r="AU823" s="59"/>
      <c r="AV823" s="59"/>
      <c r="AW823" s="59"/>
      <c r="AX823" s="59"/>
      <c r="AY823" s="59"/>
      <c r="AZ823" s="59"/>
      <c r="BA823" s="59"/>
      <c r="BB823" s="59"/>
      <c r="BC823" s="59"/>
      <c r="BD823" s="59"/>
      <c r="BE823" s="59"/>
      <c r="BF823" s="59"/>
      <c r="BG823" s="59"/>
      <c r="BH823" s="59"/>
      <c r="BI823" s="59"/>
      <c r="BJ823" s="59"/>
      <c r="BK823" s="59"/>
      <c r="BL823" s="59"/>
      <c r="BM823" s="59"/>
      <c r="BN823" s="59"/>
      <c r="BO823" s="59"/>
      <c r="BP823" s="59"/>
      <c r="BQ823" s="59"/>
      <c r="BR823" s="59"/>
      <c r="BS823" s="59"/>
      <c r="BT823" s="59"/>
      <c r="BU823" s="59"/>
      <c r="BV823" s="59"/>
      <c r="BW823" s="59"/>
      <c r="BX823" s="59"/>
      <c r="BY823" s="59"/>
      <c r="BZ823" s="59"/>
      <c r="CA823" s="59"/>
      <c r="CB823" s="59"/>
      <c r="CC823" s="59"/>
      <c r="CD823" s="59"/>
      <c r="CE823" s="59"/>
      <c r="CF823" s="59"/>
      <c r="CG823" s="59"/>
      <c r="CH823" s="59"/>
      <c r="CI823" s="59"/>
      <c r="CJ823" s="59"/>
      <c r="CK823" s="59"/>
      <c r="CL823" s="59"/>
      <c r="CM823" s="59"/>
      <c r="CN823" s="59"/>
      <c r="CO823" s="59"/>
      <c r="CP823" s="59"/>
      <c r="CQ823" s="59"/>
      <c r="CR823" s="59"/>
    </row>
    <row r="824" s="60" customFormat="1" ht="42.75" customHeight="1">
      <c r="A824" s="33">
        <v>10</v>
      </c>
      <c r="B824" s="34" t="s">
        <v>551</v>
      </c>
      <c r="C824" s="33" t="s">
        <v>43</v>
      </c>
      <c r="D824" s="35" t="s">
        <v>109</v>
      </c>
      <c r="E824" s="35" t="s">
        <v>39</v>
      </c>
      <c r="F824" s="33" t="s">
        <v>77</v>
      </c>
      <c r="G824" s="36">
        <v>3</v>
      </c>
      <c r="H824" s="36">
        <v>3</v>
      </c>
      <c r="I824" s="37">
        <v>1615.2</v>
      </c>
      <c r="J824" s="37">
        <v>1447.5999999999999</v>
      </c>
      <c r="K824" s="37">
        <v>1447.5999999999999</v>
      </c>
      <c r="L824" s="38">
        <v>54</v>
      </c>
      <c r="M824" s="39">
        <f t="shared" si="142"/>
        <v>2528747.7400000002</v>
      </c>
      <c r="N824" s="37">
        <v>0</v>
      </c>
      <c r="O824" s="37">
        <v>0</v>
      </c>
      <c r="P824" s="37">
        <v>0</v>
      </c>
      <c r="Q824" s="37">
        <f>'Таблица 3 '!C813</f>
        <v>2528747.7400000002</v>
      </c>
      <c r="R824" s="37">
        <f t="shared" si="143"/>
        <v>2528747.7400000002</v>
      </c>
      <c r="S824" s="37">
        <v>0</v>
      </c>
      <c r="T824" s="37">
        <f t="shared" si="138"/>
        <v>1746.8553053329651</v>
      </c>
      <c r="U824" s="39">
        <f t="shared" si="141"/>
        <v>1746.8553053329651</v>
      </c>
      <c r="V824" s="41" t="s">
        <v>572</v>
      </c>
      <c r="W824" s="59"/>
      <c r="X824" s="59"/>
      <c r="Y824" s="59"/>
      <c r="Z824" s="59"/>
      <c r="AA824" s="59"/>
      <c r="AB824" s="59"/>
      <c r="AC824" s="59"/>
      <c r="AD824" s="59"/>
      <c r="AE824" s="59"/>
      <c r="AF824" s="59"/>
      <c r="AG824" s="59"/>
      <c r="AH824" s="59"/>
      <c r="AI824" s="59"/>
      <c r="AJ824" s="59"/>
      <c r="AK824" s="59"/>
      <c r="AL824" s="59"/>
      <c r="AM824" s="59"/>
      <c r="AN824" s="59"/>
      <c r="AO824" s="59"/>
      <c r="AP824" s="59"/>
      <c r="AQ824" s="59"/>
      <c r="AR824" s="59"/>
      <c r="AS824" s="59"/>
      <c r="AT824" s="59"/>
      <c r="AU824" s="59"/>
      <c r="AV824" s="59"/>
      <c r="AW824" s="59"/>
      <c r="AX824" s="59"/>
      <c r="AY824" s="59"/>
      <c r="AZ824" s="59"/>
      <c r="BA824" s="59"/>
      <c r="BB824" s="59"/>
      <c r="BC824" s="59"/>
      <c r="BD824" s="59"/>
      <c r="BE824" s="59"/>
      <c r="BF824" s="59"/>
      <c r="BG824" s="59"/>
      <c r="BH824" s="59"/>
      <c r="BI824" s="59"/>
      <c r="BJ824" s="59"/>
      <c r="BK824" s="59"/>
      <c r="BL824" s="59"/>
      <c r="BM824" s="59"/>
      <c r="BN824" s="59"/>
      <c r="BO824" s="59"/>
      <c r="BP824" s="59"/>
      <c r="BQ824" s="59"/>
      <c r="BR824" s="59"/>
      <c r="BS824" s="59"/>
      <c r="BT824" s="59"/>
      <c r="BU824" s="59"/>
      <c r="BV824" s="59"/>
      <c r="BW824" s="59"/>
      <c r="BX824" s="59"/>
      <c r="BY824" s="59"/>
      <c r="BZ824" s="59"/>
      <c r="CA824" s="59"/>
      <c r="CB824" s="59"/>
      <c r="CC824" s="59"/>
      <c r="CD824" s="59"/>
      <c r="CE824" s="59"/>
      <c r="CF824" s="59"/>
      <c r="CG824" s="59"/>
      <c r="CH824" s="59"/>
      <c r="CI824" s="59"/>
      <c r="CJ824" s="59"/>
      <c r="CK824" s="59"/>
      <c r="CL824" s="59"/>
      <c r="CM824" s="59"/>
      <c r="CN824" s="59"/>
      <c r="CO824" s="59"/>
      <c r="CP824" s="59"/>
      <c r="CQ824" s="59"/>
      <c r="CR824" s="59"/>
    </row>
    <row r="825" s="60" customFormat="1" ht="42.75" customHeight="1">
      <c r="A825" s="33">
        <v>11</v>
      </c>
      <c r="B825" s="34" t="s">
        <v>754</v>
      </c>
      <c r="C825" s="33" t="s">
        <v>43</v>
      </c>
      <c r="D825" s="35" t="s">
        <v>195</v>
      </c>
      <c r="E825" s="35" t="s">
        <v>39</v>
      </c>
      <c r="F825" s="33" t="s">
        <v>517</v>
      </c>
      <c r="G825" s="36">
        <v>2</v>
      </c>
      <c r="H825" s="36">
        <v>1</v>
      </c>
      <c r="I825" s="37">
        <v>558.60000000000002</v>
      </c>
      <c r="J825" s="37">
        <v>514</v>
      </c>
      <c r="K825" s="37">
        <v>514</v>
      </c>
      <c r="L825" s="38">
        <v>13</v>
      </c>
      <c r="M825" s="39">
        <f t="shared" si="142"/>
        <v>1240462.46</v>
      </c>
      <c r="N825" s="37">
        <v>0</v>
      </c>
      <c r="O825" s="37">
        <v>0</v>
      </c>
      <c r="P825" s="37">
        <v>0</v>
      </c>
      <c r="Q825" s="37">
        <f>'Таблица 3 '!C814</f>
        <v>1240462.46</v>
      </c>
      <c r="R825" s="37">
        <f t="shared" si="143"/>
        <v>1240462.46</v>
      </c>
      <c r="S825" s="37">
        <v>0</v>
      </c>
      <c r="T825" s="37">
        <f t="shared" si="138"/>
        <v>2413.3510894941633</v>
      </c>
      <c r="U825" s="39">
        <f t="shared" si="141"/>
        <v>2413.3510894941633</v>
      </c>
      <c r="V825" s="41" t="s">
        <v>572</v>
      </c>
      <c r="W825" s="59"/>
      <c r="X825" s="59"/>
      <c r="Y825" s="59"/>
      <c r="Z825" s="59"/>
      <c r="AA825" s="59"/>
      <c r="AB825" s="59"/>
      <c r="AC825" s="59"/>
      <c r="AD825" s="59"/>
      <c r="AE825" s="59"/>
      <c r="AF825" s="59"/>
      <c r="AG825" s="59"/>
      <c r="AH825" s="59"/>
      <c r="AI825" s="59"/>
      <c r="AJ825" s="59"/>
      <c r="AK825" s="59"/>
      <c r="AL825" s="59"/>
      <c r="AM825" s="59"/>
      <c r="AN825" s="59"/>
      <c r="AO825" s="59"/>
      <c r="AP825" s="59"/>
      <c r="AQ825" s="59"/>
      <c r="AR825" s="59"/>
      <c r="AS825" s="59"/>
      <c r="AT825" s="59"/>
      <c r="AU825" s="59"/>
      <c r="AV825" s="59"/>
      <c r="AW825" s="59"/>
      <c r="AX825" s="59"/>
      <c r="AY825" s="59"/>
      <c r="AZ825" s="59"/>
      <c r="BA825" s="59"/>
      <c r="BB825" s="59"/>
      <c r="BC825" s="59"/>
      <c r="BD825" s="59"/>
      <c r="BE825" s="59"/>
      <c r="BF825" s="59"/>
      <c r="BG825" s="59"/>
      <c r="BH825" s="59"/>
      <c r="BI825" s="59"/>
      <c r="BJ825" s="59"/>
      <c r="BK825" s="59"/>
      <c r="BL825" s="59"/>
      <c r="BM825" s="59"/>
      <c r="BN825" s="59"/>
      <c r="BO825" s="59"/>
      <c r="BP825" s="59"/>
      <c r="BQ825" s="59"/>
      <c r="BR825" s="59"/>
      <c r="BS825" s="59"/>
      <c r="BT825" s="59"/>
      <c r="BU825" s="59"/>
      <c r="BV825" s="59"/>
      <c r="BW825" s="59"/>
      <c r="BX825" s="59"/>
      <c r="BY825" s="59"/>
      <c r="BZ825" s="59"/>
      <c r="CA825" s="59"/>
      <c r="CB825" s="59"/>
      <c r="CC825" s="59"/>
      <c r="CD825" s="59"/>
      <c r="CE825" s="59"/>
      <c r="CF825" s="59"/>
      <c r="CG825" s="59"/>
      <c r="CH825" s="59"/>
      <c r="CI825" s="59"/>
      <c r="CJ825" s="59"/>
      <c r="CK825" s="59"/>
      <c r="CL825" s="59"/>
      <c r="CM825" s="59"/>
      <c r="CN825" s="59"/>
      <c r="CO825" s="59"/>
      <c r="CP825" s="59"/>
      <c r="CQ825" s="59"/>
      <c r="CR825" s="59"/>
    </row>
    <row r="826" s="60" customFormat="1" ht="42.75" customHeight="1">
      <c r="A826" s="33">
        <v>12</v>
      </c>
      <c r="B826" s="34" t="s">
        <v>553</v>
      </c>
      <c r="C826" s="43" t="s">
        <v>43</v>
      </c>
      <c r="D826" s="35" t="s">
        <v>195</v>
      </c>
      <c r="E826" s="44" t="s">
        <v>39</v>
      </c>
      <c r="F826" s="33" t="s">
        <v>517</v>
      </c>
      <c r="G826" s="45">
        <v>2</v>
      </c>
      <c r="H826" s="36">
        <v>1</v>
      </c>
      <c r="I826" s="46">
        <v>560.60000000000002</v>
      </c>
      <c r="J826" s="37">
        <v>517.79999999999995</v>
      </c>
      <c r="K826" s="46">
        <v>441</v>
      </c>
      <c r="L826" s="38">
        <v>14</v>
      </c>
      <c r="M826" s="39">
        <f t="shared" si="142"/>
        <v>5031868.8499999996</v>
      </c>
      <c r="N826" s="46">
        <v>0</v>
      </c>
      <c r="O826" s="37">
        <v>0</v>
      </c>
      <c r="P826" s="46">
        <v>0</v>
      </c>
      <c r="Q826" s="37">
        <f>'Таблица 3 '!C815</f>
        <v>5031868.8499999996</v>
      </c>
      <c r="R826" s="46">
        <f t="shared" si="143"/>
        <v>5031868.8499999996</v>
      </c>
      <c r="S826" s="37">
        <v>0</v>
      </c>
      <c r="T826" s="46">
        <f t="shared" si="138"/>
        <v>9717.7845693317886</v>
      </c>
      <c r="U826" s="39">
        <f t="shared" si="141"/>
        <v>9717.7845693317886</v>
      </c>
      <c r="V826" s="41" t="s">
        <v>572</v>
      </c>
      <c r="W826" s="59"/>
      <c r="X826" s="59"/>
      <c r="Y826" s="59"/>
      <c r="Z826" s="59"/>
      <c r="AA826" s="59"/>
      <c r="AB826" s="59"/>
      <c r="AC826" s="59"/>
      <c r="AD826" s="59"/>
      <c r="AE826" s="59"/>
      <c r="AF826" s="59"/>
      <c r="AG826" s="59"/>
      <c r="AH826" s="59"/>
      <c r="AI826" s="59"/>
      <c r="AJ826" s="59"/>
      <c r="AK826" s="59"/>
      <c r="AL826" s="59"/>
      <c r="AM826" s="59"/>
      <c r="AN826" s="59"/>
      <c r="AO826" s="59"/>
      <c r="AP826" s="59"/>
      <c r="AQ826" s="59"/>
      <c r="AR826" s="59"/>
      <c r="AS826" s="59"/>
      <c r="AT826" s="59"/>
      <c r="AU826" s="59"/>
      <c r="AV826" s="59"/>
      <c r="AW826" s="59"/>
      <c r="AX826" s="59"/>
      <c r="AY826" s="59"/>
      <c r="AZ826" s="59"/>
      <c r="BA826" s="59"/>
      <c r="BB826" s="59"/>
      <c r="BC826" s="59"/>
      <c r="BD826" s="59"/>
      <c r="BE826" s="59"/>
      <c r="BF826" s="59"/>
      <c r="BG826" s="59"/>
      <c r="BH826" s="59"/>
      <c r="BI826" s="59"/>
      <c r="BJ826" s="59"/>
      <c r="BK826" s="59"/>
      <c r="BL826" s="59"/>
      <c r="BM826" s="59"/>
      <c r="BN826" s="59"/>
      <c r="BO826" s="59"/>
      <c r="BP826" s="59"/>
      <c r="BQ826" s="59"/>
      <c r="BR826" s="59"/>
      <c r="BS826" s="59"/>
      <c r="BT826" s="59"/>
      <c r="BU826" s="59"/>
      <c r="BV826" s="59"/>
      <c r="BW826" s="59"/>
      <c r="BX826" s="59"/>
      <c r="BY826" s="59"/>
      <c r="BZ826" s="59"/>
      <c r="CA826" s="59"/>
      <c r="CB826" s="59"/>
      <c r="CC826" s="59"/>
      <c r="CD826" s="59"/>
      <c r="CE826" s="59"/>
      <c r="CF826" s="59"/>
      <c r="CG826" s="59"/>
      <c r="CH826" s="59"/>
      <c r="CI826" s="59"/>
      <c r="CJ826" s="59"/>
      <c r="CK826" s="59"/>
      <c r="CL826" s="59"/>
      <c r="CM826" s="59"/>
      <c r="CN826" s="59"/>
      <c r="CO826" s="59"/>
      <c r="CP826" s="59"/>
      <c r="CQ826" s="59"/>
      <c r="CR826" s="59"/>
    </row>
    <row r="827" s="60" customFormat="1" ht="42.75" customHeight="1">
      <c r="A827" s="33">
        <v>13</v>
      </c>
      <c r="B827" s="34" t="s">
        <v>755</v>
      </c>
      <c r="C827" s="33" t="s">
        <v>43</v>
      </c>
      <c r="D827" s="35" t="s">
        <v>79</v>
      </c>
      <c r="E827" s="35" t="s">
        <v>39</v>
      </c>
      <c r="F827" s="33" t="s">
        <v>77</v>
      </c>
      <c r="G827" s="36" t="s">
        <v>413</v>
      </c>
      <c r="H827" s="36">
        <v>1</v>
      </c>
      <c r="I827" s="37">
        <v>1662.5</v>
      </c>
      <c r="J827" s="37">
        <v>1465.0999999999999</v>
      </c>
      <c r="K827" s="37">
        <v>1323.5999999999999</v>
      </c>
      <c r="L827" s="38">
        <v>50</v>
      </c>
      <c r="M827" s="39">
        <f t="shared" si="142"/>
        <v>8170439.4900000002</v>
      </c>
      <c r="N827" s="37">
        <v>0</v>
      </c>
      <c r="O827" s="37">
        <v>0</v>
      </c>
      <c r="P827" s="37">
        <v>0</v>
      </c>
      <c r="Q827" s="37">
        <f>'Таблица 3 '!C816</f>
        <v>8170439.4900000002</v>
      </c>
      <c r="R827" s="37">
        <f t="shared" si="143"/>
        <v>8170439.4900000002</v>
      </c>
      <c r="S827" s="37">
        <v>0</v>
      </c>
      <c r="T827" s="37">
        <f t="shared" si="138"/>
        <v>5576.7111391713879</v>
      </c>
      <c r="U827" s="39">
        <f t="shared" si="141"/>
        <v>5576.7111391713879</v>
      </c>
      <c r="V827" s="41" t="s">
        <v>572</v>
      </c>
      <c r="W827" s="60"/>
      <c r="X827" s="60"/>
    </row>
    <row r="828" s="60" customFormat="1" ht="42.75" customHeight="1">
      <c r="A828" s="33">
        <v>14</v>
      </c>
      <c r="B828" s="34" t="s">
        <v>756</v>
      </c>
      <c r="C828" s="159" t="s">
        <v>43</v>
      </c>
      <c r="D828" s="44" t="s">
        <v>205</v>
      </c>
      <c r="E828" s="160" t="s">
        <v>39</v>
      </c>
      <c r="F828" s="33" t="s">
        <v>77</v>
      </c>
      <c r="G828" s="161">
        <v>5</v>
      </c>
      <c r="H828" s="45">
        <v>4</v>
      </c>
      <c r="I828" s="163">
        <v>2950.6999999999998</v>
      </c>
      <c r="J828" s="46">
        <v>2777.5</v>
      </c>
      <c r="K828" s="163">
        <v>2697.5</v>
      </c>
      <c r="L828" s="90">
        <v>108</v>
      </c>
      <c r="M828" s="39">
        <f t="shared" si="142"/>
        <v>4699408.7199999997</v>
      </c>
      <c r="N828" s="163">
        <v>0</v>
      </c>
      <c r="O828" s="46">
        <v>0</v>
      </c>
      <c r="P828" s="163">
        <v>0</v>
      </c>
      <c r="Q828" s="37">
        <f>'Таблица 3 '!C817</f>
        <v>4699408.7199999997</v>
      </c>
      <c r="R828" s="163">
        <f t="shared" si="143"/>
        <v>4699408.7199999997</v>
      </c>
      <c r="S828" s="46">
        <v>0</v>
      </c>
      <c r="T828" s="163">
        <f t="shared" si="138"/>
        <v>1691.9563348334832</v>
      </c>
      <c r="U828" s="39">
        <f t="shared" si="141"/>
        <v>1691.9563348334832</v>
      </c>
      <c r="V828" s="41" t="s">
        <v>572</v>
      </c>
      <c r="W828" s="59"/>
      <c r="X828" s="59"/>
      <c r="Y828" s="59"/>
      <c r="Z828" s="59"/>
      <c r="AA828" s="59"/>
      <c r="AB828" s="59"/>
      <c r="AC828" s="59"/>
      <c r="AD828" s="59"/>
      <c r="AE828" s="59"/>
      <c r="AF828" s="59"/>
      <c r="AG828" s="59"/>
      <c r="AH828" s="59"/>
      <c r="AI828" s="59"/>
      <c r="AJ828" s="59"/>
      <c r="AK828" s="59"/>
      <c r="AL828" s="59"/>
      <c r="AM828" s="59"/>
      <c r="AN828" s="5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59"/>
      <c r="AZ828" s="59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59"/>
      <c r="BL828" s="59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59"/>
      <c r="BX828" s="59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59"/>
      <c r="CJ828" s="59"/>
      <c r="CK828" s="59"/>
      <c r="CL828" s="59"/>
      <c r="CM828" s="59"/>
      <c r="CN828" s="59"/>
      <c r="CO828" s="59"/>
      <c r="CP828" s="59"/>
      <c r="CQ828" s="59"/>
      <c r="CR828" s="59"/>
    </row>
    <row r="829" s="60" customFormat="1" ht="42.75" customHeight="1">
      <c r="A829" s="33">
        <v>15</v>
      </c>
      <c r="B829" s="34" t="s">
        <v>557</v>
      </c>
      <c r="C829" s="33" t="s">
        <v>43</v>
      </c>
      <c r="D829" s="35" t="s">
        <v>79</v>
      </c>
      <c r="E829" s="35" t="s">
        <v>39</v>
      </c>
      <c r="F829" s="33" t="s">
        <v>77</v>
      </c>
      <c r="G829" s="36" t="s">
        <v>419</v>
      </c>
      <c r="H829" s="36" t="s">
        <v>419</v>
      </c>
      <c r="I829" s="37">
        <v>671.60000000000002</v>
      </c>
      <c r="J829" s="37">
        <v>621.71000000000004</v>
      </c>
      <c r="K829" s="37">
        <v>621.71000000000004</v>
      </c>
      <c r="L829" s="38">
        <v>33</v>
      </c>
      <c r="M829" s="39">
        <f t="shared" si="142"/>
        <v>2907278.3900000001</v>
      </c>
      <c r="N829" s="37">
        <v>0</v>
      </c>
      <c r="O829" s="37">
        <v>0</v>
      </c>
      <c r="P829" s="37">
        <v>0</v>
      </c>
      <c r="Q829" s="37">
        <f>'Таблица 3 '!C818</f>
        <v>2907278.3900000001</v>
      </c>
      <c r="R829" s="37">
        <f t="shared" si="143"/>
        <v>2907278.3900000001</v>
      </c>
      <c r="S829" s="37">
        <v>0</v>
      </c>
      <c r="T829" s="37">
        <f t="shared" si="138"/>
        <v>4676.2612632899582</v>
      </c>
      <c r="U829" s="39">
        <f t="shared" si="141"/>
        <v>4676.2612632899582</v>
      </c>
      <c r="V829" s="41" t="s">
        <v>572</v>
      </c>
      <c r="W829" s="60"/>
      <c r="X829" s="60"/>
    </row>
    <row r="830" s="60" customFormat="1" ht="42.75" customHeight="1">
      <c r="A830" s="33">
        <v>16</v>
      </c>
      <c r="B830" s="34" t="s">
        <v>558</v>
      </c>
      <c r="C830" s="33" t="s">
        <v>43</v>
      </c>
      <c r="D830" s="35" t="s">
        <v>93</v>
      </c>
      <c r="E830" s="35" t="s">
        <v>39</v>
      </c>
      <c r="F830" s="33" t="s">
        <v>77</v>
      </c>
      <c r="G830" s="36" t="s">
        <v>419</v>
      </c>
      <c r="H830" s="36" t="s">
        <v>419</v>
      </c>
      <c r="I830" s="37">
        <v>670.79999999999995</v>
      </c>
      <c r="J830" s="37">
        <v>620.88999999999999</v>
      </c>
      <c r="K830" s="37">
        <v>513.09000000000003</v>
      </c>
      <c r="L830" s="38">
        <v>24</v>
      </c>
      <c r="M830" s="39">
        <f t="shared" si="142"/>
        <v>2930770.8100000001</v>
      </c>
      <c r="N830" s="37">
        <v>0</v>
      </c>
      <c r="O830" s="37">
        <v>0</v>
      </c>
      <c r="P830" s="37">
        <v>0</v>
      </c>
      <c r="Q830" s="37">
        <f>'Таблица 3 '!C819</f>
        <v>2930770.8100000001</v>
      </c>
      <c r="R830" s="37">
        <f t="shared" si="143"/>
        <v>2930770.8100000001</v>
      </c>
      <c r="S830" s="37">
        <v>0</v>
      </c>
      <c r="T830" s="37">
        <f t="shared" si="138"/>
        <v>4720.2738166180807</v>
      </c>
      <c r="U830" s="39">
        <f t="shared" si="141"/>
        <v>4720.2738166180807</v>
      </c>
      <c r="V830" s="41" t="s">
        <v>572</v>
      </c>
      <c r="W830" s="60"/>
      <c r="X830" s="60"/>
    </row>
    <row r="831" s="60" customFormat="1" ht="42.75" customHeight="1">
      <c r="A831" s="33">
        <v>17</v>
      </c>
      <c r="B831" s="34" t="s">
        <v>559</v>
      </c>
      <c r="C831" s="43" t="s">
        <v>43</v>
      </c>
      <c r="D831" s="35" t="s">
        <v>135</v>
      </c>
      <c r="E831" s="44" t="s">
        <v>560</v>
      </c>
      <c r="F831" s="33" t="s">
        <v>77</v>
      </c>
      <c r="G831" s="45" t="s">
        <v>419</v>
      </c>
      <c r="H831" s="36" t="s">
        <v>419</v>
      </c>
      <c r="I831" s="46">
        <v>750.10000000000002</v>
      </c>
      <c r="J831" s="37">
        <v>719.70000000000005</v>
      </c>
      <c r="K831" s="46">
        <v>240.30000000000001</v>
      </c>
      <c r="L831" s="38">
        <v>29</v>
      </c>
      <c r="M831" s="39">
        <f t="shared" si="142"/>
        <v>1392928.9299999999</v>
      </c>
      <c r="N831" s="46">
        <v>0</v>
      </c>
      <c r="O831" s="37">
        <v>0</v>
      </c>
      <c r="P831" s="46">
        <v>0</v>
      </c>
      <c r="Q831" s="37">
        <f>'Таблица 3 '!C820</f>
        <v>1392928.9299999999</v>
      </c>
      <c r="R831" s="46">
        <f t="shared" si="143"/>
        <v>1392928.9299999999</v>
      </c>
      <c r="S831" s="37">
        <v>0</v>
      </c>
      <c r="T831" s="51">
        <f t="shared" si="138"/>
        <v>1935.4299430318185</v>
      </c>
      <c r="U831" s="87">
        <f t="shared" si="141"/>
        <v>1935.4299430318185</v>
      </c>
      <c r="V831" s="41" t="s">
        <v>572</v>
      </c>
      <c r="W831" s="59"/>
      <c r="X831" s="60"/>
    </row>
    <row r="832" s="60" customFormat="1" ht="42.75" customHeight="1">
      <c r="A832" s="33">
        <v>18</v>
      </c>
      <c r="B832" s="118" t="s">
        <v>562</v>
      </c>
      <c r="C832" s="122" t="s">
        <v>43</v>
      </c>
      <c r="D832" s="120" t="s">
        <v>266</v>
      </c>
      <c r="E832" s="120" t="s">
        <v>39</v>
      </c>
      <c r="F832" s="33" t="s">
        <v>77</v>
      </c>
      <c r="G832" s="124">
        <v>2</v>
      </c>
      <c r="H832" s="124">
        <v>1</v>
      </c>
      <c r="I832" s="126">
        <v>379.66000000000003</v>
      </c>
      <c r="J832" s="126">
        <v>363.30000000000001</v>
      </c>
      <c r="K832" s="126">
        <v>363.30000000000001</v>
      </c>
      <c r="L832" s="127">
        <v>10</v>
      </c>
      <c r="M832" s="126">
        <f t="shared" si="142"/>
        <v>1032509.8100000001</v>
      </c>
      <c r="N832" s="126">
        <v>0</v>
      </c>
      <c r="O832" s="126">
        <v>0</v>
      </c>
      <c r="P832" s="126">
        <v>0</v>
      </c>
      <c r="Q832" s="37">
        <f>'Таблица 3 '!C821</f>
        <v>1032509.8100000001</v>
      </c>
      <c r="R832" s="126">
        <f t="shared" si="143"/>
        <v>1032509.8100000001</v>
      </c>
      <c r="S832" s="126">
        <v>0</v>
      </c>
      <c r="T832" s="126">
        <f t="shared" si="138"/>
        <v>2842.0308560418389</v>
      </c>
      <c r="U832" s="126">
        <f t="shared" si="141"/>
        <v>2842.0308560418389</v>
      </c>
      <c r="V832" s="128" t="s">
        <v>572</v>
      </c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  <c r="AG832" s="47"/>
      <c r="AH832" s="47"/>
      <c r="AI832" s="47"/>
      <c r="AJ832" s="47"/>
      <c r="AK832" s="47"/>
      <c r="AL832" s="47"/>
      <c r="AM832" s="47"/>
      <c r="AN832" s="47"/>
      <c r="AO832" s="47"/>
      <c r="AP832" s="47"/>
      <c r="AQ832" s="47"/>
      <c r="AR832" s="47"/>
      <c r="AS832" s="47"/>
      <c r="AT832" s="47"/>
      <c r="AU832" s="47"/>
      <c r="AV832" s="47"/>
      <c r="AW832" s="47"/>
      <c r="AX832" s="47"/>
      <c r="AY832" s="47"/>
      <c r="AZ832" s="47"/>
      <c r="BA832" s="47"/>
      <c r="BB832" s="47"/>
      <c r="BC832" s="47"/>
      <c r="BD832" s="47"/>
      <c r="BE832" s="47"/>
      <c r="BF832" s="47"/>
      <c r="BG832" s="47"/>
      <c r="BH832" s="47"/>
      <c r="BI832" s="47"/>
      <c r="BJ832" s="47"/>
      <c r="BK832" s="47"/>
      <c r="BL832" s="47"/>
      <c r="BM832" s="47"/>
      <c r="BN832" s="47"/>
      <c r="BO832" s="47"/>
      <c r="BP832" s="47"/>
      <c r="BQ832" s="47"/>
      <c r="BR832" s="47"/>
      <c r="BS832" s="47"/>
      <c r="BT832" s="47"/>
      <c r="BU832" s="47"/>
      <c r="BV832" s="47"/>
      <c r="BW832" s="47"/>
      <c r="BX832" s="47"/>
      <c r="BY832" s="47"/>
      <c r="BZ832" s="47"/>
      <c r="CA832" s="47"/>
      <c r="CB832" s="47"/>
      <c r="CC832" s="47"/>
      <c r="CD832" s="47"/>
      <c r="CE832" s="47"/>
      <c r="CF832" s="47"/>
      <c r="CG832" s="47"/>
      <c r="CH832" s="47"/>
      <c r="CI832" s="47"/>
      <c r="CJ832" s="47"/>
      <c r="CK832" s="47"/>
      <c r="CL832" s="47"/>
      <c r="CM832" s="47"/>
      <c r="CN832" s="47"/>
      <c r="CO832" s="47"/>
      <c r="CP832" s="47"/>
      <c r="CQ832" s="47"/>
    </row>
    <row r="833" s="60" customFormat="1" ht="42.75" customHeight="1">
      <c r="A833" s="33">
        <v>19</v>
      </c>
      <c r="B833" s="118" t="s">
        <v>564</v>
      </c>
      <c r="C833" s="122" t="s">
        <v>43</v>
      </c>
      <c r="D833" s="120" t="s">
        <v>565</v>
      </c>
      <c r="E833" s="120" t="s">
        <v>39</v>
      </c>
      <c r="F833" s="122" t="s">
        <v>566</v>
      </c>
      <c r="G833" s="124">
        <v>2</v>
      </c>
      <c r="H833" s="124">
        <v>3</v>
      </c>
      <c r="I833" s="126">
        <v>423</v>
      </c>
      <c r="J833" s="126">
        <v>341.10000000000002</v>
      </c>
      <c r="K833" s="126">
        <v>341.10000000000002</v>
      </c>
      <c r="L833" s="127">
        <v>20</v>
      </c>
      <c r="M833" s="126">
        <f t="shared" si="142"/>
        <v>3139776.6500000004</v>
      </c>
      <c r="N833" s="126">
        <v>0</v>
      </c>
      <c r="O833" s="126">
        <v>0</v>
      </c>
      <c r="P833" s="126">
        <v>0</v>
      </c>
      <c r="Q833" s="37">
        <f>'Таблица 3 '!C822</f>
        <v>3139776.6500000004</v>
      </c>
      <c r="R833" s="126">
        <f t="shared" si="143"/>
        <v>3139776.6500000004</v>
      </c>
      <c r="S833" s="126">
        <v>0</v>
      </c>
      <c r="T833" s="126">
        <f t="shared" si="138"/>
        <v>9204.856786866023</v>
      </c>
      <c r="U833" s="126">
        <f t="shared" si="141"/>
        <v>9204.856786866023</v>
      </c>
      <c r="V833" s="128" t="s">
        <v>572</v>
      </c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  <c r="AL833" s="31"/>
      <c r="AM833" s="31"/>
      <c r="AN833" s="31"/>
      <c r="AO833" s="31"/>
      <c r="AP833" s="31"/>
      <c r="AQ833" s="31"/>
      <c r="AR833" s="31"/>
      <c r="AS833" s="31"/>
      <c r="AT833" s="31"/>
      <c r="AU833" s="31"/>
      <c r="AV833" s="31"/>
      <c r="AW833" s="31"/>
      <c r="AX833" s="31"/>
      <c r="AY833" s="31"/>
      <c r="AZ833" s="31"/>
      <c r="BA833" s="31"/>
      <c r="BB833" s="31"/>
      <c r="BC833" s="31"/>
      <c r="BD833" s="31"/>
      <c r="BE833" s="31"/>
      <c r="BF833" s="31"/>
      <c r="BG833" s="31"/>
      <c r="BH833" s="31"/>
      <c r="BI833" s="31"/>
      <c r="BJ833" s="31"/>
      <c r="BK833" s="31"/>
      <c r="BL833" s="31"/>
      <c r="BM833" s="31"/>
      <c r="BN833" s="31"/>
      <c r="BO833" s="31"/>
      <c r="BP833" s="31"/>
      <c r="BQ833" s="31"/>
      <c r="BR833" s="31"/>
      <c r="BS833" s="31"/>
      <c r="BT833" s="31"/>
      <c r="BU833" s="31"/>
      <c r="BV833" s="31"/>
      <c r="BW833" s="31"/>
      <c r="BX833" s="31"/>
      <c r="BY833" s="31"/>
      <c r="BZ833" s="31"/>
      <c r="CA833" s="31"/>
      <c r="CB833" s="31"/>
      <c r="CC833" s="31"/>
      <c r="CD833" s="31"/>
      <c r="CE833" s="31"/>
      <c r="CF833" s="31"/>
      <c r="CG833" s="31"/>
      <c r="CH833" s="31"/>
      <c r="CI833" s="31"/>
      <c r="CJ833" s="31"/>
      <c r="CK833" s="31"/>
      <c r="CL833" s="31"/>
      <c r="CM833" s="31"/>
      <c r="CN833" s="31"/>
      <c r="CO833" s="31"/>
      <c r="CP833" s="31"/>
      <c r="CQ833" s="31"/>
    </row>
    <row r="834" s="59" customFormat="1" ht="42.75" customHeight="1">
      <c r="A834" s="33">
        <v>20</v>
      </c>
      <c r="B834" s="118" t="s">
        <v>757</v>
      </c>
      <c r="C834" s="122" t="s">
        <v>43</v>
      </c>
      <c r="D834" s="120" t="s">
        <v>758</v>
      </c>
      <c r="E834" s="120" t="s">
        <v>39</v>
      </c>
      <c r="F834" s="122" t="s">
        <v>566</v>
      </c>
      <c r="G834" s="124">
        <v>2</v>
      </c>
      <c r="H834" s="124">
        <v>2</v>
      </c>
      <c r="I834" s="126">
        <v>316</v>
      </c>
      <c r="J834" s="126">
        <v>295</v>
      </c>
      <c r="K834" s="126">
        <v>259.80000000000001</v>
      </c>
      <c r="L834" s="127">
        <v>16</v>
      </c>
      <c r="M834" s="126">
        <f t="shared" si="142"/>
        <v>2981026.7599999998</v>
      </c>
      <c r="N834" s="126">
        <v>0</v>
      </c>
      <c r="O834" s="126">
        <v>0</v>
      </c>
      <c r="P834" s="126">
        <v>0</v>
      </c>
      <c r="Q834" s="37">
        <f>'Таблица 3 '!C823</f>
        <v>2981026.7599999998</v>
      </c>
      <c r="R834" s="126">
        <f t="shared" si="143"/>
        <v>2981026.7599999998</v>
      </c>
      <c r="S834" s="126">
        <v>0</v>
      </c>
      <c r="T834" s="126">
        <f t="shared" si="138"/>
        <v>10105.175457627118</v>
      </c>
      <c r="U834" s="126">
        <f t="shared" si="141"/>
        <v>10105.175457627118</v>
      </c>
      <c r="V834" s="128" t="s">
        <v>572</v>
      </c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  <c r="AG834" s="47"/>
      <c r="AH834" s="47"/>
      <c r="AI834" s="47"/>
      <c r="AJ834" s="47"/>
      <c r="AK834" s="47"/>
      <c r="AL834" s="47"/>
      <c r="AM834" s="47"/>
      <c r="AN834" s="47"/>
      <c r="AO834" s="47"/>
      <c r="AP834" s="47"/>
      <c r="AQ834" s="47"/>
      <c r="AR834" s="47"/>
      <c r="AS834" s="47"/>
      <c r="AT834" s="47"/>
      <c r="AU834" s="47"/>
      <c r="AV834" s="47"/>
      <c r="AW834" s="47"/>
      <c r="AX834" s="47"/>
      <c r="AY834" s="47"/>
      <c r="AZ834" s="47"/>
      <c r="BA834" s="47"/>
      <c r="BB834" s="47"/>
      <c r="BC834" s="47"/>
      <c r="BD834" s="47"/>
      <c r="BE834" s="47"/>
      <c r="BF834" s="47"/>
      <c r="BG834" s="47"/>
      <c r="BH834" s="47"/>
      <c r="BI834" s="47"/>
      <c r="BJ834" s="47"/>
      <c r="BK834" s="47"/>
      <c r="BL834" s="47"/>
      <c r="BM834" s="47"/>
      <c r="BN834" s="47"/>
      <c r="BO834" s="47"/>
      <c r="BP834" s="47"/>
      <c r="BQ834" s="47"/>
      <c r="BR834" s="47"/>
      <c r="BS834" s="47"/>
      <c r="BT834" s="47"/>
      <c r="BU834" s="47"/>
      <c r="BV834" s="47"/>
      <c r="BW834" s="47"/>
      <c r="BX834" s="47"/>
      <c r="BY834" s="47"/>
      <c r="BZ834" s="47"/>
      <c r="CA834" s="47"/>
      <c r="CB834" s="47"/>
      <c r="CC834" s="47"/>
      <c r="CD834" s="47"/>
      <c r="CE834" s="47"/>
      <c r="CF834" s="47"/>
      <c r="CG834" s="47"/>
      <c r="CH834" s="47"/>
      <c r="CI834" s="47"/>
      <c r="CJ834" s="47"/>
      <c r="CK834" s="47"/>
      <c r="CL834" s="47"/>
      <c r="CM834" s="47"/>
      <c r="CN834" s="47"/>
      <c r="CO834" s="47"/>
      <c r="CP834" s="47"/>
      <c r="CQ834" s="47"/>
    </row>
    <row r="835" s="220" customFormat="1" ht="23.25" customHeight="1">
      <c r="A835" s="221"/>
      <c r="B835" s="221" t="s">
        <v>759</v>
      </c>
      <c r="C835" s="221"/>
      <c r="D835" s="221"/>
      <c r="E835" s="222"/>
      <c r="F835" s="221"/>
      <c r="G835" s="223"/>
      <c r="H835" s="223"/>
      <c r="I835" s="224"/>
      <c r="J835" s="224"/>
      <c r="K835" s="224"/>
      <c r="L835" s="225"/>
      <c r="M835" s="224"/>
      <c r="N835" s="224"/>
      <c r="O835" s="224"/>
      <c r="P835" s="224"/>
      <c r="Q835" s="224"/>
      <c r="R835" s="224"/>
      <c r="S835" s="224"/>
      <c r="T835" s="226"/>
      <c r="U835" s="226"/>
      <c r="V835" s="227"/>
      <c r="W835" s="220"/>
    </row>
    <row r="836" s="31" customFormat="1" ht="23.25" customHeight="1">
      <c r="A836" s="25" t="s">
        <v>760</v>
      </c>
      <c r="B836" s="25"/>
      <c r="C836" s="26" t="s">
        <v>40</v>
      </c>
      <c r="D836" s="26" t="s">
        <v>40</v>
      </c>
      <c r="E836" s="27" t="s">
        <v>40</v>
      </c>
      <c r="F836" s="26" t="s">
        <v>40</v>
      </c>
      <c r="G836" s="28" t="s">
        <v>40</v>
      </c>
      <c r="H836" s="28" t="s">
        <v>40</v>
      </c>
      <c r="I836" s="29">
        <f>I837+I867+I869+I871+I881+I883+I892+I894+I900+I904+I909+I913+I916+I921+I925+I928+I934+I937+I952</f>
        <v>266649.47999999998</v>
      </c>
      <c r="J836" s="29">
        <f>J837+J867+J869+J871+J881+J883+J892+J894+J900+J904+J909+J913+J916+J921+J925+J928+J934+J937+J952</f>
        <v>230460.08000000005</v>
      </c>
      <c r="K836" s="29">
        <f>K837+K867+K869+K871+K881+K883+K892+K894+K900+K904+K909+K913+K916+K921+K925+K928+K934+K937+K952</f>
        <v>176555.44999999998</v>
      </c>
      <c r="L836" s="30">
        <f>L837+L867+L869+L871+L881+L883+L892+L894+L900+L904+L909+L913+L916+L921+L925+L928+L934+L937+L952</f>
        <v>8184</v>
      </c>
      <c r="M836" s="29">
        <f>M837+M867+M869+M871+M881+M883+M892+M894+M900+M904+M909+M913+M916+M921+M925+M928+M934+M937+M952</f>
        <v>767876529.72000003</v>
      </c>
      <c r="N836" s="29">
        <f>N837+N867+N869+N871+N881+N883+N892+N894+N900+N904+N909+N913+N916+N921+N925+N928+N934+N937+N952</f>
        <v>0</v>
      </c>
      <c r="O836" s="29">
        <f>O837+O867+O869+O871+O881+O883+O892+O894+O900+O904+O909+O913+O916+O921+O925+O928+O934+O937+O952</f>
        <v>0</v>
      </c>
      <c r="P836" s="29">
        <f>P837+P867+P869+P871+P881+P883+P892+P894+P900+P904+P909+P913+P916+P921+P925+P928+P934+P937+P952</f>
        <v>0</v>
      </c>
      <c r="Q836" s="29">
        <f>Q837+Q867+Q869+Q871+Q881+Q883+Q892+Q894+Q900+Q904+Q909+Q913+Q916+Q921+Q925+Q928+Q934+Q937+Q952</f>
        <v>782680752.38999999</v>
      </c>
      <c r="R836" s="29">
        <f>R837+R867+R869+R871+R881+R883+R892+R894+R900+R904+R909+R913+R916+R921+R925+R928+R934+R937+R952</f>
        <v>767876529.72000003</v>
      </c>
      <c r="S836" s="29">
        <f>S837+S867+S869+S871+S881+S883+S892+S894+S900+S904+S909+S913+S916+S921+S925+S928+S934+S937+S952</f>
        <v>0</v>
      </c>
      <c r="T836" s="32" t="s">
        <v>40</v>
      </c>
      <c r="U836" s="32" t="s">
        <v>40</v>
      </c>
      <c r="V836" s="28" t="s">
        <v>40</v>
      </c>
      <c r="W836" s="31"/>
    </row>
    <row r="837" s="31" customFormat="1" ht="23.25" customHeight="1">
      <c r="A837" s="25" t="s">
        <v>41</v>
      </c>
      <c r="B837" s="25"/>
      <c r="C837" s="26" t="s">
        <v>39</v>
      </c>
      <c r="D837" s="26" t="s">
        <v>40</v>
      </c>
      <c r="E837" s="27" t="s">
        <v>40</v>
      </c>
      <c r="F837" s="26" t="s">
        <v>40</v>
      </c>
      <c r="G837" s="28" t="s">
        <v>40</v>
      </c>
      <c r="H837" s="28" t="s">
        <v>40</v>
      </c>
      <c r="I837" s="29">
        <f>SUM(I838:I866)</f>
        <v>110593.02999999998</v>
      </c>
      <c r="J837" s="29">
        <f>SUM(J838:J866)</f>
        <v>95939.550000000017</v>
      </c>
      <c r="K837" s="29">
        <f>SUM(K838:K866)</f>
        <v>86469.919999999998</v>
      </c>
      <c r="L837" s="30">
        <f>SUM(L838:L866)</f>
        <v>3615</v>
      </c>
      <c r="M837" s="29">
        <f>SUM(M838:M866)</f>
        <v>280240018.03000003</v>
      </c>
      <c r="N837" s="29">
        <f>SUM(N838:N866)</f>
        <v>0</v>
      </c>
      <c r="O837" s="29">
        <f>SUM(O838:O866)</f>
        <v>0</v>
      </c>
      <c r="P837" s="29">
        <f>SUM(P838:P866)</f>
        <v>0</v>
      </c>
      <c r="Q837" s="29">
        <f>SUM(Q838:Q866)</f>
        <v>280240018.03000003</v>
      </c>
      <c r="R837" s="29">
        <f>SUM(R838:R866)</f>
        <v>280240018.03000003</v>
      </c>
      <c r="S837" s="29">
        <f>SUM(S838:S866)</f>
        <v>0</v>
      </c>
      <c r="T837" s="32" t="s">
        <v>40</v>
      </c>
      <c r="U837" s="32" t="s">
        <v>40</v>
      </c>
      <c r="V837" s="28" t="s">
        <v>40</v>
      </c>
      <c r="W837" s="31"/>
    </row>
    <row r="838" s="31" customFormat="1" ht="42" customHeight="1">
      <c r="A838" s="33">
        <v>1</v>
      </c>
      <c r="B838" s="34" t="s">
        <v>66</v>
      </c>
      <c r="C838" s="33" t="s">
        <v>43</v>
      </c>
      <c r="D838" s="33">
        <v>1988</v>
      </c>
      <c r="E838" s="35" t="s">
        <v>47</v>
      </c>
      <c r="F838" s="33" t="s">
        <v>48</v>
      </c>
      <c r="G838" s="36">
        <v>5</v>
      </c>
      <c r="H838" s="36">
        <v>6</v>
      </c>
      <c r="I838" s="40">
        <v>4502.1000000000004</v>
      </c>
      <c r="J838" s="40">
        <v>4488.3000000000002</v>
      </c>
      <c r="K838" s="40">
        <v>4204.1999999999998</v>
      </c>
      <c r="L838" s="48">
        <v>220</v>
      </c>
      <c r="M838" s="40">
        <f t="shared" ref="M838:M866" si="144">SUM(N838:Q838)</f>
        <v>10658612.869999999</v>
      </c>
      <c r="N838" s="40">
        <v>0</v>
      </c>
      <c r="O838" s="40">
        <v>0</v>
      </c>
      <c r="P838" s="40">
        <v>0</v>
      </c>
      <c r="Q838" s="40">
        <f>'Таблица 3 '!C827</f>
        <v>10658612.869999999</v>
      </c>
      <c r="R838" s="40">
        <f t="shared" ref="R838:R866" si="145">Q838</f>
        <v>10658612.869999999</v>
      </c>
      <c r="S838" s="40">
        <v>0</v>
      </c>
      <c r="T838" s="37">
        <f t="shared" si="138"/>
        <v>2374.755000779805</v>
      </c>
      <c r="U838" s="37">
        <f t="shared" si="141"/>
        <v>2374.755000779805</v>
      </c>
      <c r="V838" s="41" t="s">
        <v>761</v>
      </c>
      <c r="W838" s="31"/>
    </row>
    <row r="839" s="31" customFormat="1" ht="42" customHeight="1">
      <c r="A839" s="33">
        <v>2</v>
      </c>
      <c r="B839" s="34" t="s">
        <v>71</v>
      </c>
      <c r="C839" s="43" t="s">
        <v>43</v>
      </c>
      <c r="D839" s="35">
        <v>1996</v>
      </c>
      <c r="E839" s="44" t="s">
        <v>625</v>
      </c>
      <c r="F839" s="33" t="s">
        <v>48</v>
      </c>
      <c r="G839" s="45">
        <v>5</v>
      </c>
      <c r="H839" s="36">
        <v>2</v>
      </c>
      <c r="I839" s="46">
        <v>3235.8000000000002</v>
      </c>
      <c r="J839" s="37">
        <v>2361.9000000000001</v>
      </c>
      <c r="K839" s="46">
        <v>2031</v>
      </c>
      <c r="L839" s="38">
        <v>89</v>
      </c>
      <c r="M839" s="39">
        <f t="shared" si="144"/>
        <v>5608933.8300000001</v>
      </c>
      <c r="N839" s="46">
        <v>0</v>
      </c>
      <c r="O839" s="37">
        <v>0</v>
      </c>
      <c r="P839" s="46">
        <v>0</v>
      </c>
      <c r="Q839" s="40">
        <f>'Таблица 3 '!C828</f>
        <v>5608933.8300000001</v>
      </c>
      <c r="R839" s="46">
        <f t="shared" si="145"/>
        <v>5608933.8300000001</v>
      </c>
      <c r="S839" s="37">
        <v>0</v>
      </c>
      <c r="T839" s="46">
        <f t="shared" si="138"/>
        <v>2374.7549980947542</v>
      </c>
      <c r="U839" s="37">
        <f t="shared" si="141"/>
        <v>2374.7549980947542</v>
      </c>
      <c r="V839" s="41" t="s">
        <v>761</v>
      </c>
      <c r="W839" s="47"/>
    </row>
    <row r="840" s="31" customFormat="1" ht="42" customHeight="1">
      <c r="A840" s="33">
        <v>3</v>
      </c>
      <c r="B840" s="34" t="s">
        <v>579</v>
      </c>
      <c r="C840" s="33" t="s">
        <v>43</v>
      </c>
      <c r="D840" s="33">
        <v>1988</v>
      </c>
      <c r="E840" s="35" t="s">
        <v>60</v>
      </c>
      <c r="F840" s="33" t="s">
        <v>48</v>
      </c>
      <c r="G840" s="36">
        <v>9</v>
      </c>
      <c r="H840" s="36">
        <v>12</v>
      </c>
      <c r="I840" s="40">
        <v>21879.400000000001</v>
      </c>
      <c r="J840" s="40">
        <v>21878.900000000001</v>
      </c>
      <c r="K840" s="40">
        <v>20855.799999999999</v>
      </c>
      <c r="L840" s="48">
        <v>855</v>
      </c>
      <c r="M840" s="40">
        <f t="shared" si="144"/>
        <v>63242316.950000003</v>
      </c>
      <c r="N840" s="40">
        <v>0</v>
      </c>
      <c r="O840" s="40">
        <v>0</v>
      </c>
      <c r="P840" s="40">
        <v>0</v>
      </c>
      <c r="Q840" s="40">
        <f>'Таблица 3 '!C829</f>
        <v>63242316.950000003</v>
      </c>
      <c r="R840" s="40">
        <f t="shared" si="145"/>
        <v>63242316.950000003</v>
      </c>
      <c r="S840" s="40">
        <v>0</v>
      </c>
      <c r="T840" s="37">
        <f t="shared" si="138"/>
        <v>2890.5620003747904</v>
      </c>
      <c r="U840" s="37">
        <f t="shared" si="141"/>
        <v>2890.5620003747904</v>
      </c>
      <c r="V840" s="41" t="s">
        <v>761</v>
      </c>
      <c r="W840" s="31"/>
    </row>
    <row r="841" s="31" customFormat="1" ht="42" customHeight="1">
      <c r="A841" s="33">
        <v>4</v>
      </c>
      <c r="B841" s="34" t="s">
        <v>92</v>
      </c>
      <c r="C841" s="43" t="s">
        <v>43</v>
      </c>
      <c r="D841" s="33">
        <v>1963</v>
      </c>
      <c r="E841" s="44" t="s">
        <v>39</v>
      </c>
      <c r="F841" s="33" t="s">
        <v>44</v>
      </c>
      <c r="G841" s="45">
        <v>2</v>
      </c>
      <c r="H841" s="36">
        <v>1</v>
      </c>
      <c r="I841" s="46">
        <v>322.30000000000001</v>
      </c>
      <c r="J841" s="37">
        <v>322.30000000000001</v>
      </c>
      <c r="K841" s="46">
        <v>213.5</v>
      </c>
      <c r="L841" s="38">
        <v>16</v>
      </c>
      <c r="M841" s="39">
        <f t="shared" si="144"/>
        <v>571815.57000000007</v>
      </c>
      <c r="N841" s="46">
        <v>0</v>
      </c>
      <c r="O841" s="37">
        <v>0</v>
      </c>
      <c r="P841" s="46">
        <v>0</v>
      </c>
      <c r="Q841" s="40">
        <f>'Таблица 3 '!C830</f>
        <v>571815.57000000007</v>
      </c>
      <c r="R841" s="46">
        <f t="shared" si="145"/>
        <v>571815.57000000007</v>
      </c>
      <c r="S841" s="37">
        <v>0</v>
      </c>
      <c r="T841" s="46">
        <f t="shared" si="138"/>
        <v>1774.1717964629229</v>
      </c>
      <c r="U841" s="37">
        <f t="shared" si="141"/>
        <v>1774.1717964629229</v>
      </c>
      <c r="V841" s="41" t="s">
        <v>761</v>
      </c>
      <c r="W841" s="47"/>
    </row>
    <row r="842" s="31" customFormat="1" ht="42" customHeight="1">
      <c r="A842" s="33">
        <v>5</v>
      </c>
      <c r="B842" s="34" t="s">
        <v>120</v>
      </c>
      <c r="C842" s="33" t="s">
        <v>43</v>
      </c>
      <c r="D842" s="33">
        <v>1975</v>
      </c>
      <c r="E842" s="35" t="s">
        <v>57</v>
      </c>
      <c r="F842" s="33" t="s">
        <v>77</v>
      </c>
      <c r="G842" s="36">
        <v>5</v>
      </c>
      <c r="H842" s="36">
        <v>3</v>
      </c>
      <c r="I842" s="40">
        <v>2805.0999999999999</v>
      </c>
      <c r="J842" s="40">
        <v>3154.5999999999999</v>
      </c>
      <c r="K842" s="40">
        <v>2713.5</v>
      </c>
      <c r="L842" s="48">
        <v>72</v>
      </c>
      <c r="M842" s="40">
        <f t="shared" si="144"/>
        <v>6591735.9000000004</v>
      </c>
      <c r="N842" s="40">
        <v>0</v>
      </c>
      <c r="O842" s="40">
        <v>0</v>
      </c>
      <c r="P842" s="40">
        <v>0</v>
      </c>
      <c r="Q842" s="40">
        <f>'Таблица 3 '!C831</f>
        <v>6591735.9000000004</v>
      </c>
      <c r="R842" s="40">
        <f t="shared" si="145"/>
        <v>6591735.9000000004</v>
      </c>
      <c r="S842" s="40">
        <v>0</v>
      </c>
      <c r="T842" s="37">
        <f t="shared" si="138"/>
        <v>2089.563145882204</v>
      </c>
      <c r="U842" s="37">
        <f t="shared" si="141"/>
        <v>2089.563145882204</v>
      </c>
      <c r="V842" s="41" t="s">
        <v>761</v>
      </c>
      <c r="W842" s="31"/>
    </row>
    <row r="843" s="31" customFormat="1" ht="42" customHeight="1">
      <c r="A843" s="33">
        <v>6</v>
      </c>
      <c r="B843" s="34" t="s">
        <v>125</v>
      </c>
      <c r="C843" s="33" t="s">
        <v>43</v>
      </c>
      <c r="D843" s="35" t="s">
        <v>126</v>
      </c>
      <c r="E843" s="35" t="s">
        <v>39</v>
      </c>
      <c r="F843" s="33" t="s">
        <v>44</v>
      </c>
      <c r="G843" s="36">
        <v>4</v>
      </c>
      <c r="H843" s="36">
        <v>1</v>
      </c>
      <c r="I843" s="37">
        <v>869.89999999999998</v>
      </c>
      <c r="J843" s="37">
        <v>847.10000000000002</v>
      </c>
      <c r="K843" s="37">
        <v>642.70000000000005</v>
      </c>
      <c r="L843" s="38">
        <v>52</v>
      </c>
      <c r="M843" s="39">
        <f t="shared" si="144"/>
        <v>574714.92000000004</v>
      </c>
      <c r="N843" s="37">
        <v>0</v>
      </c>
      <c r="O843" s="37">
        <v>0</v>
      </c>
      <c r="P843" s="37">
        <v>0</v>
      </c>
      <c r="Q843" s="40">
        <f>'Таблица 3 '!C832</f>
        <v>574714.92000000004</v>
      </c>
      <c r="R843" s="37">
        <f t="shared" si="145"/>
        <v>574714.92000000004</v>
      </c>
      <c r="S843" s="37">
        <v>0</v>
      </c>
      <c r="T843" s="37">
        <f t="shared" si="138"/>
        <v>678.44991146263726</v>
      </c>
      <c r="U843" s="37">
        <f t="shared" si="141"/>
        <v>678.44991146263726</v>
      </c>
      <c r="V843" s="41" t="s">
        <v>761</v>
      </c>
      <c r="W843" s="31"/>
    </row>
    <row r="844" s="31" customFormat="1" ht="42" customHeight="1">
      <c r="A844" s="33">
        <v>7</v>
      </c>
      <c r="B844" s="34" t="s">
        <v>139</v>
      </c>
      <c r="C844" s="33" t="s">
        <v>43</v>
      </c>
      <c r="D844" s="33">
        <v>1962</v>
      </c>
      <c r="E844" s="35" t="s">
        <v>140</v>
      </c>
      <c r="F844" s="33" t="s">
        <v>77</v>
      </c>
      <c r="G844" s="36">
        <v>3</v>
      </c>
      <c r="H844" s="36">
        <v>2</v>
      </c>
      <c r="I844" s="40">
        <v>1265.4000000000001</v>
      </c>
      <c r="J844" s="40">
        <v>1266.2</v>
      </c>
      <c r="K844" s="40">
        <v>1266.4000000000001</v>
      </c>
      <c r="L844" s="48">
        <v>47</v>
      </c>
      <c r="M844" s="40">
        <f t="shared" si="144"/>
        <v>8555482.6699999999</v>
      </c>
      <c r="N844" s="40">
        <v>0</v>
      </c>
      <c r="O844" s="40">
        <v>0</v>
      </c>
      <c r="P844" s="40">
        <v>0</v>
      </c>
      <c r="Q844" s="40">
        <f>'Таблица 3 '!C833</f>
        <v>8555482.6699999999</v>
      </c>
      <c r="R844" s="40">
        <f t="shared" si="145"/>
        <v>8555482.6699999999</v>
      </c>
      <c r="S844" s="40">
        <v>0</v>
      </c>
      <c r="T844" s="37">
        <f t="shared" si="138"/>
        <v>6756.817777602274</v>
      </c>
      <c r="U844" s="37">
        <f t="shared" si="141"/>
        <v>6756.817777602274</v>
      </c>
      <c r="V844" s="41" t="s">
        <v>761</v>
      </c>
      <c r="W844" s="31"/>
    </row>
    <row r="845" s="31" customFormat="1" ht="42" customHeight="1">
      <c r="A845" s="33">
        <v>8</v>
      </c>
      <c r="B845" s="34" t="s">
        <v>142</v>
      </c>
      <c r="C845" s="33" t="s">
        <v>43</v>
      </c>
      <c r="D845" s="33">
        <v>1991</v>
      </c>
      <c r="E845" s="35" t="s">
        <v>57</v>
      </c>
      <c r="F845" s="33" t="s">
        <v>77</v>
      </c>
      <c r="G845" s="36">
        <v>5</v>
      </c>
      <c r="H845" s="36">
        <v>4</v>
      </c>
      <c r="I845" s="40">
        <v>2884.5999999999999</v>
      </c>
      <c r="J845" s="40">
        <v>2831</v>
      </c>
      <c r="K845" s="40">
        <v>2831</v>
      </c>
      <c r="L845" s="48">
        <v>113</v>
      </c>
      <c r="M845" s="40">
        <f t="shared" si="144"/>
        <v>2275676.1400000001</v>
      </c>
      <c r="N845" s="40">
        <v>0</v>
      </c>
      <c r="O845" s="40">
        <v>0</v>
      </c>
      <c r="P845" s="40">
        <v>0</v>
      </c>
      <c r="Q845" s="40">
        <f>'Таблица 3 '!C834</f>
        <v>2275676.1400000001</v>
      </c>
      <c r="R845" s="40">
        <f t="shared" si="145"/>
        <v>2275676.1400000001</v>
      </c>
      <c r="S845" s="40">
        <v>0</v>
      </c>
      <c r="T845" s="37">
        <f t="shared" si="138"/>
        <v>803.84180148357473</v>
      </c>
      <c r="U845" s="37">
        <f t="shared" si="141"/>
        <v>803.84180148357473</v>
      </c>
      <c r="V845" s="41" t="s">
        <v>761</v>
      </c>
      <c r="W845" s="31"/>
    </row>
    <row r="846" s="31" customFormat="1" ht="42" customHeight="1">
      <c r="A846" s="33">
        <v>9</v>
      </c>
      <c r="B846" s="53" t="s">
        <v>159</v>
      </c>
      <c r="C846" s="33" t="s">
        <v>43</v>
      </c>
      <c r="D846" s="33">
        <v>1948</v>
      </c>
      <c r="E846" s="35" t="s">
        <v>160</v>
      </c>
      <c r="F846" s="33" t="s">
        <v>77</v>
      </c>
      <c r="G846" s="36">
        <v>2</v>
      </c>
      <c r="H846" s="36">
        <v>2</v>
      </c>
      <c r="I846" s="40">
        <v>893.5</v>
      </c>
      <c r="J846" s="40">
        <v>778.79999999999995</v>
      </c>
      <c r="K846" s="40">
        <v>546.29999999999995</v>
      </c>
      <c r="L846" s="48">
        <v>23</v>
      </c>
      <c r="M846" s="40">
        <f t="shared" si="144"/>
        <v>2016304.4399999999</v>
      </c>
      <c r="N846" s="40">
        <v>0</v>
      </c>
      <c r="O846" s="40">
        <v>0</v>
      </c>
      <c r="P846" s="40">
        <v>0</v>
      </c>
      <c r="Q846" s="40">
        <f>'Таблица 3 '!C835</f>
        <v>2016304.4399999999</v>
      </c>
      <c r="R846" s="40">
        <f t="shared" si="145"/>
        <v>2016304.4399999999</v>
      </c>
      <c r="S846" s="40">
        <v>0</v>
      </c>
      <c r="T846" s="37">
        <f t="shared" si="138"/>
        <v>2588.9887519260401</v>
      </c>
      <c r="U846" s="37">
        <f t="shared" si="141"/>
        <v>2588.9887519260401</v>
      </c>
      <c r="V846" s="41" t="s">
        <v>761</v>
      </c>
      <c r="W846" s="31"/>
    </row>
    <row r="847" s="31" customFormat="1" ht="42" customHeight="1">
      <c r="A847" s="33">
        <v>10</v>
      </c>
      <c r="B847" s="34" t="s">
        <v>171</v>
      </c>
      <c r="C847" s="33" t="s">
        <v>43</v>
      </c>
      <c r="D847" s="35" t="s">
        <v>168</v>
      </c>
      <c r="E847" s="35" t="s">
        <v>39</v>
      </c>
      <c r="F847" s="33" t="s">
        <v>48</v>
      </c>
      <c r="G847" s="36">
        <v>5</v>
      </c>
      <c r="H847" s="36">
        <v>6</v>
      </c>
      <c r="I847" s="37">
        <v>5866.3999999999996</v>
      </c>
      <c r="J847" s="37">
        <v>5742.8000000000002</v>
      </c>
      <c r="K847" s="37">
        <v>5694.1000000000004</v>
      </c>
      <c r="L847" s="38">
        <v>268</v>
      </c>
      <c r="M847" s="39">
        <f t="shared" si="144"/>
        <v>13637732.800000001</v>
      </c>
      <c r="N847" s="37">
        <v>0</v>
      </c>
      <c r="O847" s="37">
        <v>0</v>
      </c>
      <c r="P847" s="37">
        <v>0</v>
      </c>
      <c r="Q847" s="40">
        <f>'Таблица 3 '!C836</f>
        <v>13637732.800000001</v>
      </c>
      <c r="R847" s="40">
        <f t="shared" si="145"/>
        <v>13637732.800000001</v>
      </c>
      <c r="S847" s="40">
        <v>0</v>
      </c>
      <c r="T847" s="37">
        <f t="shared" si="138"/>
        <v>2374.7532214250887</v>
      </c>
      <c r="U847" s="37">
        <f t="shared" si="141"/>
        <v>2374.7532214250887</v>
      </c>
      <c r="V847" s="41" t="s">
        <v>761</v>
      </c>
      <c r="W847" s="31"/>
    </row>
    <row r="848" s="31" customFormat="1" ht="42" customHeight="1">
      <c r="A848" s="33">
        <v>11</v>
      </c>
      <c r="B848" s="34" t="s">
        <v>762</v>
      </c>
      <c r="C848" s="33" t="s">
        <v>43</v>
      </c>
      <c r="D848" s="33">
        <v>1987</v>
      </c>
      <c r="E848" s="35" t="s">
        <v>39</v>
      </c>
      <c r="F848" s="33" t="s">
        <v>77</v>
      </c>
      <c r="G848" s="36">
        <v>5</v>
      </c>
      <c r="H848" s="36">
        <v>4</v>
      </c>
      <c r="I848" s="40">
        <v>2770.9000000000001</v>
      </c>
      <c r="J848" s="40">
        <v>2770.9000000000001</v>
      </c>
      <c r="K848" s="40">
        <v>2737.8000000000002</v>
      </c>
      <c r="L848" s="48">
        <v>99</v>
      </c>
      <c r="M848" s="40">
        <f t="shared" si="144"/>
        <v>5389838.4000000004</v>
      </c>
      <c r="N848" s="40">
        <v>0</v>
      </c>
      <c r="O848" s="40">
        <v>0</v>
      </c>
      <c r="P848" s="40">
        <v>0</v>
      </c>
      <c r="Q848" s="40">
        <f>'Таблица 3 '!C837</f>
        <v>5389838.4000000004</v>
      </c>
      <c r="R848" s="40">
        <f t="shared" si="145"/>
        <v>5389838.4000000004</v>
      </c>
      <c r="S848" s="40">
        <v>0</v>
      </c>
      <c r="T848" s="37">
        <f t="shared" si="138"/>
        <v>1945.1580352953915</v>
      </c>
      <c r="U848" s="37">
        <f t="shared" si="141"/>
        <v>1945.1580352953915</v>
      </c>
      <c r="V848" s="41" t="s">
        <v>761</v>
      </c>
      <c r="W848" s="31"/>
    </row>
    <row r="849" s="31" customFormat="1" ht="42" customHeight="1">
      <c r="A849" s="33">
        <v>12</v>
      </c>
      <c r="B849" s="34" t="s">
        <v>192</v>
      </c>
      <c r="C849" s="33" t="s">
        <v>43</v>
      </c>
      <c r="D849" s="33">
        <v>1975</v>
      </c>
      <c r="E849" s="35" t="s">
        <v>39</v>
      </c>
      <c r="F849" s="33" t="s">
        <v>77</v>
      </c>
      <c r="G849" s="36">
        <v>2</v>
      </c>
      <c r="H849" s="36">
        <v>2</v>
      </c>
      <c r="I849" s="40">
        <v>1005.1</v>
      </c>
      <c r="J849" s="40">
        <v>917.39999999999998</v>
      </c>
      <c r="K849" s="40">
        <v>640</v>
      </c>
      <c r="L849" s="48">
        <v>41</v>
      </c>
      <c r="M849" s="40">
        <f t="shared" si="144"/>
        <v>1532603.71</v>
      </c>
      <c r="N849" s="40">
        <v>0</v>
      </c>
      <c r="O849" s="40">
        <v>0</v>
      </c>
      <c r="P849" s="40">
        <v>0</v>
      </c>
      <c r="Q849" s="40">
        <f>'Таблица 3 '!C838</f>
        <v>1532603.71</v>
      </c>
      <c r="R849" s="40">
        <f t="shared" si="145"/>
        <v>1532603.71</v>
      </c>
      <c r="S849" s="40">
        <v>0</v>
      </c>
      <c r="T849" s="37">
        <f t="shared" si="138"/>
        <v>1670.5948441247003</v>
      </c>
      <c r="U849" s="37">
        <f t="shared" si="141"/>
        <v>1670.5948441247003</v>
      </c>
      <c r="V849" s="41" t="s">
        <v>761</v>
      </c>
      <c r="W849" s="31"/>
    </row>
    <row r="850" s="31" customFormat="1" ht="42" customHeight="1">
      <c r="A850" s="33">
        <v>13</v>
      </c>
      <c r="B850" s="34" t="s">
        <v>615</v>
      </c>
      <c r="C850" s="33" t="s">
        <v>43</v>
      </c>
      <c r="D850" s="33">
        <v>1974</v>
      </c>
      <c r="E850" s="35" t="s">
        <v>39</v>
      </c>
      <c r="F850" s="33" t="s">
        <v>77</v>
      </c>
      <c r="G850" s="36">
        <v>9</v>
      </c>
      <c r="H850" s="36">
        <v>1</v>
      </c>
      <c r="I850" s="40">
        <v>3122.0999999999999</v>
      </c>
      <c r="J850" s="40">
        <v>3119.8000000000002</v>
      </c>
      <c r="K850" s="40">
        <v>2064.4000000000001</v>
      </c>
      <c r="L850" s="48">
        <v>74</v>
      </c>
      <c r="M850" s="40">
        <f t="shared" si="144"/>
        <v>5375431.0700000003</v>
      </c>
      <c r="N850" s="40">
        <v>0</v>
      </c>
      <c r="O850" s="40">
        <v>0</v>
      </c>
      <c r="P850" s="40">
        <v>0</v>
      </c>
      <c r="Q850" s="40">
        <f>'Таблица 3 '!C839</f>
        <v>5375431.0700000003</v>
      </c>
      <c r="R850" s="40">
        <f t="shared" si="145"/>
        <v>5375431.0700000003</v>
      </c>
      <c r="S850" s="40">
        <v>0</v>
      </c>
      <c r="T850" s="37">
        <f t="shared" si="138"/>
        <v>1723.005022757869</v>
      </c>
      <c r="U850" s="37">
        <f t="shared" si="141"/>
        <v>1723.005022757869</v>
      </c>
      <c r="V850" s="41" t="s">
        <v>761</v>
      </c>
      <c r="W850" s="31"/>
    </row>
    <row r="851" s="31" customFormat="1" ht="42" customHeight="1">
      <c r="A851" s="33">
        <v>14</v>
      </c>
      <c r="B851" s="34" t="s">
        <v>616</v>
      </c>
      <c r="C851" s="33" t="s">
        <v>43</v>
      </c>
      <c r="D851" s="33">
        <v>2003</v>
      </c>
      <c r="E851" s="35" t="s">
        <v>39</v>
      </c>
      <c r="F851" s="33" t="s">
        <v>77</v>
      </c>
      <c r="G851" s="36">
        <v>9</v>
      </c>
      <c r="H851" s="36">
        <v>4</v>
      </c>
      <c r="I851" s="40">
        <v>5798.6000000000004</v>
      </c>
      <c r="J851" s="40">
        <v>5795.5</v>
      </c>
      <c r="K851" s="40">
        <v>4014.5999999999999</v>
      </c>
      <c r="L851" s="48">
        <v>185</v>
      </c>
      <c r="M851" s="40">
        <f t="shared" si="144"/>
        <v>16126293.210000001</v>
      </c>
      <c r="N851" s="40">
        <v>0</v>
      </c>
      <c r="O851" s="40">
        <v>0</v>
      </c>
      <c r="P851" s="40">
        <v>0</v>
      </c>
      <c r="Q851" s="40">
        <f>'Таблица 3 '!C840</f>
        <v>16126293.210000001</v>
      </c>
      <c r="R851" s="40">
        <f t="shared" si="145"/>
        <v>16126293.210000001</v>
      </c>
      <c r="S851" s="40">
        <v>0</v>
      </c>
      <c r="T851" s="37">
        <f t="shared" si="138"/>
        <v>2782.5542593391424</v>
      </c>
      <c r="U851" s="37">
        <f t="shared" si="141"/>
        <v>2782.5542593391424</v>
      </c>
      <c r="V851" s="41" t="s">
        <v>761</v>
      </c>
      <c r="W851" s="31"/>
    </row>
    <row r="852" s="31" customFormat="1" ht="42" customHeight="1">
      <c r="A852" s="33">
        <v>15</v>
      </c>
      <c r="B852" s="34" t="s">
        <v>617</v>
      </c>
      <c r="C852" s="33" t="s">
        <v>43</v>
      </c>
      <c r="D852" s="33">
        <v>2004</v>
      </c>
      <c r="E852" s="35" t="s">
        <v>39</v>
      </c>
      <c r="F852" s="33" t="s">
        <v>77</v>
      </c>
      <c r="G852" s="36">
        <v>9</v>
      </c>
      <c r="H852" s="36">
        <v>4</v>
      </c>
      <c r="I852" s="40">
        <v>5912.6999999999998</v>
      </c>
      <c r="J852" s="40">
        <v>5912.3000000000002</v>
      </c>
      <c r="K852" s="40">
        <v>4519.3999999999996</v>
      </c>
      <c r="L852" s="48">
        <v>182</v>
      </c>
      <c r="M852" s="40">
        <f t="shared" si="144"/>
        <v>16126293.210000001</v>
      </c>
      <c r="N852" s="40">
        <v>0</v>
      </c>
      <c r="O852" s="40">
        <v>0</v>
      </c>
      <c r="P852" s="40">
        <v>0</v>
      </c>
      <c r="Q852" s="40">
        <f>'Таблица 3 '!C841</f>
        <v>16126293.210000001</v>
      </c>
      <c r="R852" s="40">
        <f t="shared" si="145"/>
        <v>16126293.210000001</v>
      </c>
      <c r="S852" s="40">
        <v>0</v>
      </c>
      <c r="T852" s="37">
        <f t="shared" si="138"/>
        <v>2727.5837169967695</v>
      </c>
      <c r="U852" s="37">
        <f t="shared" si="141"/>
        <v>2727.5837169967695</v>
      </c>
      <c r="V852" s="41" t="s">
        <v>761</v>
      </c>
      <c r="W852" s="31"/>
    </row>
    <row r="853" s="31" customFormat="1" ht="47.25" customHeight="1">
      <c r="A853" s="33">
        <v>16</v>
      </c>
      <c r="B853" s="34" t="s">
        <v>763</v>
      </c>
      <c r="C853" s="33" t="s">
        <v>43</v>
      </c>
      <c r="D853" s="35" t="s">
        <v>227</v>
      </c>
      <c r="E853" s="35" t="s">
        <v>140</v>
      </c>
      <c r="F853" s="33" t="s">
        <v>44</v>
      </c>
      <c r="G853" s="36">
        <v>3</v>
      </c>
      <c r="H853" s="36">
        <v>3</v>
      </c>
      <c r="I853" s="37">
        <v>3007.0599999999999</v>
      </c>
      <c r="J853" s="37">
        <v>1992.4000000000001</v>
      </c>
      <c r="K853" s="37">
        <v>1542.4000000000001</v>
      </c>
      <c r="L853" s="38">
        <v>36</v>
      </c>
      <c r="M853" s="39">
        <f t="shared" si="144"/>
        <v>27467643.969999999</v>
      </c>
      <c r="N853" s="37">
        <v>0</v>
      </c>
      <c r="O853" s="37">
        <v>0</v>
      </c>
      <c r="P853" s="37">
        <v>0</v>
      </c>
      <c r="Q853" s="40">
        <f>'Таблица 3 '!C842</f>
        <v>27467643.969999999</v>
      </c>
      <c r="R853" s="37">
        <f t="shared" si="145"/>
        <v>27467643.969999999</v>
      </c>
      <c r="S853" s="37">
        <v>0</v>
      </c>
      <c r="T853" s="37">
        <f t="shared" ref="T853:T916" si="146">M853/J853</f>
        <v>13786.209581409354</v>
      </c>
      <c r="U853" s="37">
        <f t="shared" si="141"/>
        <v>13786.209581409354</v>
      </c>
      <c r="V853" s="41" t="s">
        <v>761</v>
      </c>
      <c r="W853" s="31"/>
    </row>
    <row r="854" s="31" customFormat="1" ht="42" customHeight="1">
      <c r="A854" s="33">
        <v>17</v>
      </c>
      <c r="B854" s="34" t="s">
        <v>624</v>
      </c>
      <c r="C854" s="33" t="s">
        <v>43</v>
      </c>
      <c r="D854" s="33">
        <v>1959</v>
      </c>
      <c r="E854" s="35" t="s">
        <v>40</v>
      </c>
      <c r="F854" s="33" t="s">
        <v>77</v>
      </c>
      <c r="G854" s="36">
        <v>2</v>
      </c>
      <c r="H854" s="36">
        <v>1</v>
      </c>
      <c r="I854" s="40">
        <v>476.94999999999999</v>
      </c>
      <c r="J854" s="40">
        <v>260.39999999999998</v>
      </c>
      <c r="K854" s="40">
        <v>224.90000000000001</v>
      </c>
      <c r="L854" s="48">
        <v>8</v>
      </c>
      <c r="M854" s="40">
        <f t="shared" si="144"/>
        <v>4189769.8100000001</v>
      </c>
      <c r="N854" s="40">
        <v>0</v>
      </c>
      <c r="O854" s="40">
        <v>0</v>
      </c>
      <c r="P854" s="40">
        <v>0</v>
      </c>
      <c r="Q854" s="40">
        <f>'Таблица 3 '!C843</f>
        <v>4189769.8100000001</v>
      </c>
      <c r="R854" s="40">
        <f t="shared" si="145"/>
        <v>4189769.8100000001</v>
      </c>
      <c r="S854" s="40">
        <v>0</v>
      </c>
      <c r="T854" s="37">
        <f t="shared" si="146"/>
        <v>16089.745814132106</v>
      </c>
      <c r="U854" s="37">
        <f t="shared" si="141"/>
        <v>16089.745814132106</v>
      </c>
      <c r="V854" s="41" t="s">
        <v>761</v>
      </c>
      <c r="W854" s="31"/>
    </row>
    <row r="855" s="31" customFormat="1" ht="42" customHeight="1">
      <c r="A855" s="33">
        <v>18</v>
      </c>
      <c r="B855" s="42" t="s">
        <v>224</v>
      </c>
      <c r="C855" s="43" t="s">
        <v>43</v>
      </c>
      <c r="D855" s="35" t="s">
        <v>225</v>
      </c>
      <c r="E855" s="44" t="s">
        <v>39</v>
      </c>
      <c r="F855" s="33" t="s">
        <v>44</v>
      </c>
      <c r="G855" s="45">
        <v>2</v>
      </c>
      <c r="H855" s="36">
        <v>1</v>
      </c>
      <c r="I855" s="46">
        <v>486.74000000000001</v>
      </c>
      <c r="J855" s="37">
        <v>267</v>
      </c>
      <c r="K855" s="46">
        <v>264.80000000000001</v>
      </c>
      <c r="L855" s="38">
        <v>10</v>
      </c>
      <c r="M855" s="39">
        <f t="shared" si="144"/>
        <v>792233.58999999997</v>
      </c>
      <c r="N855" s="46">
        <v>0</v>
      </c>
      <c r="O855" s="37">
        <v>0</v>
      </c>
      <c r="P855" s="46">
        <v>0</v>
      </c>
      <c r="Q855" s="40">
        <f>'Таблица 3 '!C844</f>
        <v>792233.58999999997</v>
      </c>
      <c r="R855" s="46">
        <f t="shared" si="145"/>
        <v>792233.58999999997</v>
      </c>
      <c r="S855" s="37">
        <v>0</v>
      </c>
      <c r="T855" s="46">
        <f t="shared" si="146"/>
        <v>2967.1670037453182</v>
      </c>
      <c r="U855" s="37">
        <f t="shared" si="141"/>
        <v>2967.1670037453182</v>
      </c>
      <c r="V855" s="41" t="s">
        <v>761</v>
      </c>
      <c r="W855" s="47"/>
    </row>
    <row r="856" s="31" customFormat="1" ht="42" customHeight="1">
      <c r="A856" s="33">
        <v>19</v>
      </c>
      <c r="B856" s="34" t="s">
        <v>229</v>
      </c>
      <c r="C856" s="33" t="s">
        <v>43</v>
      </c>
      <c r="D856" s="35" t="s">
        <v>230</v>
      </c>
      <c r="E856" s="35" t="s">
        <v>39</v>
      </c>
      <c r="F856" s="33" t="s">
        <v>44</v>
      </c>
      <c r="G856" s="36">
        <v>3</v>
      </c>
      <c r="H856" s="36">
        <v>2</v>
      </c>
      <c r="I856" s="37">
        <v>2481.8400000000001</v>
      </c>
      <c r="J856" s="37">
        <v>1356.4000000000001</v>
      </c>
      <c r="K856" s="37">
        <v>1737.72</v>
      </c>
      <c r="L856" s="38">
        <v>37</v>
      </c>
      <c r="M856" s="40">
        <f t="shared" si="144"/>
        <v>6704510.4400000004</v>
      </c>
      <c r="N856" s="40">
        <v>0</v>
      </c>
      <c r="O856" s="40">
        <v>0</v>
      </c>
      <c r="P856" s="40">
        <v>0</v>
      </c>
      <c r="Q856" s="40">
        <f>'Таблица 3 '!C845</f>
        <v>6704510.4400000004</v>
      </c>
      <c r="R856" s="40">
        <f t="shared" si="145"/>
        <v>6704510.4400000004</v>
      </c>
      <c r="S856" s="40">
        <v>0</v>
      </c>
      <c r="T856" s="37">
        <f t="shared" si="146"/>
        <v>4942.8711589501618</v>
      </c>
      <c r="U856" s="37">
        <f t="shared" si="141"/>
        <v>4942.8711589501618</v>
      </c>
      <c r="V856" s="41" t="s">
        <v>761</v>
      </c>
      <c r="W856" s="31"/>
    </row>
    <row r="857" s="31" customFormat="1" ht="42" customHeight="1">
      <c r="A857" s="33">
        <v>20</v>
      </c>
      <c r="B857" s="34" t="s">
        <v>236</v>
      </c>
      <c r="C857" s="33" t="s">
        <v>43</v>
      </c>
      <c r="D857" s="33">
        <v>1959</v>
      </c>
      <c r="E857" s="35" t="s">
        <v>625</v>
      </c>
      <c r="F857" s="33" t="s">
        <v>44</v>
      </c>
      <c r="G857" s="36">
        <v>2</v>
      </c>
      <c r="H857" s="36">
        <v>2</v>
      </c>
      <c r="I857" s="37">
        <v>428.5</v>
      </c>
      <c r="J857" s="37">
        <v>386.10000000000002</v>
      </c>
      <c r="K857" s="37">
        <v>318.69999999999999</v>
      </c>
      <c r="L857" s="38">
        <v>23</v>
      </c>
      <c r="M857" s="39">
        <f t="shared" si="144"/>
        <v>1145623.1799999999</v>
      </c>
      <c r="N857" s="37">
        <v>0</v>
      </c>
      <c r="O857" s="37">
        <v>0</v>
      </c>
      <c r="P857" s="37">
        <v>0</v>
      </c>
      <c r="Q857" s="40">
        <f>'Таблица 3 '!C846</f>
        <v>1145623.1799999999</v>
      </c>
      <c r="R857" s="37">
        <f t="shared" si="145"/>
        <v>1145623.1799999999</v>
      </c>
      <c r="S857" s="37">
        <v>0</v>
      </c>
      <c r="T857" s="37">
        <f t="shared" si="146"/>
        <v>2967.167003367003</v>
      </c>
      <c r="U857" s="37">
        <f t="shared" si="141"/>
        <v>2967.167003367003</v>
      </c>
      <c r="V857" s="41" t="s">
        <v>761</v>
      </c>
      <c r="W857" s="31"/>
    </row>
    <row r="858" s="47" customFormat="1" ht="42" customHeight="1">
      <c r="A858" s="33">
        <v>21</v>
      </c>
      <c r="B858" s="34" t="s">
        <v>237</v>
      </c>
      <c r="C858" s="43" t="s">
        <v>43</v>
      </c>
      <c r="D858" s="35" t="s">
        <v>86</v>
      </c>
      <c r="E858" s="44" t="s">
        <v>39</v>
      </c>
      <c r="F858" s="33" t="s">
        <v>48</v>
      </c>
      <c r="G858" s="45">
        <v>5</v>
      </c>
      <c r="H858" s="36">
        <v>2</v>
      </c>
      <c r="I858" s="46">
        <v>4073.1999999999998</v>
      </c>
      <c r="J858" s="37">
        <v>3074.1999999999998</v>
      </c>
      <c r="K858" s="46">
        <v>3219.5999999999999</v>
      </c>
      <c r="L858" s="38">
        <v>163</v>
      </c>
      <c r="M858" s="39">
        <f t="shared" si="144"/>
        <v>2471170.46</v>
      </c>
      <c r="N858" s="46">
        <v>0</v>
      </c>
      <c r="O858" s="37">
        <v>0</v>
      </c>
      <c r="P858" s="46">
        <v>0</v>
      </c>
      <c r="Q858" s="40">
        <f>'Таблица 3 '!C847</f>
        <v>2471170.46</v>
      </c>
      <c r="R858" s="46">
        <f t="shared" si="145"/>
        <v>2471170.46</v>
      </c>
      <c r="S858" s="37">
        <v>0</v>
      </c>
      <c r="T858" s="46">
        <f t="shared" si="146"/>
        <v>803.84179949255099</v>
      </c>
      <c r="U858" s="37">
        <f t="shared" si="141"/>
        <v>803.84179949255099</v>
      </c>
      <c r="V858" s="41" t="s">
        <v>761</v>
      </c>
      <c r="W858" s="47"/>
    </row>
    <row r="859" s="31" customFormat="1" ht="42" customHeight="1">
      <c r="A859" s="33">
        <v>22</v>
      </c>
      <c r="B859" s="34" t="s">
        <v>764</v>
      </c>
      <c r="C859" s="33" t="s">
        <v>43</v>
      </c>
      <c r="D859" s="35" t="s">
        <v>109</v>
      </c>
      <c r="E859" s="35">
        <v>2021</v>
      </c>
      <c r="F859" s="33" t="s">
        <v>44</v>
      </c>
      <c r="G859" s="36">
        <v>9</v>
      </c>
      <c r="H859" s="36">
        <v>2</v>
      </c>
      <c r="I859" s="37">
        <v>13836.700000000001</v>
      </c>
      <c r="J859" s="37">
        <v>8044</v>
      </c>
      <c r="K859" s="37">
        <v>6997.8000000000002</v>
      </c>
      <c r="L859" s="38">
        <v>304</v>
      </c>
      <c r="M859" s="40">
        <f t="shared" si="144"/>
        <v>2748308.0499999998</v>
      </c>
      <c r="N859" s="40">
        <v>0</v>
      </c>
      <c r="O859" s="40">
        <v>0</v>
      </c>
      <c r="P859" s="40">
        <v>0</v>
      </c>
      <c r="Q859" s="40">
        <f>'Таблица 3 '!C848</f>
        <v>2748308.0499999998</v>
      </c>
      <c r="R859" s="40">
        <f t="shared" si="145"/>
        <v>2748308.0499999998</v>
      </c>
      <c r="S859" s="40">
        <v>0</v>
      </c>
      <c r="T859" s="37">
        <f t="shared" si="146"/>
        <v>341.65937966185976</v>
      </c>
      <c r="U859" s="37">
        <f t="shared" si="141"/>
        <v>341.65937966185976</v>
      </c>
      <c r="V859" s="41" t="s">
        <v>761</v>
      </c>
      <c r="W859" s="31"/>
    </row>
    <row r="860" s="31" customFormat="1" ht="42" customHeight="1">
      <c r="A860" s="33">
        <v>23</v>
      </c>
      <c r="B860" s="34" t="s">
        <v>629</v>
      </c>
      <c r="C860" s="33" t="s">
        <v>43</v>
      </c>
      <c r="D860" s="33">
        <v>1952</v>
      </c>
      <c r="E860" s="35" t="s">
        <v>39</v>
      </c>
      <c r="F860" s="33" t="s">
        <v>566</v>
      </c>
      <c r="G860" s="36">
        <v>2</v>
      </c>
      <c r="H860" s="36">
        <v>1</v>
      </c>
      <c r="I860" s="37">
        <v>383.10000000000002</v>
      </c>
      <c r="J860" s="37">
        <v>379.69999999999999</v>
      </c>
      <c r="K860" s="37">
        <v>379.69999999999999</v>
      </c>
      <c r="L860" s="38">
        <v>21</v>
      </c>
      <c r="M860" s="39">
        <f t="shared" si="144"/>
        <v>3073993.2000000002</v>
      </c>
      <c r="N860" s="37">
        <v>0</v>
      </c>
      <c r="O860" s="37">
        <v>0</v>
      </c>
      <c r="P860" s="37">
        <v>0</v>
      </c>
      <c r="Q860" s="40">
        <f>'Таблица 3 '!C849</f>
        <v>3073993.2000000002</v>
      </c>
      <c r="R860" s="37">
        <f t="shared" si="145"/>
        <v>3073993.2000000002</v>
      </c>
      <c r="S860" s="37">
        <v>0</v>
      </c>
      <c r="T860" s="37">
        <f t="shared" si="146"/>
        <v>8095.8472478272324</v>
      </c>
      <c r="U860" s="37">
        <f t="shared" si="141"/>
        <v>8095.8472478272324</v>
      </c>
      <c r="V860" s="41" t="s">
        <v>761</v>
      </c>
      <c r="W860" s="31"/>
    </row>
    <row r="861" s="31" customFormat="1" ht="42" customHeight="1">
      <c r="A861" s="33">
        <v>24</v>
      </c>
      <c r="B861" s="34" t="s">
        <v>637</v>
      </c>
      <c r="C861" s="159" t="s">
        <v>43</v>
      </c>
      <c r="D861" s="43">
        <v>1987</v>
      </c>
      <c r="E861" s="160" t="s">
        <v>39</v>
      </c>
      <c r="F861" s="43" t="s">
        <v>44</v>
      </c>
      <c r="G861" s="161">
        <v>5</v>
      </c>
      <c r="H861" s="45">
        <v>6</v>
      </c>
      <c r="I861" s="163">
        <v>4113.3000000000002</v>
      </c>
      <c r="J861" s="46">
        <v>4113.3000000000002</v>
      </c>
      <c r="K861" s="163">
        <v>3757.5</v>
      </c>
      <c r="L861" s="90">
        <v>138</v>
      </c>
      <c r="M861" s="39">
        <f t="shared" si="144"/>
        <v>14044891.840000002</v>
      </c>
      <c r="N861" s="163">
        <v>0</v>
      </c>
      <c r="O861" s="46">
        <v>0</v>
      </c>
      <c r="P861" s="163">
        <v>0</v>
      </c>
      <c r="Q861" s="40">
        <f>'Таблица 3 '!C850</f>
        <v>14044891.840000002</v>
      </c>
      <c r="R861" s="163">
        <f t="shared" si="145"/>
        <v>14044891.840000002</v>
      </c>
      <c r="S861" s="46">
        <v>0</v>
      </c>
      <c r="T861" s="163">
        <f t="shared" si="146"/>
        <v>3414.5070478691077</v>
      </c>
      <c r="U861" s="46">
        <f t="shared" si="141"/>
        <v>3414.5070478691077</v>
      </c>
      <c r="V861" s="41" t="s">
        <v>761</v>
      </c>
      <c r="W861" s="59"/>
    </row>
    <row r="862" s="31" customFormat="1" ht="42" customHeight="1">
      <c r="A862" s="33">
        <v>25</v>
      </c>
      <c r="B862" s="34" t="s">
        <v>281</v>
      </c>
      <c r="C862" s="33" t="s">
        <v>43</v>
      </c>
      <c r="D862" s="33">
        <v>1965</v>
      </c>
      <c r="E862" s="35" t="s">
        <v>50</v>
      </c>
      <c r="F862" s="33" t="s">
        <v>77</v>
      </c>
      <c r="G862" s="36">
        <v>5</v>
      </c>
      <c r="H862" s="36">
        <v>3</v>
      </c>
      <c r="I862" s="40">
        <v>2515.1999999999998</v>
      </c>
      <c r="J862" s="40">
        <v>2498.0999999999999</v>
      </c>
      <c r="K862" s="40">
        <v>2236.9000000000001</v>
      </c>
      <c r="L862" s="48">
        <v>95</v>
      </c>
      <c r="M862" s="40">
        <f t="shared" si="144"/>
        <v>18031380.669999998</v>
      </c>
      <c r="N862" s="40">
        <v>0</v>
      </c>
      <c r="O862" s="40">
        <v>0</v>
      </c>
      <c r="P862" s="40">
        <v>0</v>
      </c>
      <c r="Q862" s="40">
        <f>'Таблица 3 '!C851</f>
        <v>18031380.669999998</v>
      </c>
      <c r="R862" s="40">
        <f t="shared" si="145"/>
        <v>18031380.669999998</v>
      </c>
      <c r="S862" s="40">
        <v>0</v>
      </c>
      <c r="T862" s="37">
        <f t="shared" si="146"/>
        <v>7218.0379768624152</v>
      </c>
      <c r="U862" s="37">
        <f t="shared" si="141"/>
        <v>7218.0379768624152</v>
      </c>
      <c r="V862" s="41" t="s">
        <v>761</v>
      </c>
      <c r="W862" s="31"/>
    </row>
    <row r="863" s="31" customFormat="1" ht="42" customHeight="1">
      <c r="A863" s="33">
        <v>26</v>
      </c>
      <c r="B863" s="49" t="s">
        <v>289</v>
      </c>
      <c r="C863" s="43" t="s">
        <v>43</v>
      </c>
      <c r="D863" s="33">
        <v>1960</v>
      </c>
      <c r="E863" s="44" t="s">
        <v>625</v>
      </c>
      <c r="F863" s="33" t="s">
        <v>44</v>
      </c>
      <c r="G863" s="45">
        <v>2</v>
      </c>
      <c r="H863" s="36">
        <v>2</v>
      </c>
      <c r="I863" s="46">
        <v>511</v>
      </c>
      <c r="J863" s="37">
        <v>264.64999999999998</v>
      </c>
      <c r="K863" s="46">
        <v>281.69999999999999</v>
      </c>
      <c r="L863" s="38">
        <v>12</v>
      </c>
      <c r="M863" s="39">
        <f t="shared" si="144"/>
        <v>785260.74999999988</v>
      </c>
      <c r="N863" s="46">
        <v>0</v>
      </c>
      <c r="O863" s="37">
        <v>0</v>
      </c>
      <c r="P863" s="46">
        <v>0</v>
      </c>
      <c r="Q863" s="40">
        <f>'Таблица 3 '!C852</f>
        <v>785260.74999999988</v>
      </c>
      <c r="R863" s="46">
        <f t="shared" si="145"/>
        <v>785260.74999999988</v>
      </c>
      <c r="S863" s="37">
        <v>0</v>
      </c>
      <c r="T863" s="46">
        <f t="shared" si="146"/>
        <v>2967.1670130360853</v>
      </c>
      <c r="U863" s="37">
        <f t="shared" si="141"/>
        <v>2967.1670130360853</v>
      </c>
      <c r="V863" s="41" t="s">
        <v>761</v>
      </c>
      <c r="W863" s="59"/>
    </row>
    <row r="864" s="31" customFormat="1" ht="42" customHeight="1">
      <c r="A864" s="33">
        <v>27</v>
      </c>
      <c r="B864" s="34" t="s">
        <v>292</v>
      </c>
      <c r="C864" s="33" t="s">
        <v>43</v>
      </c>
      <c r="D864" s="33">
        <v>1988</v>
      </c>
      <c r="E864" s="35" t="s">
        <v>57</v>
      </c>
      <c r="F864" s="33" t="s">
        <v>48</v>
      </c>
      <c r="G864" s="36">
        <v>9</v>
      </c>
      <c r="H864" s="36">
        <v>3</v>
      </c>
      <c r="I864" s="40">
        <v>6599.1400000000003</v>
      </c>
      <c r="J864" s="40">
        <v>5102.3000000000002</v>
      </c>
      <c r="K864" s="40">
        <v>4835</v>
      </c>
      <c r="L864" s="48">
        <v>174</v>
      </c>
      <c r="M864" s="40">
        <f t="shared" si="144"/>
        <v>27115378.410000004</v>
      </c>
      <c r="N864" s="40">
        <v>0</v>
      </c>
      <c r="O864" s="40">
        <v>0</v>
      </c>
      <c r="P864" s="40">
        <v>0</v>
      </c>
      <c r="Q864" s="40">
        <f>'Таблица 3 '!C853</f>
        <v>27115378.410000004</v>
      </c>
      <c r="R864" s="40">
        <f t="shared" si="145"/>
        <v>27115378.410000004</v>
      </c>
      <c r="S864" s="40">
        <v>0</v>
      </c>
      <c r="T864" s="37">
        <f t="shared" si="146"/>
        <v>5314.3441996746569</v>
      </c>
      <c r="U864" s="37">
        <f t="shared" ref="U864:U927" si="147">T864</f>
        <v>5314.3441996746569</v>
      </c>
      <c r="V864" s="41" t="s">
        <v>761</v>
      </c>
      <c r="W864" s="31"/>
    </row>
    <row r="865" s="31" customFormat="1" ht="42" customHeight="1">
      <c r="A865" s="33">
        <v>28</v>
      </c>
      <c r="B865" s="34" t="s">
        <v>296</v>
      </c>
      <c r="C865" s="33" t="s">
        <v>43</v>
      </c>
      <c r="D865" s="33">
        <v>1973</v>
      </c>
      <c r="E865" s="35" t="s">
        <v>39</v>
      </c>
      <c r="F865" s="33" t="s">
        <v>48</v>
      </c>
      <c r="G865" s="36">
        <v>5</v>
      </c>
      <c r="H865" s="36">
        <v>4</v>
      </c>
      <c r="I865" s="40">
        <v>4583</v>
      </c>
      <c r="J865" s="40">
        <v>3295.8000000000002</v>
      </c>
      <c r="K865" s="40">
        <v>3137.6999999999998</v>
      </c>
      <c r="L865" s="48">
        <v>120</v>
      </c>
      <c r="M865" s="40">
        <f t="shared" si="144"/>
        <v>7068112.9700000007</v>
      </c>
      <c r="N865" s="40">
        <v>0</v>
      </c>
      <c r="O865" s="40">
        <v>0</v>
      </c>
      <c r="P865" s="40">
        <v>0</v>
      </c>
      <c r="Q865" s="40">
        <f>'Таблица 3 '!C854</f>
        <v>7068112.9700000007</v>
      </c>
      <c r="R865" s="40">
        <f t="shared" si="145"/>
        <v>7068112.9700000007</v>
      </c>
      <c r="S865" s="40">
        <v>0</v>
      </c>
      <c r="T865" s="37">
        <f t="shared" si="146"/>
        <v>2144.5818830026096</v>
      </c>
      <c r="U865" s="37">
        <f t="shared" si="147"/>
        <v>2144.5818830026096</v>
      </c>
      <c r="V865" s="41" t="s">
        <v>761</v>
      </c>
      <c r="W865" s="31"/>
      <c r="X865" s="31"/>
    </row>
    <row r="866" s="31" customFormat="1" ht="42" customHeight="1">
      <c r="A866" s="33">
        <v>29</v>
      </c>
      <c r="B866" s="34" t="s">
        <v>302</v>
      </c>
      <c r="C866" s="43" t="s">
        <v>43</v>
      </c>
      <c r="D866" s="33">
        <v>1984</v>
      </c>
      <c r="E866" s="44" t="s">
        <v>39</v>
      </c>
      <c r="F866" s="33" t="s">
        <v>48</v>
      </c>
      <c r="G866" s="45">
        <v>5</v>
      </c>
      <c r="H866" s="36">
        <v>4</v>
      </c>
      <c r="I866" s="46">
        <v>3963.4000000000001</v>
      </c>
      <c r="J866" s="37">
        <v>2717.4000000000001</v>
      </c>
      <c r="K866" s="46">
        <v>2560.8000000000002</v>
      </c>
      <c r="L866" s="38">
        <v>138</v>
      </c>
      <c r="M866" s="39">
        <f t="shared" si="144"/>
        <v>6317955</v>
      </c>
      <c r="N866" s="46">
        <v>0</v>
      </c>
      <c r="O866" s="37">
        <v>0</v>
      </c>
      <c r="P866" s="46">
        <v>0</v>
      </c>
      <c r="Q866" s="40">
        <f>'Таблица 3 '!C855</f>
        <v>6317955</v>
      </c>
      <c r="R866" s="46">
        <f t="shared" si="145"/>
        <v>6317955</v>
      </c>
      <c r="S866" s="37">
        <v>0</v>
      </c>
      <c r="T866" s="46">
        <f t="shared" si="146"/>
        <v>2325</v>
      </c>
      <c r="U866" s="37">
        <f t="shared" si="147"/>
        <v>2325</v>
      </c>
      <c r="V866" s="41" t="s">
        <v>761</v>
      </c>
      <c r="W866" s="59"/>
    </row>
    <row r="867" s="31" customFormat="1" ht="23.25" customHeight="1">
      <c r="A867" s="25" t="s">
        <v>308</v>
      </c>
      <c r="B867" s="25"/>
      <c r="C867" s="26" t="s">
        <v>39</v>
      </c>
      <c r="D867" s="26" t="s">
        <v>39</v>
      </c>
      <c r="E867" s="27" t="s">
        <v>39</v>
      </c>
      <c r="F867" s="26" t="s">
        <v>39</v>
      </c>
      <c r="G867" s="28" t="s">
        <v>39</v>
      </c>
      <c r="H867" s="28" t="s">
        <v>39</v>
      </c>
      <c r="I867" s="64">
        <f>I868</f>
        <v>774.58000000000004</v>
      </c>
      <c r="J867" s="64">
        <f>J868</f>
        <v>736.96000000000004</v>
      </c>
      <c r="K867" s="64">
        <f>K868</f>
        <v>736.96000000000004</v>
      </c>
      <c r="L867" s="65">
        <f>L868</f>
        <v>34</v>
      </c>
      <c r="M867" s="64">
        <f>M868</f>
        <v>365117.09999999998</v>
      </c>
      <c r="N867" s="64">
        <f>N868</f>
        <v>0</v>
      </c>
      <c r="O867" s="64">
        <f>O868</f>
        <v>0</v>
      </c>
      <c r="P867" s="64">
        <f>P868</f>
        <v>0</v>
      </c>
      <c r="Q867" s="64">
        <f>Q868</f>
        <v>365117.09999999998</v>
      </c>
      <c r="R867" s="64">
        <f>R868</f>
        <v>365117.09999999998</v>
      </c>
      <c r="S867" s="64">
        <f>S868</f>
        <v>0</v>
      </c>
      <c r="T867" s="62" t="s">
        <v>39</v>
      </c>
      <c r="U867" s="32" t="s">
        <v>39</v>
      </c>
      <c r="V867" s="28" t="s">
        <v>39</v>
      </c>
      <c r="W867" s="31"/>
    </row>
    <row r="868" s="137" customFormat="1" ht="44.25" customHeight="1">
      <c r="A868" s="33">
        <v>1</v>
      </c>
      <c r="B868" s="50" t="s">
        <v>765</v>
      </c>
      <c r="C868" s="43" t="s">
        <v>43</v>
      </c>
      <c r="D868" s="33">
        <v>1977</v>
      </c>
      <c r="E868" s="44" t="s">
        <v>39</v>
      </c>
      <c r="F868" s="33" t="s">
        <v>77</v>
      </c>
      <c r="G868" s="45">
        <v>2</v>
      </c>
      <c r="H868" s="36">
        <v>2</v>
      </c>
      <c r="I868" s="46">
        <v>774.58000000000004</v>
      </c>
      <c r="J868" s="37">
        <v>736.96000000000004</v>
      </c>
      <c r="K868" s="46">
        <v>736.96000000000004</v>
      </c>
      <c r="L868" s="38">
        <v>34</v>
      </c>
      <c r="M868" s="46">
        <f>SUM(N868:Q868)</f>
        <v>365117.09999999998</v>
      </c>
      <c r="N868" s="37">
        <v>0</v>
      </c>
      <c r="O868" s="46">
        <v>0</v>
      </c>
      <c r="P868" s="37">
        <v>0</v>
      </c>
      <c r="Q868" s="40">
        <f>'Таблица 3 '!C857</f>
        <v>365117.09999999998</v>
      </c>
      <c r="R868" s="37">
        <f>Q868</f>
        <v>365117.09999999998</v>
      </c>
      <c r="S868" s="46">
        <v>0</v>
      </c>
      <c r="T868" s="56">
        <f t="shared" si="146"/>
        <v>495.43679439861046</v>
      </c>
      <c r="U868" s="46">
        <f t="shared" si="147"/>
        <v>495.43679439861046</v>
      </c>
      <c r="V868" s="41" t="s">
        <v>45</v>
      </c>
      <c r="W868" s="59"/>
      <c r="X868" s="137"/>
    </row>
    <row r="869" s="31" customFormat="1" ht="25.199999999999999" customHeight="1">
      <c r="A869" s="25" t="s">
        <v>317</v>
      </c>
      <c r="B869" s="25"/>
      <c r="C869" s="28" t="s">
        <v>39</v>
      </c>
      <c r="D869" s="28" t="s">
        <v>39</v>
      </c>
      <c r="E869" s="66" t="s">
        <v>39</v>
      </c>
      <c r="F869" s="28" t="s">
        <v>39</v>
      </c>
      <c r="G869" s="28" t="s">
        <v>39</v>
      </c>
      <c r="H869" s="28" t="s">
        <v>39</v>
      </c>
      <c r="I869" s="64">
        <f>I870</f>
        <v>1570.8599999999999</v>
      </c>
      <c r="J869" s="64">
        <f>J870</f>
        <v>1522.5999999999999</v>
      </c>
      <c r="K869" s="64">
        <f>K870</f>
        <v>1296.8</v>
      </c>
      <c r="L869" s="65">
        <f>L870</f>
        <v>58</v>
      </c>
      <c r="M869" s="64">
        <f>M870</f>
        <v>14015314.959999999</v>
      </c>
      <c r="N869" s="64">
        <f>N870</f>
        <v>0</v>
      </c>
      <c r="O869" s="64">
        <f>O870</f>
        <v>0</v>
      </c>
      <c r="P869" s="64">
        <f>P870</f>
        <v>0</v>
      </c>
      <c r="Q869" s="64">
        <f>Q870</f>
        <v>14015314.959999999</v>
      </c>
      <c r="R869" s="64">
        <f>R870</f>
        <v>14015314.959999999</v>
      </c>
      <c r="S869" s="64">
        <f>S870</f>
        <v>0</v>
      </c>
      <c r="T869" s="32" t="s">
        <v>39</v>
      </c>
      <c r="U869" s="32" t="s">
        <v>39</v>
      </c>
      <c r="V869" s="66" t="s">
        <v>39</v>
      </c>
      <c r="W869" s="31"/>
    </row>
    <row r="870" s="137" customFormat="1" ht="42" customHeight="1">
      <c r="A870" s="33">
        <v>1</v>
      </c>
      <c r="B870" s="52" t="s">
        <v>649</v>
      </c>
      <c r="C870" s="43" t="s">
        <v>43</v>
      </c>
      <c r="D870" s="36">
        <v>1990</v>
      </c>
      <c r="E870" s="145" t="s">
        <v>39</v>
      </c>
      <c r="F870" s="33" t="s">
        <v>77</v>
      </c>
      <c r="G870" s="45">
        <v>3</v>
      </c>
      <c r="H870" s="36">
        <v>3</v>
      </c>
      <c r="I870" s="46">
        <v>1570.8599999999999</v>
      </c>
      <c r="J870" s="37">
        <v>1522.5999999999999</v>
      </c>
      <c r="K870" s="46">
        <v>1296.8</v>
      </c>
      <c r="L870" s="38">
        <v>58</v>
      </c>
      <c r="M870" s="39">
        <f>SUM(N870:Q870)</f>
        <v>14015314.959999999</v>
      </c>
      <c r="N870" s="46">
        <v>0</v>
      </c>
      <c r="O870" s="37">
        <v>0</v>
      </c>
      <c r="P870" s="46">
        <v>0</v>
      </c>
      <c r="Q870" s="37">
        <f>'Таблица 3 '!C859</f>
        <v>14015314.959999999</v>
      </c>
      <c r="R870" s="46">
        <f>Q870</f>
        <v>14015314.959999999</v>
      </c>
      <c r="S870" s="37">
        <v>0</v>
      </c>
      <c r="T870" s="46">
        <f t="shared" si="146"/>
        <v>9204.8567975830811</v>
      </c>
      <c r="U870" s="37">
        <f t="shared" si="147"/>
        <v>9204.8567975830811</v>
      </c>
      <c r="V870" s="41" t="s">
        <v>761</v>
      </c>
      <c r="W870" s="59"/>
    </row>
    <row r="871" s="31" customFormat="1" ht="23.25" customHeight="1">
      <c r="A871" s="25" t="s">
        <v>324</v>
      </c>
      <c r="B871" s="25"/>
      <c r="C871" s="26" t="s">
        <v>39</v>
      </c>
      <c r="D871" s="26" t="s">
        <v>39</v>
      </c>
      <c r="E871" s="27" t="s">
        <v>39</v>
      </c>
      <c r="F871" s="26" t="s">
        <v>39</v>
      </c>
      <c r="G871" s="28" t="s">
        <v>39</v>
      </c>
      <c r="H871" s="28" t="s">
        <v>39</v>
      </c>
      <c r="I871" s="64">
        <f>SUM(I872:I880)</f>
        <v>22778.799999999999</v>
      </c>
      <c r="J871" s="64">
        <f>SUM(J872:J880)</f>
        <v>19180.540000000001</v>
      </c>
      <c r="K871" s="64">
        <f>SUM(K872:K880)</f>
        <v>17876.84</v>
      </c>
      <c r="L871" s="65">
        <f>SUM(L872:L880)</f>
        <v>883</v>
      </c>
      <c r="M871" s="64">
        <f>SUM(M872:M880)</f>
        <v>32024712.330000002</v>
      </c>
      <c r="N871" s="64">
        <f>SUM(N872:N880)</f>
        <v>0</v>
      </c>
      <c r="O871" s="64">
        <f>SUM(O872:O880)</f>
        <v>0</v>
      </c>
      <c r="P871" s="64">
        <f>SUM(P872:P880)</f>
        <v>0</v>
      </c>
      <c r="Q871" s="64">
        <f>SUM(Q872:Q880)</f>
        <v>32024712.330000002</v>
      </c>
      <c r="R871" s="64">
        <f>SUM(R872:R880)</f>
        <v>32024712.330000002</v>
      </c>
      <c r="S871" s="64">
        <f>SUM(S872:S880)</f>
        <v>0</v>
      </c>
      <c r="T871" s="32" t="s">
        <v>39</v>
      </c>
      <c r="U871" s="32" t="s">
        <v>39</v>
      </c>
      <c r="V871" s="66" t="s">
        <v>39</v>
      </c>
      <c r="W871" s="31"/>
    </row>
    <row r="872" s="31" customFormat="1" ht="45.75" customHeight="1">
      <c r="A872" s="33">
        <v>1</v>
      </c>
      <c r="B872" s="50" t="s">
        <v>766</v>
      </c>
      <c r="C872" s="33" t="s">
        <v>43</v>
      </c>
      <c r="D872" s="33">
        <v>1966</v>
      </c>
      <c r="E872" s="35">
        <v>2024</v>
      </c>
      <c r="F872" s="33" t="s">
        <v>77</v>
      </c>
      <c r="G872" s="36">
        <v>2</v>
      </c>
      <c r="H872" s="36">
        <v>2</v>
      </c>
      <c r="I872" s="37">
        <v>393.89999999999998</v>
      </c>
      <c r="J872" s="37">
        <v>355</v>
      </c>
      <c r="K872" s="37">
        <v>313.30000000000001</v>
      </c>
      <c r="L872" s="38">
        <v>19</v>
      </c>
      <c r="M872" s="37">
        <f t="shared" ref="M872:M880" si="148">SUM(N872:Q872)</f>
        <v>286030.60999999999</v>
      </c>
      <c r="N872" s="37">
        <v>0</v>
      </c>
      <c r="O872" s="37">
        <v>0</v>
      </c>
      <c r="P872" s="37">
        <v>0</v>
      </c>
      <c r="Q872" s="37">
        <f>'Таблица 3 '!C861</f>
        <v>286030.60999999999</v>
      </c>
      <c r="R872" s="37">
        <f t="shared" ref="R872:R880" si="149">Q872</f>
        <v>286030.60999999999</v>
      </c>
      <c r="S872" s="37">
        <v>0</v>
      </c>
      <c r="T872" s="37">
        <f t="shared" si="146"/>
        <v>805.72002816901409</v>
      </c>
      <c r="U872" s="37">
        <f t="shared" si="147"/>
        <v>805.72002816901409</v>
      </c>
      <c r="V872" s="41" t="s">
        <v>761</v>
      </c>
      <c r="W872" s="31"/>
    </row>
    <row r="873" s="31" customFormat="1" ht="45.75" customHeight="1">
      <c r="A873" s="33">
        <v>2</v>
      </c>
      <c r="B873" s="50" t="s">
        <v>334</v>
      </c>
      <c r="C873" s="43" t="s">
        <v>43</v>
      </c>
      <c r="D873" s="33">
        <v>1955</v>
      </c>
      <c r="E873" s="44" t="s">
        <v>39</v>
      </c>
      <c r="F873" s="33" t="s">
        <v>77</v>
      </c>
      <c r="G873" s="45">
        <v>2</v>
      </c>
      <c r="H873" s="36">
        <v>2</v>
      </c>
      <c r="I873" s="46">
        <v>436.69999999999999</v>
      </c>
      <c r="J873" s="37">
        <v>392.60000000000002</v>
      </c>
      <c r="K873" s="46">
        <v>392.60000000000002</v>
      </c>
      <c r="L873" s="38">
        <v>20</v>
      </c>
      <c r="M873" s="39">
        <f t="shared" si="148"/>
        <v>1861449.6099999999</v>
      </c>
      <c r="N873" s="46">
        <v>0</v>
      </c>
      <c r="O873" s="37">
        <v>0</v>
      </c>
      <c r="P873" s="46">
        <v>0</v>
      </c>
      <c r="Q873" s="37">
        <f>'Таблица 3 '!C862</f>
        <v>1861449.6099999999</v>
      </c>
      <c r="R873" s="46">
        <f t="shared" si="149"/>
        <v>1861449.6099999999</v>
      </c>
      <c r="S873" s="37">
        <v>0</v>
      </c>
      <c r="T873" s="46">
        <f t="shared" si="146"/>
        <v>4741.338792664289</v>
      </c>
      <c r="U873" s="37">
        <f>M873/J873</f>
        <v>4741.338792664289</v>
      </c>
      <c r="V873" s="41" t="s">
        <v>761</v>
      </c>
      <c r="W873" s="59"/>
    </row>
    <row r="874" s="60" customFormat="1" ht="45.75" customHeight="1">
      <c r="A874" s="33">
        <v>3</v>
      </c>
      <c r="B874" s="50" t="s">
        <v>659</v>
      </c>
      <c r="C874" s="33" t="s">
        <v>43</v>
      </c>
      <c r="D874" s="33">
        <v>1975</v>
      </c>
      <c r="E874" s="35" t="s">
        <v>39</v>
      </c>
      <c r="F874" s="33" t="s">
        <v>77</v>
      </c>
      <c r="G874" s="36">
        <v>5</v>
      </c>
      <c r="H874" s="36">
        <v>4</v>
      </c>
      <c r="I874" s="37">
        <v>2751.9000000000001</v>
      </c>
      <c r="J874" s="37">
        <v>2683.1100000000001</v>
      </c>
      <c r="K874" s="37">
        <v>2497.1100000000001</v>
      </c>
      <c r="L874" s="38">
        <v>136</v>
      </c>
      <c r="M874" s="37">
        <f t="shared" si="148"/>
        <v>5135750.5099999998</v>
      </c>
      <c r="N874" s="37">
        <v>0</v>
      </c>
      <c r="O874" s="37">
        <v>0</v>
      </c>
      <c r="P874" s="37">
        <v>0</v>
      </c>
      <c r="Q874" s="37">
        <f>'Таблица 3 '!C863</f>
        <v>5135750.5099999998</v>
      </c>
      <c r="R874" s="37">
        <f t="shared" si="149"/>
        <v>5135750.5099999998</v>
      </c>
      <c r="S874" s="37">
        <v>0</v>
      </c>
      <c r="T874" s="37">
        <f t="shared" si="146"/>
        <v>1914.1035999269502</v>
      </c>
      <c r="U874" s="37">
        <f t="shared" ref="U874:U875" si="150">M874/J874</f>
        <v>1914.1035999269502</v>
      </c>
      <c r="V874" s="41" t="s">
        <v>761</v>
      </c>
      <c r="W874" s="60"/>
    </row>
    <row r="875" s="60" customFormat="1" ht="45.75" customHeight="1">
      <c r="A875" s="33">
        <v>4</v>
      </c>
      <c r="B875" s="50" t="s">
        <v>660</v>
      </c>
      <c r="C875" s="159" t="s">
        <v>43</v>
      </c>
      <c r="D875" s="43">
        <v>1988</v>
      </c>
      <c r="E875" s="160" t="s">
        <v>39</v>
      </c>
      <c r="F875" s="43" t="s">
        <v>77</v>
      </c>
      <c r="G875" s="161">
        <v>5</v>
      </c>
      <c r="H875" s="45">
        <v>8</v>
      </c>
      <c r="I875" s="163">
        <v>7760.3999999999996</v>
      </c>
      <c r="J875" s="46">
        <v>5417.3299999999999</v>
      </c>
      <c r="K875" s="163">
        <v>5255.0299999999997</v>
      </c>
      <c r="L875" s="90">
        <v>172</v>
      </c>
      <c r="M875" s="39">
        <f t="shared" si="148"/>
        <v>1731910.6500000001</v>
      </c>
      <c r="N875" s="163">
        <v>0</v>
      </c>
      <c r="O875" s="46">
        <v>0</v>
      </c>
      <c r="P875" s="163">
        <v>0</v>
      </c>
      <c r="Q875" s="37">
        <f>'Таблица 3 '!C864</f>
        <v>1731910.6500000001</v>
      </c>
      <c r="R875" s="163">
        <f t="shared" si="149"/>
        <v>1731910.6500000001</v>
      </c>
      <c r="S875" s="46">
        <v>0</v>
      </c>
      <c r="T875" s="163">
        <f t="shared" si="146"/>
        <v>319.69820003581106</v>
      </c>
      <c r="U875" s="46">
        <f t="shared" si="150"/>
        <v>319.69820003581106</v>
      </c>
      <c r="V875" s="41" t="s">
        <v>761</v>
      </c>
      <c r="W875" s="59"/>
    </row>
    <row r="876" s="60" customFormat="1" ht="45.75" customHeight="1">
      <c r="A876" s="33">
        <v>5</v>
      </c>
      <c r="B876" s="50" t="s">
        <v>767</v>
      </c>
      <c r="C876" s="33" t="s">
        <v>43</v>
      </c>
      <c r="D876" s="33">
        <v>1997</v>
      </c>
      <c r="E876" s="35">
        <v>2019</v>
      </c>
      <c r="F876" s="33" t="s">
        <v>77</v>
      </c>
      <c r="G876" s="36">
        <v>5</v>
      </c>
      <c r="H876" s="36">
        <v>5</v>
      </c>
      <c r="I876" s="37">
        <v>6432.8000000000002</v>
      </c>
      <c r="J876" s="37">
        <v>6008.6999999999998</v>
      </c>
      <c r="K876" s="37">
        <v>5806.6999999999998</v>
      </c>
      <c r="L876" s="38">
        <v>263</v>
      </c>
      <c r="M876" s="37">
        <f t="shared" si="148"/>
        <v>9032022.2300000004</v>
      </c>
      <c r="N876" s="37">
        <v>0</v>
      </c>
      <c r="O876" s="37">
        <v>0</v>
      </c>
      <c r="P876" s="37">
        <v>0</v>
      </c>
      <c r="Q876" s="37">
        <f>'Таблица 3 '!C865</f>
        <v>9032022.2300000004</v>
      </c>
      <c r="R876" s="37">
        <f t="shared" si="149"/>
        <v>9032022.2300000004</v>
      </c>
      <c r="S876" s="37">
        <v>0</v>
      </c>
      <c r="T876" s="37">
        <f t="shared" si="146"/>
        <v>1503.1574600163099</v>
      </c>
      <c r="U876" s="37">
        <f t="shared" si="147"/>
        <v>1503.1574600163099</v>
      </c>
      <c r="V876" s="41" t="s">
        <v>761</v>
      </c>
      <c r="W876" s="60"/>
    </row>
    <row r="877" s="60" customFormat="1" ht="45.75" customHeight="1">
      <c r="A877" s="33">
        <v>6</v>
      </c>
      <c r="B877" s="52" t="s">
        <v>768</v>
      </c>
      <c r="C877" s="43" t="s">
        <v>43</v>
      </c>
      <c r="D877" s="33">
        <v>1966</v>
      </c>
      <c r="E877" s="44" t="s">
        <v>39</v>
      </c>
      <c r="F877" s="33" t="s">
        <v>77</v>
      </c>
      <c r="G877" s="45">
        <v>4</v>
      </c>
      <c r="H877" s="36">
        <v>3</v>
      </c>
      <c r="I877" s="46">
        <v>2225.0999999999999</v>
      </c>
      <c r="J877" s="37">
        <v>1859.0999999999999</v>
      </c>
      <c r="K877" s="46">
        <v>1719.3</v>
      </c>
      <c r="L877" s="162">
        <v>172</v>
      </c>
      <c r="M877" s="39">
        <f t="shared" si="148"/>
        <v>10230279.300000001</v>
      </c>
      <c r="N877" s="46">
        <v>0</v>
      </c>
      <c r="O877" s="37">
        <v>0</v>
      </c>
      <c r="P877" s="46">
        <v>0</v>
      </c>
      <c r="Q877" s="37">
        <f>'Таблица 3 '!C866</f>
        <v>10230279.300000001</v>
      </c>
      <c r="R877" s="46">
        <f t="shared" si="149"/>
        <v>10230279.300000001</v>
      </c>
      <c r="S877" s="37">
        <v>0</v>
      </c>
      <c r="T877" s="46">
        <f t="shared" si="146"/>
        <v>5502.8128126512838</v>
      </c>
      <c r="U877" s="163">
        <f>M877/J877</f>
        <v>5502.8128126512838</v>
      </c>
      <c r="V877" s="41" t="s">
        <v>761</v>
      </c>
      <c r="W877" s="59"/>
    </row>
    <row r="878" s="60" customFormat="1" ht="45.75" customHeight="1">
      <c r="A878" s="33">
        <v>7</v>
      </c>
      <c r="B878" s="50" t="s">
        <v>346</v>
      </c>
      <c r="C878" s="69" t="s">
        <v>43</v>
      </c>
      <c r="D878" s="33">
        <v>1968</v>
      </c>
      <c r="E878" s="35" t="s">
        <v>40</v>
      </c>
      <c r="F878" s="33" t="s">
        <v>77</v>
      </c>
      <c r="G878" s="36">
        <v>2</v>
      </c>
      <c r="H878" s="36">
        <v>2</v>
      </c>
      <c r="I878" s="40">
        <v>680.60000000000002</v>
      </c>
      <c r="J878" s="40">
        <v>637.60000000000002</v>
      </c>
      <c r="K878" s="40">
        <v>339.10000000000002</v>
      </c>
      <c r="L878" s="48">
        <v>22</v>
      </c>
      <c r="M878" s="37">
        <f t="shared" si="148"/>
        <v>2616925.8400000003</v>
      </c>
      <c r="N878" s="37">
        <v>0</v>
      </c>
      <c r="O878" s="37">
        <v>0</v>
      </c>
      <c r="P878" s="37">
        <v>0</v>
      </c>
      <c r="Q878" s="37">
        <f>'Таблица 3 '!C867</f>
        <v>2616925.8400000003</v>
      </c>
      <c r="R878" s="37">
        <f t="shared" si="149"/>
        <v>2616925.8400000003</v>
      </c>
      <c r="S878" s="37">
        <v>0</v>
      </c>
      <c r="T878" s="37">
        <f t="shared" si="146"/>
        <v>4104.3378920953583</v>
      </c>
      <c r="U878" s="37">
        <f t="shared" si="147"/>
        <v>4104.3378920953583</v>
      </c>
      <c r="V878" s="41" t="s">
        <v>761</v>
      </c>
      <c r="W878" s="60"/>
    </row>
    <row r="879" s="60" customFormat="1" ht="45.75" customHeight="1">
      <c r="A879" s="33">
        <v>8</v>
      </c>
      <c r="B879" s="50" t="s">
        <v>769</v>
      </c>
      <c r="C879" s="228" t="s">
        <v>43</v>
      </c>
      <c r="D879" s="33">
        <v>1982</v>
      </c>
      <c r="E879" s="44" t="s">
        <v>40</v>
      </c>
      <c r="F879" s="33" t="s">
        <v>77</v>
      </c>
      <c r="G879" s="45">
        <v>2</v>
      </c>
      <c r="H879" s="36">
        <v>2</v>
      </c>
      <c r="I879" s="51">
        <v>1088.7</v>
      </c>
      <c r="J879" s="40">
        <v>899.20000000000005</v>
      </c>
      <c r="K879" s="51">
        <v>788.70000000000005</v>
      </c>
      <c r="L879" s="48">
        <v>39</v>
      </c>
      <c r="M879" s="46">
        <f t="shared" si="148"/>
        <v>826533.59999999998</v>
      </c>
      <c r="N879" s="37">
        <v>0</v>
      </c>
      <c r="O879" s="46">
        <v>0</v>
      </c>
      <c r="P879" s="37">
        <v>0</v>
      </c>
      <c r="Q879" s="37">
        <f>'Таблица 3 '!C868</f>
        <v>826533.59999999998</v>
      </c>
      <c r="R879" s="37">
        <f t="shared" si="149"/>
        <v>826533.59999999998</v>
      </c>
      <c r="S879" s="46">
        <v>0</v>
      </c>
      <c r="T879" s="37">
        <f t="shared" si="146"/>
        <v>919.18772241992872</v>
      </c>
      <c r="U879" s="46">
        <f t="shared" si="147"/>
        <v>919.18772241992872</v>
      </c>
      <c r="V879" s="41" t="s">
        <v>761</v>
      </c>
      <c r="W879" s="59"/>
    </row>
    <row r="880" s="60" customFormat="1" ht="45.75" customHeight="1">
      <c r="A880" s="33">
        <v>9</v>
      </c>
      <c r="B880" s="50" t="s">
        <v>770</v>
      </c>
      <c r="C880" s="33" t="s">
        <v>43</v>
      </c>
      <c r="D880" s="33">
        <v>1985</v>
      </c>
      <c r="E880" s="35" t="s">
        <v>39</v>
      </c>
      <c r="F880" s="33" t="s">
        <v>77</v>
      </c>
      <c r="G880" s="36">
        <v>2</v>
      </c>
      <c r="H880" s="36">
        <v>2</v>
      </c>
      <c r="I880" s="37">
        <v>1008.7</v>
      </c>
      <c r="J880" s="37">
        <v>927.89999999999998</v>
      </c>
      <c r="K880" s="37">
        <v>765</v>
      </c>
      <c r="L880" s="38">
        <v>40</v>
      </c>
      <c r="M880" s="37">
        <f t="shared" si="148"/>
        <v>303809.97999999998</v>
      </c>
      <c r="N880" s="37">
        <v>0</v>
      </c>
      <c r="O880" s="37">
        <v>0</v>
      </c>
      <c r="P880" s="37">
        <v>0</v>
      </c>
      <c r="Q880" s="37">
        <f>'Таблица 3 '!C869</f>
        <v>303809.97999999998</v>
      </c>
      <c r="R880" s="37">
        <f t="shared" si="149"/>
        <v>303809.97999999998</v>
      </c>
      <c r="S880" s="37">
        <v>0</v>
      </c>
      <c r="T880" s="37">
        <f t="shared" si="146"/>
        <v>327.41672594029529</v>
      </c>
      <c r="U880" s="37">
        <f t="shared" si="147"/>
        <v>327.41672594029529</v>
      </c>
      <c r="V880" s="41" t="s">
        <v>761</v>
      </c>
      <c r="W880" s="60"/>
    </row>
    <row r="881" s="60" customFormat="1" ht="27" customHeight="1">
      <c r="A881" s="25" t="s">
        <v>348</v>
      </c>
      <c r="B881" s="25"/>
      <c r="C881" s="26" t="s">
        <v>39</v>
      </c>
      <c r="D881" s="26" t="s">
        <v>39</v>
      </c>
      <c r="E881" s="27" t="s">
        <v>39</v>
      </c>
      <c r="F881" s="26" t="s">
        <v>39</v>
      </c>
      <c r="G881" s="28" t="s">
        <v>39</v>
      </c>
      <c r="H881" s="28" t="s">
        <v>39</v>
      </c>
      <c r="I881" s="29">
        <f>I882</f>
        <v>767</v>
      </c>
      <c r="J881" s="29">
        <f>J882</f>
        <v>710.60000000000002</v>
      </c>
      <c r="K881" s="29">
        <f>K882</f>
        <v>710.60000000000002</v>
      </c>
      <c r="L881" s="30">
        <f>L882</f>
        <v>45</v>
      </c>
      <c r="M881" s="29">
        <f>M882</f>
        <v>6418309.8899999997</v>
      </c>
      <c r="N881" s="29">
        <f>N882</f>
        <v>0</v>
      </c>
      <c r="O881" s="29">
        <f>O882</f>
        <v>0</v>
      </c>
      <c r="P881" s="29">
        <f>P882</f>
        <v>0</v>
      </c>
      <c r="Q881" s="29">
        <f>Q882</f>
        <v>6418309.8899999997</v>
      </c>
      <c r="R881" s="29">
        <f>R882</f>
        <v>6418309.8899999997</v>
      </c>
      <c r="S881" s="29">
        <f>S882</f>
        <v>0</v>
      </c>
      <c r="T881" s="32" t="s">
        <v>39</v>
      </c>
      <c r="U881" s="32" t="s">
        <v>39</v>
      </c>
      <c r="V881" s="63" t="s">
        <v>39</v>
      </c>
      <c r="W881" s="60"/>
    </row>
    <row r="882" s="60" customFormat="1" ht="45.75" customHeight="1">
      <c r="A882" s="33">
        <v>1</v>
      </c>
      <c r="B882" s="50" t="s">
        <v>771</v>
      </c>
      <c r="C882" s="33" t="s">
        <v>43</v>
      </c>
      <c r="D882" s="33">
        <v>1974</v>
      </c>
      <c r="E882" s="35" t="s">
        <v>39</v>
      </c>
      <c r="F882" s="33" t="s">
        <v>77</v>
      </c>
      <c r="G882" s="36">
        <v>2</v>
      </c>
      <c r="H882" s="36">
        <v>2</v>
      </c>
      <c r="I882" s="37">
        <v>767</v>
      </c>
      <c r="J882" s="37">
        <v>710.60000000000002</v>
      </c>
      <c r="K882" s="37">
        <v>710.60000000000002</v>
      </c>
      <c r="L882" s="38">
        <v>45</v>
      </c>
      <c r="M882" s="37">
        <f>SUM(N882:Q882)</f>
        <v>6418309.8899999997</v>
      </c>
      <c r="N882" s="37">
        <v>0</v>
      </c>
      <c r="O882" s="37">
        <v>0</v>
      </c>
      <c r="P882" s="37">
        <v>0</v>
      </c>
      <c r="Q882" s="37">
        <f>'Таблица 3 '!C871</f>
        <v>6418309.8899999997</v>
      </c>
      <c r="R882" s="37">
        <f>Q882</f>
        <v>6418309.8899999997</v>
      </c>
      <c r="S882" s="37">
        <v>0</v>
      </c>
      <c r="T882" s="37">
        <f t="shared" si="146"/>
        <v>9032.2402054601735</v>
      </c>
      <c r="U882" s="37">
        <f t="shared" si="147"/>
        <v>9032.2402054601735</v>
      </c>
      <c r="V882" s="72" t="s">
        <v>761</v>
      </c>
      <c r="W882" s="60"/>
    </row>
    <row r="883" s="31" customFormat="1" ht="25.199999999999999" customHeight="1">
      <c r="A883" s="25" t="s">
        <v>359</v>
      </c>
      <c r="B883" s="25"/>
      <c r="C883" s="28" t="s">
        <v>39</v>
      </c>
      <c r="D883" s="28" t="s">
        <v>39</v>
      </c>
      <c r="E883" s="66" t="s">
        <v>39</v>
      </c>
      <c r="F883" s="28" t="s">
        <v>39</v>
      </c>
      <c r="G883" s="28" t="s">
        <v>39</v>
      </c>
      <c r="H883" s="28" t="s">
        <v>39</v>
      </c>
      <c r="I883" s="64">
        <f>SUM(I884:I891)</f>
        <v>28034.299999999999</v>
      </c>
      <c r="J883" s="64">
        <f>SUM(J884:J891)</f>
        <v>21282.599999999995</v>
      </c>
      <c r="K883" s="64">
        <f>SUM(K884:K891)</f>
        <v>20405.899999999998</v>
      </c>
      <c r="L883" s="65">
        <f>SUM(L884:L891)</f>
        <v>652</v>
      </c>
      <c r="M883" s="64">
        <f>SUM(M884:M891)</f>
        <v>82973909.859999999</v>
      </c>
      <c r="N883" s="64">
        <f>SUM(N884:N891)</f>
        <v>0</v>
      </c>
      <c r="O883" s="64">
        <f>SUM(O884:O891)</f>
        <v>0</v>
      </c>
      <c r="P883" s="64">
        <f>SUM(P884:P891)</f>
        <v>0</v>
      </c>
      <c r="Q883" s="64">
        <f>SUM(Q884:Q891)</f>
        <v>82973909.859999999</v>
      </c>
      <c r="R883" s="64">
        <f>SUM(R884:R891)</f>
        <v>82973909.859999999</v>
      </c>
      <c r="S883" s="64">
        <f>SUM(S884:S891)</f>
        <v>0</v>
      </c>
      <c r="T883" s="32" t="s">
        <v>39</v>
      </c>
      <c r="U883" s="32" t="s">
        <v>39</v>
      </c>
      <c r="V883" s="66" t="s">
        <v>39</v>
      </c>
      <c r="W883" s="31"/>
    </row>
    <row r="884" s="31" customFormat="1" ht="45" customHeight="1">
      <c r="A884" s="33">
        <v>1</v>
      </c>
      <c r="B884" s="50" t="s">
        <v>772</v>
      </c>
      <c r="C884" s="33" t="s">
        <v>43</v>
      </c>
      <c r="D884" s="33" t="s">
        <v>104</v>
      </c>
      <c r="E884" s="35" t="s">
        <v>773</v>
      </c>
      <c r="F884" s="33" t="s">
        <v>48</v>
      </c>
      <c r="G884" s="36">
        <v>5</v>
      </c>
      <c r="H884" s="36">
        <v>4</v>
      </c>
      <c r="I884" s="40">
        <v>6099</v>
      </c>
      <c r="J884" s="40">
        <v>4558.6999999999989</v>
      </c>
      <c r="K884" s="40">
        <v>4367.8999999999996</v>
      </c>
      <c r="L884" s="48">
        <v>120</v>
      </c>
      <c r="M884" s="37">
        <f t="shared" ref="M884:M891" si="151">SUM(N884:Q884)</f>
        <v>10872246.24</v>
      </c>
      <c r="N884" s="37">
        <v>0</v>
      </c>
      <c r="O884" s="37">
        <v>0</v>
      </c>
      <c r="P884" s="37">
        <v>0</v>
      </c>
      <c r="Q884" s="37">
        <f>'Таблица 3 '!C873</f>
        <v>10872246.24</v>
      </c>
      <c r="R884" s="37">
        <f t="shared" ref="R884:R891" si="152">Q884</f>
        <v>10872246.24</v>
      </c>
      <c r="S884" s="37">
        <v>0</v>
      </c>
      <c r="T884" s="37">
        <f t="shared" si="146"/>
        <v>2384.9444446881794</v>
      </c>
      <c r="U884" s="37">
        <f t="shared" si="147"/>
        <v>2384.9444446881794</v>
      </c>
      <c r="V884" s="41" t="s">
        <v>761</v>
      </c>
      <c r="W884" s="60"/>
    </row>
    <row r="885" s="31" customFormat="1" ht="45" customHeight="1">
      <c r="A885" s="33">
        <v>2</v>
      </c>
      <c r="B885" s="52" t="s">
        <v>774</v>
      </c>
      <c r="C885" s="33" t="s">
        <v>43</v>
      </c>
      <c r="D885" s="33">
        <v>1989</v>
      </c>
      <c r="E885" s="35" t="s">
        <v>39</v>
      </c>
      <c r="F885" s="33" t="s">
        <v>48</v>
      </c>
      <c r="G885" s="36">
        <v>5</v>
      </c>
      <c r="H885" s="36">
        <v>5</v>
      </c>
      <c r="I885" s="40">
        <v>6976</v>
      </c>
      <c r="J885" s="40">
        <v>5325.1999999999998</v>
      </c>
      <c r="K885" s="40">
        <v>5173</v>
      </c>
      <c r="L885" s="48">
        <v>120</v>
      </c>
      <c r="M885" s="37">
        <f t="shared" si="151"/>
        <v>29941857.989999998</v>
      </c>
      <c r="N885" s="37">
        <v>0</v>
      </c>
      <c r="O885" s="37">
        <v>0</v>
      </c>
      <c r="P885" s="37">
        <v>0</v>
      </c>
      <c r="Q885" s="37">
        <f>'Таблица 3 '!C874</f>
        <v>29941857.989999998</v>
      </c>
      <c r="R885" s="37">
        <f t="shared" si="152"/>
        <v>29941857.989999998</v>
      </c>
      <c r="S885" s="37">
        <v>0</v>
      </c>
      <c r="T885" s="37">
        <f t="shared" si="146"/>
        <v>5622.6729493727935</v>
      </c>
      <c r="U885" s="37">
        <f t="shared" si="147"/>
        <v>5622.6729493727935</v>
      </c>
      <c r="V885" s="41" t="s">
        <v>761</v>
      </c>
      <c r="W885" s="60"/>
    </row>
    <row r="886" s="60" customFormat="1" ht="45.600000000000001" customHeight="1">
      <c r="A886" s="33">
        <v>3</v>
      </c>
      <c r="B886" s="75" t="s">
        <v>360</v>
      </c>
      <c r="C886" s="33" t="s">
        <v>43</v>
      </c>
      <c r="D886" s="33">
        <v>1989</v>
      </c>
      <c r="E886" s="35" t="s">
        <v>40</v>
      </c>
      <c r="F886" s="33" t="s">
        <v>48</v>
      </c>
      <c r="G886" s="36">
        <v>5</v>
      </c>
      <c r="H886" s="36">
        <v>3</v>
      </c>
      <c r="I886" s="37">
        <v>3689</v>
      </c>
      <c r="J886" s="37">
        <v>3331.5</v>
      </c>
      <c r="K886" s="37">
        <v>3308</v>
      </c>
      <c r="L886" s="38">
        <v>105</v>
      </c>
      <c r="M886" s="37">
        <f t="shared" si="151"/>
        <v>7897247.75</v>
      </c>
      <c r="N886" s="37">
        <v>0</v>
      </c>
      <c r="O886" s="37">
        <v>0</v>
      </c>
      <c r="P886" s="37">
        <v>0</v>
      </c>
      <c r="Q886" s="37">
        <f>'Таблица 3 '!C875</f>
        <v>7897247.75</v>
      </c>
      <c r="R886" s="37">
        <f t="shared" si="152"/>
        <v>7897247.75</v>
      </c>
      <c r="S886" s="37">
        <v>0</v>
      </c>
      <c r="T886" s="37">
        <f t="shared" si="146"/>
        <v>2370.4780879483715</v>
      </c>
      <c r="U886" s="37">
        <f t="shared" si="147"/>
        <v>2370.4780879483715</v>
      </c>
      <c r="V886" s="41" t="s">
        <v>761</v>
      </c>
      <c r="W886" s="60"/>
    </row>
    <row r="887" s="60" customFormat="1" ht="45.600000000000001" customHeight="1">
      <c r="A887" s="33">
        <v>4</v>
      </c>
      <c r="B887" s="68" t="s">
        <v>775</v>
      </c>
      <c r="C887" s="33" t="s">
        <v>43</v>
      </c>
      <c r="D887" s="33" t="s">
        <v>104</v>
      </c>
      <c r="E887" s="35">
        <v>2021</v>
      </c>
      <c r="F887" s="33" t="s">
        <v>48</v>
      </c>
      <c r="G887" s="36">
        <v>5</v>
      </c>
      <c r="H887" s="36">
        <v>1</v>
      </c>
      <c r="I887" s="40">
        <v>2217</v>
      </c>
      <c r="J887" s="40">
        <v>1160.8999999999999</v>
      </c>
      <c r="K887" s="40">
        <v>1160.9000000000001</v>
      </c>
      <c r="L887" s="48">
        <v>31</v>
      </c>
      <c r="M887" s="37">
        <f t="shared" si="151"/>
        <v>598310.87</v>
      </c>
      <c r="N887" s="37">
        <v>0</v>
      </c>
      <c r="O887" s="37">
        <v>0</v>
      </c>
      <c r="P887" s="37">
        <v>0</v>
      </c>
      <c r="Q887" s="37">
        <f>'Таблица 3 '!C876</f>
        <v>598310.87</v>
      </c>
      <c r="R887" s="37">
        <f t="shared" si="152"/>
        <v>598310.87</v>
      </c>
      <c r="S887" s="37">
        <v>0</v>
      </c>
      <c r="T887" s="37">
        <f t="shared" si="146"/>
        <v>515.38536480316998</v>
      </c>
      <c r="U887" s="37">
        <f t="shared" si="147"/>
        <v>515.38536480316998</v>
      </c>
      <c r="V887" s="41" t="s">
        <v>761</v>
      </c>
      <c r="W887" s="60"/>
    </row>
    <row r="888" s="60" customFormat="1" ht="45.600000000000001" customHeight="1">
      <c r="A888" s="33">
        <v>5</v>
      </c>
      <c r="B888" s="68" t="s">
        <v>776</v>
      </c>
      <c r="C888" s="33" t="s">
        <v>43</v>
      </c>
      <c r="D888" s="33" t="s">
        <v>104</v>
      </c>
      <c r="E888" s="35">
        <v>2025</v>
      </c>
      <c r="F888" s="33" t="s">
        <v>48</v>
      </c>
      <c r="G888" s="36">
        <v>5</v>
      </c>
      <c r="H888" s="36">
        <v>5</v>
      </c>
      <c r="I888" s="40">
        <v>5834</v>
      </c>
      <c r="J888" s="40">
        <v>4312</v>
      </c>
      <c r="K888" s="40">
        <v>4051.5</v>
      </c>
      <c r="L888" s="48">
        <v>122</v>
      </c>
      <c r="M888" s="37">
        <f t="shared" si="151"/>
        <v>25492053.060000002</v>
      </c>
      <c r="N888" s="37">
        <v>0</v>
      </c>
      <c r="O888" s="37">
        <v>0</v>
      </c>
      <c r="P888" s="37">
        <v>0</v>
      </c>
      <c r="Q888" s="37">
        <f>'Таблица 3 '!C877</f>
        <v>25492053.060000002</v>
      </c>
      <c r="R888" s="37">
        <f t="shared" si="152"/>
        <v>25492053.060000002</v>
      </c>
      <c r="S888" s="37">
        <v>0</v>
      </c>
      <c r="T888" s="37">
        <f t="shared" si="146"/>
        <v>5911.8861456400746</v>
      </c>
      <c r="U888" s="37">
        <f t="shared" si="147"/>
        <v>5911.8861456400746</v>
      </c>
      <c r="V888" s="41" t="s">
        <v>761</v>
      </c>
      <c r="W888" s="60"/>
    </row>
    <row r="889" s="54" customFormat="1" ht="45.600000000000001" customHeight="1">
      <c r="A889" s="33">
        <v>6</v>
      </c>
      <c r="B889" s="75" t="s">
        <v>777</v>
      </c>
      <c r="C889" s="33" t="s">
        <v>43</v>
      </c>
      <c r="D889" s="36">
        <v>1989</v>
      </c>
      <c r="E889" s="67" t="s">
        <v>39</v>
      </c>
      <c r="F889" s="33" t="s">
        <v>242</v>
      </c>
      <c r="G889" s="36">
        <v>2</v>
      </c>
      <c r="H889" s="36">
        <v>2</v>
      </c>
      <c r="I889" s="37">
        <v>485.19999999999999</v>
      </c>
      <c r="J889" s="37">
        <v>406.69999999999999</v>
      </c>
      <c r="K889" s="37">
        <v>339.60000000000002</v>
      </c>
      <c r="L889" s="38">
        <v>16</v>
      </c>
      <c r="M889" s="37">
        <f t="shared" si="151"/>
        <v>561209.96999999997</v>
      </c>
      <c r="N889" s="37">
        <v>0</v>
      </c>
      <c r="O889" s="37">
        <v>0</v>
      </c>
      <c r="P889" s="37">
        <v>0</v>
      </c>
      <c r="Q889" s="37">
        <f>'Таблица 3 '!C878</f>
        <v>561209.96999999997</v>
      </c>
      <c r="R889" s="37">
        <f t="shared" si="152"/>
        <v>561209.96999999997</v>
      </c>
      <c r="S889" s="37">
        <v>0</v>
      </c>
      <c r="T889" s="37">
        <f t="shared" si="146"/>
        <v>1379.9114089009097</v>
      </c>
      <c r="U889" s="37">
        <f t="shared" si="147"/>
        <v>1379.9114089009097</v>
      </c>
      <c r="V889" s="41" t="s">
        <v>761</v>
      </c>
      <c r="W889" s="60"/>
    </row>
    <row r="890" s="60" customFormat="1" ht="45.600000000000001" customHeight="1">
      <c r="A890" s="33">
        <v>7</v>
      </c>
      <c r="B890" s="68" t="s">
        <v>778</v>
      </c>
      <c r="C890" s="33" t="s">
        <v>43</v>
      </c>
      <c r="D890" s="33" t="s">
        <v>91</v>
      </c>
      <c r="E890" s="35">
        <v>2025</v>
      </c>
      <c r="F890" s="33" t="s">
        <v>242</v>
      </c>
      <c r="G890" s="36">
        <v>2</v>
      </c>
      <c r="H890" s="36">
        <v>2</v>
      </c>
      <c r="I890" s="40">
        <v>486.60000000000002</v>
      </c>
      <c r="J890" s="40">
        <v>404.49999999999994</v>
      </c>
      <c r="K890" s="40">
        <v>368.80000000000001</v>
      </c>
      <c r="L890" s="48">
        <v>19</v>
      </c>
      <c r="M890" s="37">
        <f t="shared" si="151"/>
        <v>2405827.6499999999</v>
      </c>
      <c r="N890" s="37">
        <v>0</v>
      </c>
      <c r="O890" s="37">
        <v>0</v>
      </c>
      <c r="P890" s="37">
        <v>0</v>
      </c>
      <c r="Q890" s="37">
        <f>'Таблица 3 '!C879</f>
        <v>2405827.6499999999</v>
      </c>
      <c r="R890" s="37">
        <f t="shared" si="152"/>
        <v>2405827.6499999999</v>
      </c>
      <c r="S890" s="37">
        <v>0</v>
      </c>
      <c r="T890" s="37">
        <f t="shared" si="146"/>
        <v>5947.6579728059342</v>
      </c>
      <c r="U890" s="37">
        <f t="shared" si="147"/>
        <v>5947.6579728059342</v>
      </c>
      <c r="V890" s="41" t="s">
        <v>761</v>
      </c>
      <c r="W890" s="60"/>
    </row>
    <row r="891" s="60" customFormat="1" ht="45.600000000000001" customHeight="1">
      <c r="A891" s="33">
        <v>8</v>
      </c>
      <c r="B891" s="75" t="s">
        <v>779</v>
      </c>
      <c r="C891" s="33" t="s">
        <v>43</v>
      </c>
      <c r="D891" s="36">
        <v>1990</v>
      </c>
      <c r="E891" s="67" t="s">
        <v>39</v>
      </c>
      <c r="F891" s="33" t="s">
        <v>48</v>
      </c>
      <c r="G891" s="36">
        <v>4</v>
      </c>
      <c r="H891" s="36">
        <v>4</v>
      </c>
      <c r="I891" s="37">
        <v>2247.5</v>
      </c>
      <c r="J891" s="37">
        <v>1783.0999999999999</v>
      </c>
      <c r="K891" s="37">
        <v>1636.2</v>
      </c>
      <c r="L891" s="38">
        <v>119</v>
      </c>
      <c r="M891" s="37">
        <f t="shared" si="151"/>
        <v>5205156.3300000001</v>
      </c>
      <c r="N891" s="37">
        <v>0</v>
      </c>
      <c r="O891" s="37">
        <v>0</v>
      </c>
      <c r="P891" s="37">
        <v>0</v>
      </c>
      <c r="Q891" s="37">
        <f>'Таблица 3 '!C880</f>
        <v>5205156.3300000001</v>
      </c>
      <c r="R891" s="37">
        <f t="shared" si="152"/>
        <v>5205156.3300000001</v>
      </c>
      <c r="S891" s="37">
        <v>0</v>
      </c>
      <c r="T891" s="37">
        <f t="shared" si="146"/>
        <v>2919.161196792104</v>
      </c>
      <c r="U891" s="37">
        <f t="shared" si="147"/>
        <v>2919.161196792104</v>
      </c>
      <c r="V891" s="41" t="s">
        <v>761</v>
      </c>
      <c r="W891" s="60"/>
    </row>
    <row r="892" s="60" customFormat="1" ht="24.75" customHeight="1">
      <c r="A892" s="208" t="s">
        <v>672</v>
      </c>
      <c r="B892" s="209"/>
      <c r="C892" s="152" t="s">
        <v>39</v>
      </c>
      <c r="D892" s="26" t="s">
        <v>39</v>
      </c>
      <c r="E892" s="153" t="s">
        <v>39</v>
      </c>
      <c r="F892" s="26" t="s">
        <v>39</v>
      </c>
      <c r="G892" s="168" t="s">
        <v>39</v>
      </c>
      <c r="H892" s="28" t="s">
        <v>39</v>
      </c>
      <c r="I892" s="146">
        <f>I893</f>
        <v>402</v>
      </c>
      <c r="J892" s="146">
        <f>J893</f>
        <v>355</v>
      </c>
      <c r="K892" s="146">
        <f>K893</f>
        <v>303.89999999999998</v>
      </c>
      <c r="L892" s="147">
        <f>L893</f>
        <v>18</v>
      </c>
      <c r="M892" s="146">
        <f>M893</f>
        <v>671818.54999999993</v>
      </c>
      <c r="N892" s="146">
        <f>N893</f>
        <v>0</v>
      </c>
      <c r="O892" s="146">
        <f>O893</f>
        <v>0</v>
      </c>
      <c r="P892" s="146">
        <f>P893</f>
        <v>0</v>
      </c>
      <c r="Q892" s="146">
        <f>Q893</f>
        <v>671818.54999999993</v>
      </c>
      <c r="R892" s="146">
        <f>R893</f>
        <v>671818.54999999993</v>
      </c>
      <c r="S892" s="146">
        <f>S893</f>
        <v>0</v>
      </c>
      <c r="T892" s="32" t="s">
        <v>39</v>
      </c>
      <c r="U892" s="156" t="s">
        <v>39</v>
      </c>
      <c r="V892" s="28" t="s">
        <v>39</v>
      </c>
      <c r="W892" s="47"/>
    </row>
    <row r="893" s="60" customFormat="1" ht="45.600000000000001" customHeight="1">
      <c r="A893" s="33">
        <v>1</v>
      </c>
      <c r="B893" s="34" t="s">
        <v>780</v>
      </c>
      <c r="C893" s="33" t="s">
        <v>43</v>
      </c>
      <c r="D893" s="44" t="s">
        <v>365</v>
      </c>
      <c r="E893" s="35" t="s">
        <v>39</v>
      </c>
      <c r="F893" s="43" t="s">
        <v>77</v>
      </c>
      <c r="G893" s="36">
        <v>2</v>
      </c>
      <c r="H893" s="45">
        <v>2</v>
      </c>
      <c r="I893" s="79">
        <v>402</v>
      </c>
      <c r="J893" s="158">
        <v>355</v>
      </c>
      <c r="K893" s="79">
        <v>303.89999999999998</v>
      </c>
      <c r="L893" s="149">
        <v>18</v>
      </c>
      <c r="M893" s="39">
        <f>SUM(N893:Q893)</f>
        <v>671818.54999999993</v>
      </c>
      <c r="N893" s="158">
        <f>SUM(N894:N934)</f>
        <v>0</v>
      </c>
      <c r="O893" s="79">
        <f>SUM(O894:O934)</f>
        <v>0</v>
      </c>
      <c r="P893" s="158">
        <f>SUM(P894:P934)</f>
        <v>0</v>
      </c>
      <c r="Q893" s="37">
        <f>'Таблица 3 '!C882</f>
        <v>671818.54999999993</v>
      </c>
      <c r="R893" s="158">
        <f>Q893</f>
        <v>671818.54999999993</v>
      </c>
      <c r="S893" s="79">
        <f>SUM(S894:S934)</f>
        <v>0</v>
      </c>
      <c r="T893" s="51">
        <f t="shared" si="146"/>
        <v>1892.4466197183096</v>
      </c>
      <c r="U893" s="40">
        <f t="shared" si="147"/>
        <v>1892.4466197183096</v>
      </c>
      <c r="V893" s="41" t="s">
        <v>761</v>
      </c>
      <c r="W893" s="47"/>
    </row>
    <row r="894" s="60" customFormat="1" ht="24.75" customHeight="1">
      <c r="A894" s="61" t="s">
        <v>362</v>
      </c>
      <c r="B894" s="61"/>
      <c r="C894" s="82" t="s">
        <v>39</v>
      </c>
      <c r="D894" s="83" t="s">
        <v>39</v>
      </c>
      <c r="E894" s="84" t="s">
        <v>39</v>
      </c>
      <c r="F894" s="82" t="s">
        <v>39</v>
      </c>
      <c r="G894" s="85" t="s">
        <v>39</v>
      </c>
      <c r="H894" s="85" t="s">
        <v>39</v>
      </c>
      <c r="I894" s="64">
        <f>SUM(I895:I899)</f>
        <v>8374.0799999999999</v>
      </c>
      <c r="J894" s="64">
        <f>SUM(J895:J899)</f>
        <v>6919.0200000000004</v>
      </c>
      <c r="K894" s="64">
        <f>SUM(K895:K899)</f>
        <v>6919.0200000000004</v>
      </c>
      <c r="L894" s="65">
        <f>SUM(L895:L899)</f>
        <v>200</v>
      </c>
      <c r="M894" s="64">
        <f>SUM(M895:M899)</f>
        <v>21229739.600000001</v>
      </c>
      <c r="N894" s="64">
        <f>SUM(N895:N899)</f>
        <v>0</v>
      </c>
      <c r="O894" s="64">
        <f>SUM(O895:O899)</f>
        <v>0</v>
      </c>
      <c r="P894" s="64">
        <f>SUM(P895:P899)</f>
        <v>0</v>
      </c>
      <c r="Q894" s="64">
        <f>SUM(Q895:Q899)</f>
        <v>21229739.600000001</v>
      </c>
      <c r="R894" s="64">
        <f>SUM(R895:R899)</f>
        <v>21229739.600000001</v>
      </c>
      <c r="S894" s="64">
        <f>SUM(S895:S899)</f>
        <v>0</v>
      </c>
      <c r="T894" s="32" t="s">
        <v>39</v>
      </c>
      <c r="U894" s="207" t="s">
        <v>39</v>
      </c>
      <c r="V894" s="66" t="s">
        <v>39</v>
      </c>
      <c r="W894" s="60"/>
    </row>
    <row r="895" s="60" customFormat="1" ht="42.75">
      <c r="A895" s="36">
        <v>1</v>
      </c>
      <c r="B895" s="68" t="s">
        <v>366</v>
      </c>
      <c r="C895" s="33" t="s">
        <v>43</v>
      </c>
      <c r="D895" s="35" t="s">
        <v>219</v>
      </c>
      <c r="E895" s="67">
        <v>2017</v>
      </c>
      <c r="F895" s="33" t="s">
        <v>77</v>
      </c>
      <c r="G895" s="36">
        <v>3</v>
      </c>
      <c r="H895" s="36">
        <v>1</v>
      </c>
      <c r="I895" s="56">
        <v>779</v>
      </c>
      <c r="J895" s="37">
        <v>621.75</v>
      </c>
      <c r="K895" s="37">
        <v>621.75</v>
      </c>
      <c r="L895" s="38">
        <v>19</v>
      </c>
      <c r="M895" s="37">
        <f t="shared" ref="M895:M899" si="153">SUM(N895:Q895)</f>
        <v>4544479.3799999999</v>
      </c>
      <c r="N895" s="37">
        <v>0</v>
      </c>
      <c r="O895" s="37">
        <v>0</v>
      </c>
      <c r="P895" s="37">
        <v>0</v>
      </c>
      <c r="Q895" s="37">
        <f>'Таблица 3 '!C884</f>
        <v>4544479.3799999999</v>
      </c>
      <c r="R895" s="37">
        <f t="shared" ref="R895:R903" si="154">Q895</f>
        <v>4544479.3799999999</v>
      </c>
      <c r="S895" s="37">
        <v>0</v>
      </c>
      <c r="T895" s="37">
        <f t="shared" si="146"/>
        <v>7309.1747165259349</v>
      </c>
      <c r="U895" s="37">
        <f t="shared" si="147"/>
        <v>7309.1747165259349</v>
      </c>
      <c r="V895" s="41" t="s">
        <v>761</v>
      </c>
      <c r="W895" s="60"/>
    </row>
    <row r="896" s="60" customFormat="1" ht="42" customHeight="1">
      <c r="A896" s="36">
        <v>2</v>
      </c>
      <c r="B896" s="50" t="s">
        <v>681</v>
      </c>
      <c r="C896" s="33" t="s">
        <v>43</v>
      </c>
      <c r="D896" s="35">
        <v>1983</v>
      </c>
      <c r="E896" s="35" t="s">
        <v>39</v>
      </c>
      <c r="F896" s="33" t="s">
        <v>77</v>
      </c>
      <c r="G896" s="33">
        <v>3</v>
      </c>
      <c r="H896" s="33">
        <v>3</v>
      </c>
      <c r="I896" s="56">
        <v>934.15999999999997</v>
      </c>
      <c r="J896" s="56">
        <v>860.87</v>
      </c>
      <c r="K896" s="56">
        <v>860.87</v>
      </c>
      <c r="L896" s="57">
        <v>46</v>
      </c>
      <c r="M896" s="37">
        <f t="shared" si="153"/>
        <v>6279427.4099999992</v>
      </c>
      <c r="N896" s="37">
        <v>0</v>
      </c>
      <c r="O896" s="37">
        <v>0</v>
      </c>
      <c r="P896" s="37">
        <v>0</v>
      </c>
      <c r="Q896" s="37">
        <f>'Таблица 3 '!C885</f>
        <v>6279427.4099999992</v>
      </c>
      <c r="R896" s="37">
        <f t="shared" si="154"/>
        <v>6279427.4099999992</v>
      </c>
      <c r="S896" s="37">
        <v>0</v>
      </c>
      <c r="T896" s="37">
        <f t="shared" si="146"/>
        <v>7294.2806811713726</v>
      </c>
      <c r="U896" s="37">
        <f t="shared" si="147"/>
        <v>7294.2806811713726</v>
      </c>
      <c r="V896" s="41" t="s">
        <v>761</v>
      </c>
      <c r="W896" s="60"/>
    </row>
    <row r="897" s="59" customFormat="1" ht="42" customHeight="1">
      <c r="A897" s="36">
        <v>3</v>
      </c>
      <c r="B897" s="50" t="s">
        <v>373</v>
      </c>
      <c r="C897" s="33" t="s">
        <v>43</v>
      </c>
      <c r="D897" s="35">
        <v>1990</v>
      </c>
      <c r="E897" s="35" t="s">
        <v>39</v>
      </c>
      <c r="F897" s="33" t="s">
        <v>77</v>
      </c>
      <c r="G897" s="33">
        <v>5</v>
      </c>
      <c r="H897" s="33">
        <v>3</v>
      </c>
      <c r="I897" s="56">
        <v>1157.4000000000001</v>
      </c>
      <c r="J897" s="56">
        <v>898.25</v>
      </c>
      <c r="K897" s="56">
        <v>898.25</v>
      </c>
      <c r="L897" s="57">
        <v>44</v>
      </c>
      <c r="M897" s="39">
        <f t="shared" si="153"/>
        <v>1719343.5600000001</v>
      </c>
      <c r="N897" s="37">
        <v>0</v>
      </c>
      <c r="O897" s="37">
        <v>0</v>
      </c>
      <c r="P897" s="37">
        <v>0</v>
      </c>
      <c r="Q897" s="37">
        <f>'Таблица 3 '!C886</f>
        <v>1719343.5600000001</v>
      </c>
      <c r="R897" s="56">
        <f t="shared" si="154"/>
        <v>1719343.5600000001</v>
      </c>
      <c r="S897" s="37">
        <v>0</v>
      </c>
      <c r="T897" s="37">
        <f t="shared" si="146"/>
        <v>1914.1036014472586</v>
      </c>
      <c r="U897" s="37">
        <f t="shared" si="147"/>
        <v>1914.1036014472586</v>
      </c>
      <c r="V897" s="41" t="s">
        <v>761</v>
      </c>
      <c r="W897" s="59"/>
    </row>
    <row r="898" s="59" customFormat="1" ht="42" customHeight="1">
      <c r="A898" s="36">
        <v>4</v>
      </c>
      <c r="B898" s="50" t="s">
        <v>375</v>
      </c>
      <c r="C898" s="33" t="s">
        <v>43</v>
      </c>
      <c r="D898" s="35">
        <v>1993</v>
      </c>
      <c r="E898" s="35">
        <v>2020</v>
      </c>
      <c r="F898" s="33" t="s">
        <v>77</v>
      </c>
      <c r="G898" s="33">
        <v>5</v>
      </c>
      <c r="H898" s="33">
        <v>1</v>
      </c>
      <c r="I898" s="56">
        <v>1087.5</v>
      </c>
      <c r="J898" s="56">
        <v>967.36000000000001</v>
      </c>
      <c r="K898" s="56">
        <v>967.36000000000001</v>
      </c>
      <c r="L898" s="57">
        <v>15</v>
      </c>
      <c r="M898" s="39">
        <f t="shared" si="153"/>
        <v>1851627.2600000002</v>
      </c>
      <c r="N898" s="37">
        <v>0</v>
      </c>
      <c r="O898" s="37">
        <v>0</v>
      </c>
      <c r="P898" s="37">
        <v>0</v>
      </c>
      <c r="Q898" s="37">
        <f>'Таблица 3 '!C887</f>
        <v>1851627.2600000002</v>
      </c>
      <c r="R898" s="56">
        <f t="shared" si="154"/>
        <v>1851627.2600000002</v>
      </c>
      <c r="S898" s="37">
        <v>0</v>
      </c>
      <c r="T898" s="37">
        <f t="shared" si="146"/>
        <v>1914.1036015547472</v>
      </c>
      <c r="U898" s="37">
        <f t="shared" si="147"/>
        <v>1914.1036015547472</v>
      </c>
      <c r="V898" s="41" t="s">
        <v>761</v>
      </c>
      <c r="W898" s="59"/>
    </row>
    <row r="899" s="144" customFormat="1" ht="42" customHeight="1">
      <c r="A899" s="36">
        <v>5</v>
      </c>
      <c r="B899" s="52" t="s">
        <v>682</v>
      </c>
      <c r="C899" s="43" t="s">
        <v>43</v>
      </c>
      <c r="D899" s="35">
        <v>1979</v>
      </c>
      <c r="E899" s="44">
        <v>2023</v>
      </c>
      <c r="F899" s="33" t="s">
        <v>77</v>
      </c>
      <c r="G899" s="43">
        <v>5</v>
      </c>
      <c r="H899" s="33">
        <v>4</v>
      </c>
      <c r="I899" s="58">
        <v>4416.0200000000004</v>
      </c>
      <c r="J899" s="56">
        <v>3570.79</v>
      </c>
      <c r="K899" s="58">
        <v>3570.79</v>
      </c>
      <c r="L899" s="57">
        <v>76</v>
      </c>
      <c r="M899" s="46">
        <f t="shared" si="153"/>
        <v>6834861.9900000002</v>
      </c>
      <c r="N899" s="37">
        <v>0</v>
      </c>
      <c r="O899" s="46">
        <v>0</v>
      </c>
      <c r="P899" s="37">
        <v>0</v>
      </c>
      <c r="Q899" s="37">
        <f>'Таблица 3 '!C888</f>
        <v>6834861.9900000002</v>
      </c>
      <c r="R899" s="37">
        <f t="shared" si="154"/>
        <v>6834861.9900000002</v>
      </c>
      <c r="S899" s="46">
        <v>0</v>
      </c>
      <c r="T899" s="37">
        <f t="shared" si="146"/>
        <v>1914.1035989234877</v>
      </c>
      <c r="U899" s="46">
        <f t="shared" si="147"/>
        <v>1914.1035989234877</v>
      </c>
      <c r="V899" s="41" t="s">
        <v>761</v>
      </c>
      <c r="W899" s="60"/>
    </row>
    <row r="900" s="60" customFormat="1" ht="25.199999999999999" customHeight="1">
      <c r="A900" s="25" t="s">
        <v>411</v>
      </c>
      <c r="B900" s="25"/>
      <c r="C900" s="26" t="s">
        <v>39</v>
      </c>
      <c r="D900" s="26" t="s">
        <v>39</v>
      </c>
      <c r="E900" s="27" t="s">
        <v>39</v>
      </c>
      <c r="F900" s="229" t="s">
        <v>39</v>
      </c>
      <c r="G900" s="230" t="s">
        <v>39</v>
      </c>
      <c r="H900" s="230" t="s">
        <v>39</v>
      </c>
      <c r="I900" s="231">
        <f>SUM(I901:I903)</f>
        <v>4950.0999999999995</v>
      </c>
      <c r="J900" s="231">
        <f>SUM(J901:J903)</f>
        <v>4665.1000000000004</v>
      </c>
      <c r="K900" s="231">
        <f>SUM(K901:K903)</f>
        <v>4477.5</v>
      </c>
      <c r="L900" s="232">
        <f>SUM(L901:L903)</f>
        <v>190</v>
      </c>
      <c r="M900" s="231">
        <f>SUM(M901:M903)</f>
        <v>21796582.989999998</v>
      </c>
      <c r="N900" s="231">
        <f>SUM(N901:N903)</f>
        <v>0</v>
      </c>
      <c r="O900" s="231">
        <f>SUM(O901:O903)</f>
        <v>0</v>
      </c>
      <c r="P900" s="231">
        <f>SUM(P901:P903)</f>
        <v>0</v>
      </c>
      <c r="Q900" s="231">
        <f>SUM(Q901:Q903)</f>
        <v>21796582.989999998</v>
      </c>
      <c r="R900" s="231">
        <f>SUM(R901:R903)</f>
        <v>21796582.989999998</v>
      </c>
      <c r="S900" s="231">
        <f>SUM(S901:S903)</f>
        <v>0</v>
      </c>
      <c r="T900" s="32" t="s">
        <v>39</v>
      </c>
      <c r="U900" s="32" t="s">
        <v>39</v>
      </c>
      <c r="V900" s="28" t="s">
        <v>39</v>
      </c>
      <c r="W900" s="60"/>
    </row>
    <row r="901" s="60" customFormat="1" ht="42.75" customHeight="1">
      <c r="A901" s="33">
        <v>1</v>
      </c>
      <c r="B901" s="34" t="s">
        <v>418</v>
      </c>
      <c r="C901" s="33" t="s">
        <v>43</v>
      </c>
      <c r="D901" s="35">
        <v>1960</v>
      </c>
      <c r="E901" s="35" t="s">
        <v>39</v>
      </c>
      <c r="F901" s="33" t="s">
        <v>77</v>
      </c>
      <c r="G901" s="36" t="s">
        <v>419</v>
      </c>
      <c r="H901" s="36" t="s">
        <v>419</v>
      </c>
      <c r="I901" s="56">
        <v>652.29999999999995</v>
      </c>
      <c r="J901" s="37">
        <v>628.29999999999995</v>
      </c>
      <c r="K901" s="37">
        <v>587</v>
      </c>
      <c r="L901" s="38">
        <v>38</v>
      </c>
      <c r="M901" s="39">
        <f t="shared" ref="M901:M903" si="155">SUM(N901:Q901)</f>
        <v>12068295.309999999</v>
      </c>
      <c r="N901" s="37">
        <v>0</v>
      </c>
      <c r="O901" s="37">
        <v>0</v>
      </c>
      <c r="P901" s="37">
        <v>0</v>
      </c>
      <c r="Q901" s="40">
        <f>'Таблица 3 '!C890</f>
        <v>12068295.309999999</v>
      </c>
      <c r="R901" s="37">
        <f t="shared" si="154"/>
        <v>12068295.309999999</v>
      </c>
      <c r="S901" s="37">
        <v>0</v>
      </c>
      <c r="T901" s="40">
        <f t="shared" si="146"/>
        <v>19207.85502148655</v>
      </c>
      <c r="U901" s="87">
        <f t="shared" si="147"/>
        <v>19207.85502148655</v>
      </c>
      <c r="V901" s="41" t="s">
        <v>761</v>
      </c>
      <c r="W901" s="60"/>
    </row>
    <row r="902" s="60" customFormat="1" ht="42.75" customHeight="1">
      <c r="A902" s="33">
        <v>2</v>
      </c>
      <c r="B902" s="34" t="s">
        <v>426</v>
      </c>
      <c r="C902" s="33" t="s">
        <v>43</v>
      </c>
      <c r="D902" s="35">
        <v>1969</v>
      </c>
      <c r="E902" s="35" t="s">
        <v>63</v>
      </c>
      <c r="F902" s="33" t="s">
        <v>77</v>
      </c>
      <c r="G902" s="36" t="s">
        <v>413</v>
      </c>
      <c r="H902" s="36" t="s">
        <v>414</v>
      </c>
      <c r="I902" s="79">
        <v>3353.5999999999999</v>
      </c>
      <c r="J902" s="40">
        <v>3109.1999999999998</v>
      </c>
      <c r="K902" s="40">
        <v>2962.9000000000001</v>
      </c>
      <c r="L902" s="48">
        <v>114</v>
      </c>
      <c r="M902" s="87">
        <f t="shared" si="155"/>
        <v>7383588.25</v>
      </c>
      <c r="N902" s="40">
        <v>0</v>
      </c>
      <c r="O902" s="40">
        <v>0</v>
      </c>
      <c r="P902" s="40">
        <v>0</v>
      </c>
      <c r="Q902" s="40">
        <f>'Таблица 3 '!C891</f>
        <v>7383588.25</v>
      </c>
      <c r="R902" s="40">
        <f t="shared" si="154"/>
        <v>7383588.25</v>
      </c>
      <c r="S902" s="40">
        <v>0</v>
      </c>
      <c r="T902" s="40">
        <f t="shared" si="146"/>
        <v>2374.7550012865049</v>
      </c>
      <c r="U902" s="87">
        <f t="shared" si="147"/>
        <v>2374.7550012865049</v>
      </c>
      <c r="V902" s="41" t="s">
        <v>761</v>
      </c>
      <c r="W902" s="60"/>
    </row>
    <row r="903" s="60" customFormat="1" ht="42.75" customHeight="1">
      <c r="A903" s="33">
        <v>3</v>
      </c>
      <c r="B903" s="86" t="s">
        <v>781</v>
      </c>
      <c r="C903" s="33" t="s">
        <v>43</v>
      </c>
      <c r="D903" s="35">
        <v>1990</v>
      </c>
      <c r="E903" s="35" t="s">
        <v>57</v>
      </c>
      <c r="F903" s="33" t="s">
        <v>77</v>
      </c>
      <c r="G903" s="36">
        <v>2</v>
      </c>
      <c r="H903" s="36">
        <v>2</v>
      </c>
      <c r="I903" s="79">
        <v>944.20000000000005</v>
      </c>
      <c r="J903" s="40">
        <v>927.60000000000002</v>
      </c>
      <c r="K903" s="40">
        <v>927.60000000000002</v>
      </c>
      <c r="L903" s="48">
        <v>38</v>
      </c>
      <c r="M903" s="39">
        <f t="shared" si="155"/>
        <v>2344699.4300000002</v>
      </c>
      <c r="N903" s="37">
        <v>0</v>
      </c>
      <c r="O903" s="37">
        <v>0</v>
      </c>
      <c r="P903" s="37">
        <v>0</v>
      </c>
      <c r="Q903" s="40">
        <f>'Таблица 3 '!C892</f>
        <v>2344699.4300000002</v>
      </c>
      <c r="R903" s="37">
        <f t="shared" si="154"/>
        <v>2344699.4300000002</v>
      </c>
      <c r="S903" s="40">
        <v>0</v>
      </c>
      <c r="T903" s="40">
        <f t="shared" si="146"/>
        <v>2527.7052932298407</v>
      </c>
      <c r="U903" s="87">
        <f t="shared" si="147"/>
        <v>2527.7052932298407</v>
      </c>
      <c r="V903" s="41" t="s">
        <v>761</v>
      </c>
      <c r="W903" s="60"/>
    </row>
    <row r="904" s="60" customFormat="1" ht="23.25" customHeight="1">
      <c r="A904" s="25" t="s">
        <v>429</v>
      </c>
      <c r="B904" s="25"/>
      <c r="C904" s="26" t="s">
        <v>39</v>
      </c>
      <c r="D904" s="26" t="s">
        <v>39</v>
      </c>
      <c r="E904" s="27" t="s">
        <v>39</v>
      </c>
      <c r="F904" s="26" t="s">
        <v>39</v>
      </c>
      <c r="G904" s="28" t="s">
        <v>39</v>
      </c>
      <c r="H904" s="28" t="s">
        <v>39</v>
      </c>
      <c r="I904" s="233">
        <f>SUM(I905:I908)</f>
        <v>4823.7000000000007</v>
      </c>
      <c r="J904" s="233">
        <f>SUM(J905:J908)</f>
        <v>3735.48</v>
      </c>
      <c r="K904" s="233">
        <f>SUM(K905:K908)</f>
        <v>3457.8800000000001</v>
      </c>
      <c r="L904" s="234">
        <f>SUM(L905:L908)</f>
        <v>129</v>
      </c>
      <c r="M904" s="233">
        <f>SUM(M905:M908)</f>
        <v>23241981.200000003</v>
      </c>
      <c r="N904" s="233">
        <f>SUM(N905:N908)</f>
        <v>0</v>
      </c>
      <c r="O904" s="233">
        <f>SUM(O905:O908)</f>
        <v>0</v>
      </c>
      <c r="P904" s="233">
        <f>SUM(P905:P908)</f>
        <v>0</v>
      </c>
      <c r="Q904" s="233">
        <f>SUM(Q905:Q908)</f>
        <v>23241981.200000003</v>
      </c>
      <c r="R904" s="233">
        <f>SUM(R905:R908)</f>
        <v>23241981.200000003</v>
      </c>
      <c r="S904" s="233">
        <f>SUM(S905:S908)</f>
        <v>0</v>
      </c>
      <c r="T904" s="32" t="s">
        <v>39</v>
      </c>
      <c r="U904" s="32" t="s">
        <v>39</v>
      </c>
      <c r="V904" s="28" t="s">
        <v>39</v>
      </c>
      <c r="W904" s="60"/>
    </row>
    <row r="905" s="60" customFormat="1" ht="45" customHeight="1">
      <c r="A905" s="33">
        <v>1</v>
      </c>
      <c r="B905" s="50" t="s">
        <v>782</v>
      </c>
      <c r="C905" s="33" t="s">
        <v>43</v>
      </c>
      <c r="D905" s="35" t="s">
        <v>79</v>
      </c>
      <c r="E905" s="35" t="s">
        <v>39</v>
      </c>
      <c r="F905" s="33" t="s">
        <v>77</v>
      </c>
      <c r="G905" s="36">
        <v>2</v>
      </c>
      <c r="H905" s="36">
        <v>3</v>
      </c>
      <c r="I905" s="111">
        <v>1768.51</v>
      </c>
      <c r="J905" s="111">
        <v>967.57000000000005</v>
      </c>
      <c r="K905" s="111">
        <v>916.37</v>
      </c>
      <c r="L905" s="57">
        <v>39</v>
      </c>
      <c r="M905" s="111">
        <f t="shared" ref="M905:M908" si="156">SUM(N905:Q905)</f>
        <v>11569474.16</v>
      </c>
      <c r="N905" s="56">
        <v>0</v>
      </c>
      <c r="O905" s="56">
        <v>0</v>
      </c>
      <c r="P905" s="56">
        <v>0</v>
      </c>
      <c r="Q905" s="87">
        <f>'Таблица 3 '!C894</f>
        <v>11569474.16</v>
      </c>
      <c r="R905" s="56">
        <f t="shared" ref="R905:R908" si="157">Q905</f>
        <v>11569474.16</v>
      </c>
      <c r="S905" s="56">
        <v>0</v>
      </c>
      <c r="T905" s="37">
        <f t="shared" si="146"/>
        <v>11957.247703008567</v>
      </c>
      <c r="U905" s="37">
        <f t="shared" si="147"/>
        <v>11957.247703008567</v>
      </c>
      <c r="V905" s="41" t="s">
        <v>761</v>
      </c>
      <c r="W905" s="59"/>
    </row>
    <row r="906" s="60" customFormat="1" ht="45" customHeight="1">
      <c r="A906" s="33">
        <v>2</v>
      </c>
      <c r="B906" s="50" t="s">
        <v>783</v>
      </c>
      <c r="C906" s="33" t="s">
        <v>43</v>
      </c>
      <c r="D906" s="35" t="s">
        <v>145</v>
      </c>
      <c r="E906" s="35" t="s">
        <v>39</v>
      </c>
      <c r="F906" s="33" t="s">
        <v>77</v>
      </c>
      <c r="G906" s="36">
        <v>2</v>
      </c>
      <c r="H906" s="36">
        <v>2</v>
      </c>
      <c r="I906" s="111">
        <v>687.5</v>
      </c>
      <c r="J906" s="111">
        <v>611.91999999999996</v>
      </c>
      <c r="K906" s="111">
        <v>611.91999999999996</v>
      </c>
      <c r="L906" s="57">
        <v>23</v>
      </c>
      <c r="M906" s="111">
        <f t="shared" si="156"/>
        <v>1109989.3799999999</v>
      </c>
      <c r="N906" s="56">
        <v>0</v>
      </c>
      <c r="O906" s="56">
        <v>0</v>
      </c>
      <c r="P906" s="56">
        <v>0</v>
      </c>
      <c r="Q906" s="87">
        <f>'Таблица 3 '!C895</f>
        <v>1109989.3799999999</v>
      </c>
      <c r="R906" s="56">
        <f t="shared" si="157"/>
        <v>1109989.3799999999</v>
      </c>
      <c r="S906" s="56">
        <v>0</v>
      </c>
      <c r="T906" s="37">
        <f t="shared" si="146"/>
        <v>1813.9452542816055</v>
      </c>
      <c r="U906" s="37">
        <f t="shared" si="147"/>
        <v>1813.9452542816055</v>
      </c>
      <c r="V906" s="41" t="s">
        <v>761</v>
      </c>
      <c r="W906" s="59"/>
    </row>
    <row r="907" s="60" customFormat="1" ht="42.75" customHeight="1">
      <c r="A907" s="33">
        <v>3</v>
      </c>
      <c r="B907" s="50" t="s">
        <v>695</v>
      </c>
      <c r="C907" s="33" t="s">
        <v>43</v>
      </c>
      <c r="D907" s="33">
        <v>1993</v>
      </c>
      <c r="E907" s="35">
        <v>2019</v>
      </c>
      <c r="F907" s="33" t="s">
        <v>77</v>
      </c>
      <c r="G907" s="36">
        <v>3</v>
      </c>
      <c r="H907" s="36">
        <v>3</v>
      </c>
      <c r="I907" s="92">
        <v>1673</v>
      </c>
      <c r="J907" s="87">
        <v>1530.8</v>
      </c>
      <c r="K907" s="87">
        <v>1456.4000000000001</v>
      </c>
      <c r="L907" s="48">
        <v>39</v>
      </c>
      <c r="M907" s="87">
        <f t="shared" si="156"/>
        <v>4542139.2400000002</v>
      </c>
      <c r="N907" s="40">
        <v>0</v>
      </c>
      <c r="O907" s="40">
        <v>0</v>
      </c>
      <c r="P907" s="40">
        <v>0</v>
      </c>
      <c r="Q907" s="87">
        <f>'Таблица 3 '!C896</f>
        <v>4542139.2400000002</v>
      </c>
      <c r="R907" s="40">
        <f t="shared" si="157"/>
        <v>4542139.2400000002</v>
      </c>
      <c r="S907" s="40">
        <v>0</v>
      </c>
      <c r="T907" s="40">
        <f t="shared" si="146"/>
        <v>2967.1669976482885</v>
      </c>
      <c r="U907" s="40">
        <f t="shared" si="147"/>
        <v>2967.1669976482885</v>
      </c>
      <c r="V907" s="41" t="s">
        <v>761</v>
      </c>
      <c r="W907" s="60"/>
    </row>
    <row r="908" s="60" customFormat="1" ht="42.75" customHeight="1">
      <c r="A908" s="33">
        <v>4</v>
      </c>
      <c r="B908" s="50" t="s">
        <v>784</v>
      </c>
      <c r="C908" s="159" t="s">
        <v>43</v>
      </c>
      <c r="D908" s="160" t="s">
        <v>91</v>
      </c>
      <c r="E908" s="160" t="s">
        <v>39</v>
      </c>
      <c r="F908" s="159" t="s">
        <v>77</v>
      </c>
      <c r="G908" s="161">
        <v>2</v>
      </c>
      <c r="H908" s="161">
        <v>2</v>
      </c>
      <c r="I908" s="111">
        <v>694.69000000000005</v>
      </c>
      <c r="J908" s="39">
        <v>625.19000000000005</v>
      </c>
      <c r="K908" s="39">
        <v>473.19</v>
      </c>
      <c r="L908" s="162">
        <v>28</v>
      </c>
      <c r="M908" s="39">
        <f t="shared" si="156"/>
        <v>6020378.4199999999</v>
      </c>
      <c r="N908" s="163">
        <v>0</v>
      </c>
      <c r="O908" s="163">
        <v>0</v>
      </c>
      <c r="P908" s="163">
        <v>0</v>
      </c>
      <c r="Q908" s="87">
        <f>'Таблица 3 '!C897</f>
        <v>6020378.4199999999</v>
      </c>
      <c r="R908" s="163">
        <f t="shared" si="157"/>
        <v>6020378.4199999999</v>
      </c>
      <c r="S908" s="163">
        <v>0</v>
      </c>
      <c r="T908" s="163">
        <f t="shared" si="146"/>
        <v>9629.6780498728385</v>
      </c>
      <c r="U908" s="163">
        <f t="shared" si="147"/>
        <v>9629.6780498728385</v>
      </c>
      <c r="V908" s="41" t="s">
        <v>761</v>
      </c>
      <c r="W908" s="59"/>
    </row>
    <row r="909" s="60" customFormat="1" ht="25.5" customHeight="1">
      <c r="A909" s="25" t="s">
        <v>435</v>
      </c>
      <c r="B909" s="25"/>
      <c r="C909" s="26" t="s">
        <v>39</v>
      </c>
      <c r="D909" s="26" t="s">
        <v>39</v>
      </c>
      <c r="E909" s="27" t="s">
        <v>39</v>
      </c>
      <c r="F909" s="26" t="s">
        <v>39</v>
      </c>
      <c r="G909" s="28" t="s">
        <v>39</v>
      </c>
      <c r="H909" s="28" t="s">
        <v>39</v>
      </c>
      <c r="I909" s="146">
        <f>SUM(I910:I912)</f>
        <v>9193.7000000000007</v>
      </c>
      <c r="J909" s="146">
        <f>SUM(J910:J912)</f>
        <v>7797.8999999999996</v>
      </c>
      <c r="K909" s="146">
        <f>SUM(K910:K912)</f>
        <v>3335</v>
      </c>
      <c r="L909" s="147">
        <f>SUM(L910:L912)</f>
        <v>297</v>
      </c>
      <c r="M909" s="146">
        <f>SUM(M910:M912)</f>
        <v>27271196</v>
      </c>
      <c r="N909" s="146">
        <f>SUM(N910:N912)</f>
        <v>0</v>
      </c>
      <c r="O909" s="146">
        <f>SUM(O910:O912)</f>
        <v>0</v>
      </c>
      <c r="P909" s="146">
        <f>SUM(P910:P912)</f>
        <v>0</v>
      </c>
      <c r="Q909" s="146">
        <f>SUM(Q910:Q912)</f>
        <v>27271196</v>
      </c>
      <c r="R909" s="146">
        <f>SUM(R910:R912)</f>
        <v>27271196</v>
      </c>
      <c r="S909" s="146">
        <f>SUM(S910:S912)</f>
        <v>0</v>
      </c>
      <c r="T909" s="32" t="s">
        <v>39</v>
      </c>
      <c r="U909" s="32" t="s">
        <v>39</v>
      </c>
      <c r="V909" s="28" t="s">
        <v>39</v>
      </c>
      <c r="W909" s="60"/>
    </row>
    <row r="910" s="60" customFormat="1" ht="46.799999999999997" customHeight="1">
      <c r="A910" s="33">
        <v>1</v>
      </c>
      <c r="B910" s="75" t="s">
        <v>696</v>
      </c>
      <c r="C910" s="33" t="s">
        <v>43</v>
      </c>
      <c r="D910" s="36">
        <v>1963</v>
      </c>
      <c r="E910" s="67">
        <v>2022</v>
      </c>
      <c r="F910" s="33" t="s">
        <v>77</v>
      </c>
      <c r="G910" s="36">
        <v>2</v>
      </c>
      <c r="H910" s="36">
        <v>2</v>
      </c>
      <c r="I910" s="37">
        <v>323.10000000000002</v>
      </c>
      <c r="J910" s="37">
        <v>284.19999999999999</v>
      </c>
      <c r="K910" s="37">
        <v>251.69999999999999</v>
      </c>
      <c r="L910" s="38">
        <v>30</v>
      </c>
      <c r="M910" s="37">
        <f t="shared" ref="M910:M912" si="158">SUM(N910:Q910)</f>
        <v>504219.63</v>
      </c>
      <c r="N910" s="37">
        <v>0</v>
      </c>
      <c r="O910" s="37">
        <v>0</v>
      </c>
      <c r="P910" s="37">
        <v>0</v>
      </c>
      <c r="Q910" s="37">
        <f>'Таблица 3 '!C899</f>
        <v>504219.63</v>
      </c>
      <c r="R910" s="37">
        <f t="shared" ref="R910:R912" si="159">Q910</f>
        <v>504219.63</v>
      </c>
      <c r="S910" s="37">
        <v>0</v>
      </c>
      <c r="T910" s="37">
        <f t="shared" si="146"/>
        <v>1774.171815622801</v>
      </c>
      <c r="U910" s="37">
        <f t="shared" si="147"/>
        <v>1774.171815622801</v>
      </c>
      <c r="V910" s="41" t="s">
        <v>761</v>
      </c>
      <c r="W910" s="60"/>
    </row>
    <row r="911" s="60" customFormat="1" ht="46.799999999999997" customHeight="1">
      <c r="A911" s="33">
        <v>2</v>
      </c>
      <c r="B911" s="50" t="s">
        <v>441</v>
      </c>
      <c r="C911" s="43" t="s">
        <v>43</v>
      </c>
      <c r="D911" s="33">
        <v>1986</v>
      </c>
      <c r="E911" s="44" t="s">
        <v>39</v>
      </c>
      <c r="F911" s="33" t="s">
        <v>48</v>
      </c>
      <c r="G911" s="45">
        <v>5</v>
      </c>
      <c r="H911" s="36">
        <v>3</v>
      </c>
      <c r="I911" s="58">
        <v>4477</v>
      </c>
      <c r="J911" s="37">
        <v>3800</v>
      </c>
      <c r="K911" s="46">
        <v>3034.4000000000001</v>
      </c>
      <c r="L911" s="38">
        <v>141</v>
      </c>
      <c r="M911" s="46">
        <f t="shared" si="158"/>
        <v>1721626.9100000001</v>
      </c>
      <c r="N911" s="37">
        <v>0</v>
      </c>
      <c r="O911" s="46">
        <v>0</v>
      </c>
      <c r="P911" s="37">
        <v>0</v>
      </c>
      <c r="Q911" s="37">
        <f>'Таблица 3 '!C900</f>
        <v>1721626.9100000001</v>
      </c>
      <c r="R911" s="37">
        <f t="shared" si="159"/>
        <v>1721626.9100000001</v>
      </c>
      <c r="S911" s="46">
        <v>0</v>
      </c>
      <c r="T911" s="37">
        <f t="shared" si="146"/>
        <v>453.05971315789475</v>
      </c>
      <c r="U911" s="46">
        <f t="shared" si="147"/>
        <v>453.05971315789475</v>
      </c>
      <c r="V911" s="41" t="s">
        <v>761</v>
      </c>
      <c r="W911" s="60"/>
    </row>
    <row r="912" s="59" customFormat="1" ht="42.75" customHeight="1">
      <c r="A912" s="33">
        <v>3</v>
      </c>
      <c r="B912" s="50" t="s">
        <v>785</v>
      </c>
      <c r="C912" s="33" t="s">
        <v>43</v>
      </c>
      <c r="D912" s="33">
        <v>1966</v>
      </c>
      <c r="E912" s="35" t="s">
        <v>39</v>
      </c>
      <c r="F912" s="33" t="s">
        <v>48</v>
      </c>
      <c r="G912" s="36">
        <v>4</v>
      </c>
      <c r="H912" s="36">
        <v>4</v>
      </c>
      <c r="I912" s="56">
        <v>4393.6000000000004</v>
      </c>
      <c r="J912" s="37">
        <v>3713.6999999999998</v>
      </c>
      <c r="K912" s="37">
        <v>48.899999999999999</v>
      </c>
      <c r="L912" s="38">
        <v>126</v>
      </c>
      <c r="M912" s="37">
        <f t="shared" si="158"/>
        <v>25045349.460000001</v>
      </c>
      <c r="N912" s="37">
        <v>0</v>
      </c>
      <c r="O912" s="37">
        <v>0</v>
      </c>
      <c r="P912" s="37">
        <v>0</v>
      </c>
      <c r="Q912" s="37">
        <f>'Таблица 3 '!C901</f>
        <v>25045349.460000001</v>
      </c>
      <c r="R912" s="37">
        <f t="shared" si="159"/>
        <v>25045349.460000001</v>
      </c>
      <c r="S912" s="37">
        <v>0</v>
      </c>
      <c r="T912" s="37">
        <f t="shared" si="146"/>
        <v>6744.0421843444547</v>
      </c>
      <c r="U912" s="37">
        <f t="shared" si="147"/>
        <v>6744.0421843444547</v>
      </c>
      <c r="V912" s="41" t="s">
        <v>761</v>
      </c>
      <c r="W912" s="59"/>
    </row>
    <row r="913" s="60" customFormat="1" ht="27.75" customHeight="1">
      <c r="A913" s="25" t="s">
        <v>451</v>
      </c>
      <c r="B913" s="25"/>
      <c r="C913" s="26" t="s">
        <v>39</v>
      </c>
      <c r="D913" s="26" t="s">
        <v>39</v>
      </c>
      <c r="E913" s="27" t="s">
        <v>39</v>
      </c>
      <c r="F913" s="26" t="s">
        <v>39</v>
      </c>
      <c r="G913" s="28" t="s">
        <v>39</v>
      </c>
      <c r="H913" s="28" t="s">
        <v>39</v>
      </c>
      <c r="I913" s="29">
        <f>I914</f>
        <v>1715</v>
      </c>
      <c r="J913" s="29">
        <f>J914</f>
        <v>731.39999999999998</v>
      </c>
      <c r="K913" s="29">
        <f>K914</f>
        <v>731.39999999999998</v>
      </c>
      <c r="L913" s="30">
        <f>L914</f>
        <v>30</v>
      </c>
      <c r="M913" s="29">
        <f>M914</f>
        <v>6516536.5699999994</v>
      </c>
      <c r="N913" s="29">
        <f>N914</f>
        <v>0</v>
      </c>
      <c r="O913" s="29">
        <f>O914</f>
        <v>0</v>
      </c>
      <c r="P913" s="29">
        <f>P914</f>
        <v>0</v>
      </c>
      <c r="Q913" s="29">
        <f>SUM(Q914:Q915)</f>
        <v>21320759.239999998</v>
      </c>
      <c r="R913" s="29">
        <f>R914</f>
        <v>6516536.5699999994</v>
      </c>
      <c r="S913" s="29">
        <f>S914</f>
        <v>0</v>
      </c>
      <c r="T913" s="32" t="s">
        <v>40</v>
      </c>
      <c r="U913" s="32" t="s">
        <v>40</v>
      </c>
      <c r="V913" s="28" t="s">
        <v>40</v>
      </c>
      <c r="W913" s="60"/>
    </row>
    <row r="914" s="60" customFormat="1" ht="45" customHeight="1">
      <c r="A914" s="235">
        <v>1</v>
      </c>
      <c r="B914" s="34" t="s">
        <v>786</v>
      </c>
      <c r="C914" s="33" t="s">
        <v>43</v>
      </c>
      <c r="D914" s="236">
        <v>1954</v>
      </c>
      <c r="E914" s="237" t="s">
        <v>50</v>
      </c>
      <c r="F914" s="235" t="s">
        <v>455</v>
      </c>
      <c r="G914" s="238">
        <v>2</v>
      </c>
      <c r="H914" s="238">
        <v>2</v>
      </c>
      <c r="I914" s="239">
        <v>1715</v>
      </c>
      <c r="J914" s="239">
        <v>731.39999999999998</v>
      </c>
      <c r="K914" s="239">
        <v>731.39999999999998</v>
      </c>
      <c r="L914" s="240">
        <v>30</v>
      </c>
      <c r="M914" s="241">
        <f>SUM(N914:Q914)</f>
        <v>6516536.5699999994</v>
      </c>
      <c r="N914" s="37">
        <v>0</v>
      </c>
      <c r="O914" s="37">
        <v>0</v>
      </c>
      <c r="P914" s="37">
        <v>0</v>
      </c>
      <c r="Q914" s="40">
        <f>'Таблица 3 '!C903</f>
        <v>6516536.5699999994</v>
      </c>
      <c r="R914" s="239">
        <f>Q914</f>
        <v>6516536.5699999994</v>
      </c>
      <c r="S914" s="37">
        <v>0</v>
      </c>
      <c r="T914" s="37">
        <f t="shared" si="146"/>
        <v>8909.6753759912499</v>
      </c>
      <c r="U914" s="241">
        <f t="shared" si="147"/>
        <v>8909.6753759912499</v>
      </c>
      <c r="V914" s="41" t="s">
        <v>761</v>
      </c>
      <c r="W914" s="60"/>
    </row>
    <row r="915" s="60" customFormat="1" ht="45" customHeight="1">
      <c r="A915" s="242">
        <v>2</v>
      </c>
      <c r="B915" s="195" t="s">
        <v>718</v>
      </c>
      <c r="C915" s="243" t="s">
        <v>43</v>
      </c>
      <c r="D915" s="173">
        <v>1992</v>
      </c>
      <c r="E915" s="197" t="s">
        <v>47</v>
      </c>
      <c r="F915" s="198" t="s">
        <v>48</v>
      </c>
      <c r="G915" s="175">
        <v>9</v>
      </c>
      <c r="H915" s="175">
        <v>3</v>
      </c>
      <c r="I915" s="184">
        <v>7049.6999999999998</v>
      </c>
      <c r="J915" s="184">
        <v>6234</v>
      </c>
      <c r="K915" s="184">
        <v>6096.8999999999996</v>
      </c>
      <c r="L915" s="244">
        <v>163</v>
      </c>
      <c r="M915" s="39">
        <f>SUM(N915:Q915)</f>
        <v>14804222.67</v>
      </c>
      <c r="N915" s="126">
        <v>0</v>
      </c>
      <c r="O915" s="126">
        <v>0</v>
      </c>
      <c r="P915" s="126">
        <v>0</v>
      </c>
      <c r="Q915" s="40">
        <f>'Таблица 3 '!C904</f>
        <v>14804222.67</v>
      </c>
      <c r="R915" s="37">
        <f>Q915</f>
        <v>14804222.67</v>
      </c>
      <c r="S915" s="126">
        <v>0</v>
      </c>
      <c r="T915" s="245">
        <f t="shared" si="146"/>
        <v>2374.7550000000001</v>
      </c>
      <c r="U915" s="246">
        <v>589435</v>
      </c>
      <c r="V915" s="201" t="s">
        <v>761</v>
      </c>
      <c r="W915" s="142"/>
    </row>
    <row r="916" s="31" customFormat="1" ht="25.199999999999999" customHeight="1">
      <c r="A916" s="202" t="s">
        <v>464</v>
      </c>
      <c r="B916" s="61"/>
      <c r="C916" s="28" t="s">
        <v>39</v>
      </c>
      <c r="D916" s="203" t="s">
        <v>39</v>
      </c>
      <c r="E916" s="204" t="s">
        <v>39</v>
      </c>
      <c r="F916" s="203" t="s">
        <v>39</v>
      </c>
      <c r="G916" s="203" t="s">
        <v>39</v>
      </c>
      <c r="H916" s="203" t="s">
        <v>39</v>
      </c>
      <c r="I916" s="205">
        <f>SUM(I917:I920)</f>
        <v>2974.8900000000003</v>
      </c>
      <c r="J916" s="205">
        <f>SUM(J917:J920)</f>
        <v>2465.1999999999998</v>
      </c>
      <c r="K916" s="205">
        <f>SUM(K917:K920)</f>
        <v>1667.3</v>
      </c>
      <c r="L916" s="206">
        <f>SUM(L917:L920)</f>
        <v>76</v>
      </c>
      <c r="M916" s="64">
        <f>SUM(M917:M920)</f>
        <v>21365651.73</v>
      </c>
      <c r="N916" s="64">
        <f>SUM(N917:N920)</f>
        <v>0</v>
      </c>
      <c r="O916" s="64">
        <f>SUM(O917:O920)</f>
        <v>0</v>
      </c>
      <c r="P916" s="64">
        <f>SUM(P917:P920)</f>
        <v>0</v>
      </c>
      <c r="Q916" s="64">
        <f>SUM(Q917:Q920)</f>
        <v>21365651.73</v>
      </c>
      <c r="R916" s="64">
        <f>SUM(R917:R920)</f>
        <v>21365651.73</v>
      </c>
      <c r="S916" s="205">
        <f>SUM(S917:S920)</f>
        <v>0</v>
      </c>
      <c r="T916" s="32" t="s">
        <v>39</v>
      </c>
      <c r="U916" s="247" t="s">
        <v>39</v>
      </c>
      <c r="V916" s="28" t="s">
        <v>39</v>
      </c>
      <c r="W916" s="31"/>
    </row>
    <row r="917" s="47" customFormat="1" ht="45" customHeight="1">
      <c r="A917" s="33">
        <v>1</v>
      </c>
      <c r="B917" s="52" t="s">
        <v>467</v>
      </c>
      <c r="C917" s="43" t="s">
        <v>43</v>
      </c>
      <c r="D917" s="36">
        <v>1988</v>
      </c>
      <c r="E917" s="145" t="s">
        <v>39</v>
      </c>
      <c r="F917" s="33" t="s">
        <v>77</v>
      </c>
      <c r="G917" s="45">
        <v>3</v>
      </c>
      <c r="H917" s="36">
        <v>3</v>
      </c>
      <c r="I917" s="46">
        <v>721.5</v>
      </c>
      <c r="J917" s="37">
        <v>721.5</v>
      </c>
      <c r="K917" s="46">
        <v>0</v>
      </c>
      <c r="L917" s="38">
        <v>12</v>
      </c>
      <c r="M917" s="39">
        <f t="shared" ref="M917:M920" si="160">SUM(N917:Q917)</f>
        <v>11664287.9</v>
      </c>
      <c r="N917" s="58">
        <v>0</v>
      </c>
      <c r="O917" s="56">
        <v>0</v>
      </c>
      <c r="P917" s="58">
        <v>0</v>
      </c>
      <c r="Q917" s="37">
        <f>'Таблица 3 '!C906</f>
        <v>11664287.9</v>
      </c>
      <c r="R917" s="58">
        <f t="shared" ref="R917:R920" si="161">Q917</f>
        <v>11664287.9</v>
      </c>
      <c r="S917" s="56">
        <v>0</v>
      </c>
      <c r="T917" s="46">
        <f t="shared" ref="T917:T959" si="162">M917/J917</f>
        <v>16166.719196119197</v>
      </c>
      <c r="U917" s="39">
        <f t="shared" si="147"/>
        <v>16166.719196119197</v>
      </c>
      <c r="V917" s="41" t="s">
        <v>761</v>
      </c>
      <c r="W917" s="47"/>
    </row>
    <row r="918" s="47" customFormat="1" ht="45" customHeight="1">
      <c r="A918" s="33">
        <v>2</v>
      </c>
      <c r="B918" s="52" t="s">
        <v>719</v>
      </c>
      <c r="C918" s="33" t="s">
        <v>43</v>
      </c>
      <c r="D918" s="36">
        <v>1970</v>
      </c>
      <c r="E918" s="67" t="s">
        <v>39</v>
      </c>
      <c r="F918" s="33" t="s">
        <v>77</v>
      </c>
      <c r="G918" s="36">
        <v>2</v>
      </c>
      <c r="H918" s="36">
        <v>1</v>
      </c>
      <c r="I918" s="37">
        <v>509</v>
      </c>
      <c r="J918" s="37">
        <v>478.69999999999999</v>
      </c>
      <c r="K918" s="37">
        <v>444.69999999999999</v>
      </c>
      <c r="L918" s="248">
        <v>16</v>
      </c>
      <c r="M918" s="39">
        <f t="shared" si="160"/>
        <v>1682945.8699999999</v>
      </c>
      <c r="N918" s="56">
        <v>0</v>
      </c>
      <c r="O918" s="56">
        <v>0</v>
      </c>
      <c r="P918" s="56">
        <v>0</v>
      </c>
      <c r="Q918" s="37">
        <f>'Таблица 3 '!C907</f>
        <v>1682945.8699999999</v>
      </c>
      <c r="R918" s="56">
        <f t="shared" si="161"/>
        <v>1682945.8699999999</v>
      </c>
      <c r="S918" s="56">
        <v>0</v>
      </c>
      <c r="T918" s="37">
        <f t="shared" si="162"/>
        <v>3515.6588050971377</v>
      </c>
      <c r="U918" s="39">
        <f t="shared" si="147"/>
        <v>3515.6588050971377</v>
      </c>
      <c r="V918" s="41" t="s">
        <v>761</v>
      </c>
      <c r="W918" s="59"/>
    </row>
    <row r="919" s="47" customFormat="1" ht="45" customHeight="1">
      <c r="A919" s="33">
        <v>3</v>
      </c>
      <c r="B919" s="52" t="s">
        <v>720</v>
      </c>
      <c r="C919" s="33" t="s">
        <v>43</v>
      </c>
      <c r="D919" s="36">
        <v>1964</v>
      </c>
      <c r="E919" s="67" t="s">
        <v>39</v>
      </c>
      <c r="F919" s="33" t="s">
        <v>77</v>
      </c>
      <c r="G919" s="36">
        <v>2</v>
      </c>
      <c r="H919" s="36">
        <v>2</v>
      </c>
      <c r="I919" s="37">
        <v>661</v>
      </c>
      <c r="J919" s="37">
        <v>637.29999999999995</v>
      </c>
      <c r="K919" s="37">
        <v>594.89999999999998</v>
      </c>
      <c r="L919" s="90">
        <v>21</v>
      </c>
      <c r="M919" s="39">
        <f t="shared" si="160"/>
        <v>2240529.3500000001</v>
      </c>
      <c r="N919" s="56">
        <v>0</v>
      </c>
      <c r="O919" s="56">
        <v>0</v>
      </c>
      <c r="P919" s="56">
        <v>0</v>
      </c>
      <c r="Q919" s="37">
        <f>'Таблица 3 '!C908</f>
        <v>2240529.3500000001</v>
      </c>
      <c r="R919" s="56">
        <f t="shared" si="161"/>
        <v>2240529.3500000001</v>
      </c>
      <c r="S919" s="56">
        <v>0</v>
      </c>
      <c r="T919" s="37">
        <f t="shared" si="162"/>
        <v>3515.6587949160526</v>
      </c>
      <c r="U919" s="39">
        <f t="shared" si="147"/>
        <v>3515.6587949160526</v>
      </c>
      <c r="V919" s="41" t="s">
        <v>761</v>
      </c>
      <c r="W919" s="59"/>
    </row>
    <row r="920" s="47" customFormat="1" ht="45" customHeight="1">
      <c r="A920" s="33">
        <v>4</v>
      </c>
      <c r="B920" s="52" t="s">
        <v>721</v>
      </c>
      <c r="C920" s="43" t="s">
        <v>43</v>
      </c>
      <c r="D920" s="36">
        <v>1969</v>
      </c>
      <c r="E920" s="145" t="s">
        <v>39</v>
      </c>
      <c r="F920" s="33" t="s">
        <v>77</v>
      </c>
      <c r="G920" s="45">
        <v>2</v>
      </c>
      <c r="H920" s="36">
        <v>2</v>
      </c>
      <c r="I920" s="46">
        <v>1083.3900000000001</v>
      </c>
      <c r="J920" s="37">
        <v>627.70000000000005</v>
      </c>
      <c r="K920" s="46">
        <v>627.70000000000005</v>
      </c>
      <c r="L920" s="38">
        <v>27</v>
      </c>
      <c r="M920" s="39">
        <f t="shared" si="160"/>
        <v>5777888.6100000003</v>
      </c>
      <c r="N920" s="58">
        <v>0</v>
      </c>
      <c r="O920" s="56">
        <v>0</v>
      </c>
      <c r="P920" s="58">
        <v>0</v>
      </c>
      <c r="Q920" s="37">
        <f>'Таблица 3 '!C909</f>
        <v>5777888.6100000003</v>
      </c>
      <c r="R920" s="58">
        <f t="shared" si="161"/>
        <v>5777888.6100000003</v>
      </c>
      <c r="S920" s="56">
        <v>0</v>
      </c>
      <c r="T920" s="46">
        <f t="shared" si="162"/>
        <v>9204.8567946471248</v>
      </c>
      <c r="U920" s="39">
        <f t="shared" si="147"/>
        <v>9204.8567946471248</v>
      </c>
      <c r="V920" s="41" t="s">
        <v>761</v>
      </c>
      <c r="W920" s="59"/>
    </row>
    <row r="921" s="31" customFormat="1" ht="24.75" customHeight="1">
      <c r="A921" s="249" t="s">
        <v>722</v>
      </c>
      <c r="B921" s="249"/>
      <c r="C921" s="26" t="s">
        <v>39</v>
      </c>
      <c r="D921" s="28" t="s">
        <v>39</v>
      </c>
      <c r="E921" s="66" t="s">
        <v>39</v>
      </c>
      <c r="F921" s="26" t="s">
        <v>39</v>
      </c>
      <c r="G921" s="28" t="s">
        <v>39</v>
      </c>
      <c r="H921" s="28" t="s">
        <v>39</v>
      </c>
      <c r="I921" s="64">
        <f>SUM(I922:I924)</f>
        <v>2476</v>
      </c>
      <c r="J921" s="64">
        <f>SUM(J922:J924)</f>
        <v>2034.5999999999999</v>
      </c>
      <c r="K921" s="64">
        <f>SUM(K922:K924)</f>
        <v>1739.5000000000002</v>
      </c>
      <c r="L921" s="250">
        <f>SUM(L922:L924)</f>
        <v>62</v>
      </c>
      <c r="M921" s="64">
        <f>SUM(M922:M924)</f>
        <v>12270982.609999999</v>
      </c>
      <c r="N921" s="64">
        <f>SUM(N922:N924)</f>
        <v>0</v>
      </c>
      <c r="O921" s="64">
        <f>SUM(O922:O924)</f>
        <v>0</v>
      </c>
      <c r="P921" s="64">
        <f>SUM(P922:P924)</f>
        <v>0</v>
      </c>
      <c r="Q921" s="64">
        <f>SUM(Q922:Q924)</f>
        <v>12270982.609999999</v>
      </c>
      <c r="R921" s="64">
        <f>SUM(R922:R924)</f>
        <v>12270982.609999999</v>
      </c>
      <c r="S921" s="64">
        <f>SUM(S922:S924)</f>
        <v>0</v>
      </c>
      <c r="T921" s="32" t="s">
        <v>39</v>
      </c>
      <c r="U921" s="32" t="s">
        <v>39</v>
      </c>
      <c r="V921" s="28" t="s">
        <v>39</v>
      </c>
      <c r="W921" s="31"/>
    </row>
    <row r="922" s="31" customFormat="1" ht="40.5" customHeight="1">
      <c r="A922" s="33">
        <v>1</v>
      </c>
      <c r="B922" s="98" t="s">
        <v>723</v>
      </c>
      <c r="C922" s="251" t="s">
        <v>43</v>
      </c>
      <c r="D922" s="43">
        <v>1965</v>
      </c>
      <c r="E922" s="35" t="s">
        <v>39</v>
      </c>
      <c r="F922" s="43" t="s">
        <v>77</v>
      </c>
      <c r="G922" s="252">
        <v>2</v>
      </c>
      <c r="H922" s="45">
        <v>3</v>
      </c>
      <c r="I922" s="253">
        <v>824.39999999999998</v>
      </c>
      <c r="J922" s="51">
        <v>471.10000000000002</v>
      </c>
      <c r="K922" s="253">
        <v>471.10000000000002</v>
      </c>
      <c r="L922" s="138">
        <v>12</v>
      </c>
      <c r="M922" s="39">
        <f t="shared" ref="M922:M924" si="163">SUM(N922:Q922)</f>
        <v>4696724.1499999994</v>
      </c>
      <c r="N922" s="254">
        <v>0</v>
      </c>
      <c r="O922" s="46">
        <v>0</v>
      </c>
      <c r="P922" s="254">
        <v>0</v>
      </c>
      <c r="Q922" s="37">
        <f>'Таблица 3 '!C911</f>
        <v>4696724.1499999994</v>
      </c>
      <c r="R922" s="254">
        <f t="shared" ref="R922:R924" si="164">Q922</f>
        <v>4696724.1499999994</v>
      </c>
      <c r="S922" s="46">
        <v>0</v>
      </c>
      <c r="T922" s="254">
        <f t="shared" si="162"/>
        <v>9969.6967735088074</v>
      </c>
      <c r="U922" s="39">
        <f t="shared" si="147"/>
        <v>9969.6967735088074</v>
      </c>
      <c r="V922" s="41" t="s">
        <v>761</v>
      </c>
      <c r="W922" s="59"/>
    </row>
    <row r="923" s="31" customFormat="1" ht="42.75" customHeight="1">
      <c r="A923" s="33">
        <v>2</v>
      </c>
      <c r="B923" s="98" t="s">
        <v>724</v>
      </c>
      <c r="C923" s="43" t="s">
        <v>43</v>
      </c>
      <c r="D923" s="33">
        <v>1975</v>
      </c>
      <c r="E923" s="44" t="s">
        <v>39</v>
      </c>
      <c r="F923" s="33" t="s">
        <v>77</v>
      </c>
      <c r="G923" s="45">
        <v>2</v>
      </c>
      <c r="H923" s="36">
        <v>2</v>
      </c>
      <c r="I923" s="51">
        <v>803.60000000000002</v>
      </c>
      <c r="J923" s="40">
        <v>728.60000000000002</v>
      </c>
      <c r="K923" s="51">
        <v>723.70000000000005</v>
      </c>
      <c r="L923" s="48">
        <v>17</v>
      </c>
      <c r="M923" s="39">
        <f t="shared" si="163"/>
        <v>7075389.8500000006</v>
      </c>
      <c r="N923" s="46">
        <v>0</v>
      </c>
      <c r="O923" s="37">
        <v>0</v>
      </c>
      <c r="P923" s="46">
        <v>0</v>
      </c>
      <c r="Q923" s="37">
        <f>'Таблица 3 '!C912</f>
        <v>7075389.8500000006</v>
      </c>
      <c r="R923" s="46">
        <f t="shared" si="164"/>
        <v>7075389.8500000006</v>
      </c>
      <c r="S923" s="37">
        <v>0</v>
      </c>
      <c r="T923" s="46">
        <f t="shared" si="162"/>
        <v>9710.9385808399675</v>
      </c>
      <c r="U923" s="39">
        <f t="shared" si="147"/>
        <v>9710.9385808399675</v>
      </c>
      <c r="V923" s="41" t="s">
        <v>761</v>
      </c>
      <c r="W923" s="59"/>
    </row>
    <row r="924" s="60" customFormat="1" ht="47.25" customHeight="1">
      <c r="A924" s="33">
        <v>3</v>
      </c>
      <c r="B924" s="50" t="s">
        <v>483</v>
      </c>
      <c r="C924" s="33" t="s">
        <v>43</v>
      </c>
      <c r="D924" s="36">
        <v>1989</v>
      </c>
      <c r="E924" s="67" t="s">
        <v>39</v>
      </c>
      <c r="F924" s="33" t="s">
        <v>77</v>
      </c>
      <c r="G924" s="36">
        <v>3</v>
      </c>
      <c r="H924" s="36">
        <v>2</v>
      </c>
      <c r="I924" s="37">
        <v>848</v>
      </c>
      <c r="J924" s="37">
        <v>834.89999999999998</v>
      </c>
      <c r="K924" s="37">
        <v>544.70000000000005</v>
      </c>
      <c r="L924" s="38">
        <v>33</v>
      </c>
      <c r="M924" s="37">
        <f t="shared" si="163"/>
        <v>498868.60999999999</v>
      </c>
      <c r="N924" s="37">
        <v>0</v>
      </c>
      <c r="O924" s="37">
        <v>0</v>
      </c>
      <c r="P924" s="37">
        <v>0</v>
      </c>
      <c r="Q924" s="37">
        <f>'Таблица 3 '!C913</f>
        <v>498868.60999999999</v>
      </c>
      <c r="R924" s="37">
        <f t="shared" si="164"/>
        <v>498868.60999999999</v>
      </c>
      <c r="S924" s="37">
        <v>0</v>
      </c>
      <c r="T924" s="37">
        <f t="shared" si="162"/>
        <v>597.5189962869805</v>
      </c>
      <c r="U924" s="37">
        <f t="shared" si="147"/>
        <v>597.5189962869805</v>
      </c>
      <c r="V924" s="41" t="s">
        <v>761</v>
      </c>
      <c r="W924" s="60"/>
    </row>
    <row r="925" s="60" customFormat="1" ht="27" customHeight="1">
      <c r="A925" s="25" t="s">
        <v>484</v>
      </c>
      <c r="B925" s="25"/>
      <c r="C925" s="26" t="s">
        <v>39</v>
      </c>
      <c r="D925" s="26" t="s">
        <v>39</v>
      </c>
      <c r="E925" s="27" t="s">
        <v>39</v>
      </c>
      <c r="F925" s="26" t="s">
        <v>39</v>
      </c>
      <c r="G925" s="28" t="s">
        <v>39</v>
      </c>
      <c r="H925" s="28" t="s">
        <v>39</v>
      </c>
      <c r="I925" s="64">
        <f>SUM(I926:I927)</f>
        <v>5781.2200000000003</v>
      </c>
      <c r="J925" s="64">
        <f>SUM(J926:J927)</f>
        <v>10718.950000000001</v>
      </c>
      <c r="K925" s="64">
        <f>SUM(K926:K927)</f>
        <v>2611.25</v>
      </c>
      <c r="L925" s="65">
        <f>SUM(L926:L927)</f>
        <v>261</v>
      </c>
      <c r="M925" s="64">
        <f>SUM(M926:M927)</f>
        <v>531188</v>
      </c>
      <c r="N925" s="64">
        <f>SUM(N926:N927)</f>
        <v>0</v>
      </c>
      <c r="O925" s="64">
        <f>SUM(O926:O927)</f>
        <v>0</v>
      </c>
      <c r="P925" s="64">
        <f>SUM(P926:P927)</f>
        <v>0</v>
      </c>
      <c r="Q925" s="64">
        <f>SUM(Q926:Q927)</f>
        <v>531188</v>
      </c>
      <c r="R925" s="64">
        <f>SUM(R926:R927)</f>
        <v>531188</v>
      </c>
      <c r="S925" s="64">
        <f>SUM(S926:S927)</f>
        <v>0</v>
      </c>
      <c r="T925" s="32" t="s">
        <v>39</v>
      </c>
      <c r="U925" s="32" t="s">
        <v>39</v>
      </c>
      <c r="V925" s="63" t="s">
        <v>39</v>
      </c>
      <c r="W925" s="31"/>
    </row>
    <row r="926" s="60" customFormat="1" ht="45.75" customHeight="1">
      <c r="A926" s="33">
        <v>1</v>
      </c>
      <c r="B926" s="52" t="s">
        <v>485</v>
      </c>
      <c r="C926" s="43" t="s">
        <v>43</v>
      </c>
      <c r="D926" s="217">
        <v>1977</v>
      </c>
      <c r="E926" s="217">
        <v>2022</v>
      </c>
      <c r="F926" s="43" t="s">
        <v>77</v>
      </c>
      <c r="G926" s="106">
        <v>2</v>
      </c>
      <c r="H926" s="106">
        <v>2</v>
      </c>
      <c r="I926" s="255">
        <v>631</v>
      </c>
      <c r="J926" s="255">
        <v>597.37</v>
      </c>
      <c r="K926" s="255">
        <v>489.87</v>
      </c>
      <c r="L926" s="256">
        <v>20</v>
      </c>
      <c r="M926" s="37">
        <f t="shared" ref="M926:M927" si="165">SUM(N926:Q926)</f>
        <v>265594</v>
      </c>
      <c r="N926" s="37">
        <v>0</v>
      </c>
      <c r="O926" s="37">
        <v>0</v>
      </c>
      <c r="P926" s="37">
        <v>0</v>
      </c>
      <c r="Q926" s="37">
        <f>'Таблица 3 '!C915</f>
        <v>265594</v>
      </c>
      <c r="R926" s="37">
        <f t="shared" ref="R926:R927" si="166">Q926</f>
        <v>265594</v>
      </c>
      <c r="S926" s="37">
        <v>0</v>
      </c>
      <c r="T926" s="37">
        <f t="shared" si="162"/>
        <v>444.60552086646464</v>
      </c>
      <c r="U926" s="37">
        <f t="shared" si="147"/>
        <v>444.60552086646464</v>
      </c>
      <c r="V926" s="41" t="s">
        <v>761</v>
      </c>
      <c r="W926" s="59"/>
    </row>
    <row r="927" s="60" customFormat="1" ht="45.75" customHeight="1">
      <c r="A927" s="33">
        <v>2</v>
      </c>
      <c r="B927" s="52" t="s">
        <v>485</v>
      </c>
      <c r="C927" s="33" t="s">
        <v>43</v>
      </c>
      <c r="D927" s="217">
        <v>1987</v>
      </c>
      <c r="E927" s="217" t="s">
        <v>39</v>
      </c>
      <c r="F927" s="33" t="s">
        <v>77</v>
      </c>
      <c r="G927" s="106">
        <v>3</v>
      </c>
      <c r="H927" s="106">
        <v>3</v>
      </c>
      <c r="I927" s="255">
        <f>$I$33</f>
        <v>5150.2200000000003</v>
      </c>
      <c r="J927" s="255">
        <f>J928</f>
        <v>10121.58</v>
      </c>
      <c r="K927" s="255">
        <f>K928</f>
        <v>2121.3800000000001</v>
      </c>
      <c r="L927" s="256">
        <f>L928</f>
        <v>241</v>
      </c>
      <c r="M927" s="37">
        <f t="shared" si="165"/>
        <v>265594</v>
      </c>
      <c r="N927" s="37">
        <v>0</v>
      </c>
      <c r="O927" s="37">
        <v>0</v>
      </c>
      <c r="P927" s="37">
        <v>0</v>
      </c>
      <c r="Q927" s="37">
        <f>'Таблица 3 '!C916</f>
        <v>265594</v>
      </c>
      <c r="R927" s="37">
        <f t="shared" si="166"/>
        <v>265594</v>
      </c>
      <c r="S927" s="37">
        <v>0</v>
      </c>
      <c r="T927" s="37">
        <f t="shared" si="162"/>
        <v>26.240369586566523</v>
      </c>
      <c r="U927" s="37">
        <f t="shared" si="147"/>
        <v>26.240369586566523</v>
      </c>
      <c r="V927" s="41" t="s">
        <v>761</v>
      </c>
      <c r="W927" s="59"/>
    </row>
    <row r="928" s="31" customFormat="1" ht="27" customHeight="1">
      <c r="A928" s="61" t="s">
        <v>493</v>
      </c>
      <c r="B928" s="61"/>
      <c r="C928" s="28" t="s">
        <v>39</v>
      </c>
      <c r="D928" s="28" t="s">
        <v>39</v>
      </c>
      <c r="E928" s="66" t="s">
        <v>39</v>
      </c>
      <c r="F928" s="28" t="s">
        <v>39</v>
      </c>
      <c r="G928" s="28" t="s">
        <v>39</v>
      </c>
      <c r="H928" s="28" t="s">
        <v>39</v>
      </c>
      <c r="I928" s="64">
        <f>SUM(I929:I933)</f>
        <v>10950.799999999999</v>
      </c>
      <c r="J928" s="64">
        <f>SUM(J929:J933)</f>
        <v>10121.58</v>
      </c>
      <c r="K928" s="64">
        <f>SUM(K929:K933)</f>
        <v>2121.3800000000001</v>
      </c>
      <c r="L928" s="65">
        <f>SUM(L929:L933)</f>
        <v>241</v>
      </c>
      <c r="M928" s="64">
        <f>SUM(M929:M933)</f>
        <v>40900714.379999995</v>
      </c>
      <c r="N928" s="64">
        <f>SUM(N929:N933)</f>
        <v>0</v>
      </c>
      <c r="O928" s="64">
        <f>SUM(O929:O933)</f>
        <v>0</v>
      </c>
      <c r="P928" s="64">
        <f>SUM(P929:P933)</f>
        <v>0</v>
      </c>
      <c r="Q928" s="64">
        <f>SUM(Q929:Q933)</f>
        <v>40900714.379999995</v>
      </c>
      <c r="R928" s="64">
        <f>SUM(R929:R933)</f>
        <v>40900714.379999995</v>
      </c>
      <c r="S928" s="64">
        <f>SUM(S929:S933)</f>
        <v>0</v>
      </c>
      <c r="T928" s="32" t="s">
        <v>39</v>
      </c>
      <c r="U928" s="32" t="s">
        <v>39</v>
      </c>
      <c r="V928" s="66" t="s">
        <v>39</v>
      </c>
      <c r="W928" s="31"/>
    </row>
    <row r="929" s="60" customFormat="1" ht="47.399999999999999" customHeight="1">
      <c r="A929" s="238">
        <v>1</v>
      </c>
      <c r="B929" s="257" t="s">
        <v>496</v>
      </c>
      <c r="C929" s="235" t="s">
        <v>43</v>
      </c>
      <c r="D929" s="238">
        <v>1973</v>
      </c>
      <c r="E929" s="258" t="s">
        <v>39</v>
      </c>
      <c r="F929" s="235" t="s">
        <v>77</v>
      </c>
      <c r="G929" s="238">
        <v>2</v>
      </c>
      <c r="H929" s="238">
        <v>2</v>
      </c>
      <c r="I929" s="239">
        <v>791.29999999999995</v>
      </c>
      <c r="J929" s="239">
        <v>672.88</v>
      </c>
      <c r="K929" s="239">
        <v>672.88</v>
      </c>
      <c r="L929" s="240">
        <v>18</v>
      </c>
      <c r="M929" s="239">
        <f t="shared" ref="M929:M933" si="167">SUM(N929:Q929)</f>
        <v>1874943.9900000002</v>
      </c>
      <c r="N929" s="239">
        <v>0</v>
      </c>
      <c r="O929" s="239">
        <v>0</v>
      </c>
      <c r="P929" s="239">
        <v>0</v>
      </c>
      <c r="Q929" s="239">
        <f>'Таблица 3 '!C918</f>
        <v>1874943.9900000002</v>
      </c>
      <c r="R929" s="239">
        <f t="shared" ref="R929:R933" si="168">Q929</f>
        <v>1874943.9900000002</v>
      </c>
      <c r="S929" s="239">
        <v>0</v>
      </c>
      <c r="T929" s="37">
        <f t="shared" si="162"/>
        <v>2786.4463054333614</v>
      </c>
      <c r="U929" s="37">
        <f t="shared" ref="U928:U936" si="169">T929</f>
        <v>2786.4463054333614</v>
      </c>
      <c r="V929" s="259" t="s">
        <v>761</v>
      </c>
      <c r="W929" s="60"/>
    </row>
    <row r="930" s="60" customFormat="1" ht="47.399999999999999" customHeight="1">
      <c r="A930" s="175">
        <v>2</v>
      </c>
      <c r="B930" s="260" t="s">
        <v>787</v>
      </c>
      <c r="C930" s="198" t="s">
        <v>43</v>
      </c>
      <c r="D930" s="175">
        <v>1968</v>
      </c>
      <c r="E930" s="261" t="s">
        <v>39</v>
      </c>
      <c r="F930" s="198" t="s">
        <v>77</v>
      </c>
      <c r="G930" s="175">
        <v>2</v>
      </c>
      <c r="H930" s="175">
        <v>2</v>
      </c>
      <c r="I930" s="262">
        <v>792.89999999999998</v>
      </c>
      <c r="J930" s="262">
        <v>729.60000000000002</v>
      </c>
      <c r="K930" s="262">
        <v>729.60000000000002</v>
      </c>
      <c r="L930" s="262">
        <v>17</v>
      </c>
      <c r="M930" s="184">
        <f t="shared" si="167"/>
        <v>1277676.22</v>
      </c>
      <c r="N930" s="184">
        <v>0</v>
      </c>
      <c r="O930" s="184">
        <v>0</v>
      </c>
      <c r="P930" s="184">
        <v>0</v>
      </c>
      <c r="Q930" s="239">
        <f>'Таблица 3 '!C919</f>
        <v>1277676.22</v>
      </c>
      <c r="R930" s="184">
        <f t="shared" si="168"/>
        <v>1277676.22</v>
      </c>
      <c r="S930" s="180">
        <v>0</v>
      </c>
      <c r="T930" s="263">
        <f t="shared" si="162"/>
        <v>1751.2009594298245</v>
      </c>
      <c r="U930" s="264">
        <f t="shared" si="169"/>
        <v>1751.2009594298245</v>
      </c>
      <c r="V930" s="265" t="s">
        <v>761</v>
      </c>
      <c r="W930" s="60"/>
      <c r="X930" s="60"/>
      <c r="Y930" s="60"/>
      <c r="Z930" s="60"/>
      <c r="AA930" s="60"/>
      <c r="AB930" s="60"/>
      <c r="AC930" s="60"/>
      <c r="AD930" s="60"/>
      <c r="AE930" s="60"/>
      <c r="AF930" s="60"/>
      <c r="AG930" s="60"/>
      <c r="AH930" s="60"/>
      <c r="AI930" s="60"/>
      <c r="AJ930" s="60"/>
      <c r="AK930" s="60"/>
      <c r="AL930" s="60"/>
      <c r="AM930" s="60"/>
      <c r="AN930" s="60"/>
      <c r="AO930" s="60"/>
      <c r="AP930" s="60"/>
      <c r="AQ930" s="60"/>
      <c r="AR930" s="60"/>
      <c r="AS930" s="60"/>
      <c r="AT930" s="60"/>
      <c r="AU930" s="60"/>
      <c r="AV930" s="60"/>
      <c r="AW930" s="60"/>
      <c r="AX930" s="60"/>
      <c r="AY930" s="60"/>
      <c r="AZ930" s="60"/>
      <c r="BA930" s="60"/>
      <c r="BB930" s="60"/>
      <c r="BC930" s="60"/>
      <c r="BD930" s="60"/>
      <c r="BE930" s="60"/>
      <c r="BF930" s="60"/>
      <c r="BG930" s="60"/>
      <c r="BH930" s="60"/>
      <c r="BI930" s="60"/>
      <c r="BJ930" s="60"/>
      <c r="BK930" s="60"/>
      <c r="BL930" s="60"/>
      <c r="BM930" s="60"/>
      <c r="BN930" s="60"/>
      <c r="BO930" s="60"/>
      <c r="BP930" s="60"/>
      <c r="BQ930" s="60"/>
      <c r="BR930" s="60"/>
      <c r="BS930" s="60"/>
      <c r="BT930" s="60"/>
      <c r="BU930" s="60"/>
      <c r="BV930" s="60"/>
      <c r="BW930" s="60"/>
      <c r="BX930" s="60"/>
      <c r="BY930" s="60"/>
      <c r="BZ930" s="60"/>
      <c r="CA930" s="60"/>
      <c r="CB930" s="60"/>
      <c r="CC930" s="60"/>
      <c r="CD930" s="60"/>
      <c r="CE930" s="60"/>
      <c r="CF930" s="60"/>
      <c r="CG930" s="60"/>
      <c r="CH930" s="60"/>
      <c r="CI930" s="60"/>
      <c r="CJ930" s="60"/>
      <c r="CK930" s="60"/>
      <c r="CL930" s="60"/>
      <c r="CM930" s="60"/>
      <c r="CN930" s="60"/>
      <c r="CO930" s="60"/>
      <c r="CP930" s="60"/>
      <c r="CQ930" s="60"/>
      <c r="CR930" s="60"/>
    </row>
    <row r="931" s="60" customFormat="1" ht="47.399999999999999" customHeight="1">
      <c r="A931" s="238">
        <v>3</v>
      </c>
      <c r="B931" s="260" t="s">
        <v>788</v>
      </c>
      <c r="C931" s="198" t="s">
        <v>43</v>
      </c>
      <c r="D931" s="175">
        <v>1968</v>
      </c>
      <c r="E931" s="261" t="s">
        <v>39</v>
      </c>
      <c r="F931" s="198" t="s">
        <v>77</v>
      </c>
      <c r="G931" s="175">
        <v>2</v>
      </c>
      <c r="H931" s="175">
        <v>2</v>
      </c>
      <c r="I931" s="262">
        <v>781.89999999999998</v>
      </c>
      <c r="J931" s="262">
        <v>718.89999999999998</v>
      </c>
      <c r="K931" s="262">
        <v>718.89999999999998</v>
      </c>
      <c r="L931" s="262">
        <v>20</v>
      </c>
      <c r="M931" s="184">
        <f t="shared" si="167"/>
        <v>1262028.03</v>
      </c>
      <c r="N931" s="184">
        <v>0</v>
      </c>
      <c r="O931" s="184">
        <v>0</v>
      </c>
      <c r="P931" s="184">
        <v>0</v>
      </c>
      <c r="Q931" s="239">
        <f>'Таблица 3 '!C920</f>
        <v>1262028.03</v>
      </c>
      <c r="R931" s="184">
        <f t="shared" si="168"/>
        <v>1262028.03</v>
      </c>
      <c r="S931" s="184">
        <v>0</v>
      </c>
      <c r="T931" s="184">
        <f t="shared" si="162"/>
        <v>1755.4987202670748</v>
      </c>
      <c r="U931" s="184">
        <f t="shared" si="169"/>
        <v>1755.4987202670748</v>
      </c>
      <c r="V931" s="265" t="s">
        <v>761</v>
      </c>
      <c r="W931" s="60"/>
      <c r="X931" s="60"/>
      <c r="Y931" s="60"/>
      <c r="Z931" s="60"/>
      <c r="AA931" s="60"/>
      <c r="AB931" s="60"/>
      <c r="AC931" s="60"/>
      <c r="AD931" s="60"/>
      <c r="AE931" s="60"/>
      <c r="AF931" s="60"/>
      <c r="AG931" s="60"/>
      <c r="AH931" s="60"/>
      <c r="AI931" s="60"/>
      <c r="AJ931" s="60"/>
      <c r="AK931" s="60"/>
      <c r="AL931" s="60"/>
      <c r="AM931" s="60"/>
      <c r="AN931" s="60"/>
      <c r="AO931" s="60"/>
      <c r="AP931" s="60"/>
      <c r="AQ931" s="60"/>
      <c r="AR931" s="60"/>
      <c r="AS931" s="60"/>
      <c r="AT931" s="60"/>
      <c r="AU931" s="60"/>
      <c r="AV931" s="60"/>
      <c r="AW931" s="60"/>
      <c r="AX931" s="60"/>
      <c r="AY931" s="60"/>
      <c r="AZ931" s="60"/>
      <c r="BA931" s="60"/>
      <c r="BB931" s="60"/>
      <c r="BC931" s="60"/>
      <c r="BD931" s="60"/>
      <c r="BE931" s="60"/>
      <c r="BF931" s="60"/>
      <c r="BG931" s="60"/>
      <c r="BH931" s="60"/>
      <c r="BI931" s="60"/>
      <c r="BJ931" s="60"/>
      <c r="BK931" s="60"/>
      <c r="BL931" s="60"/>
      <c r="BM931" s="60"/>
      <c r="BN931" s="60"/>
      <c r="BO931" s="60"/>
      <c r="BP931" s="60"/>
      <c r="BQ931" s="60"/>
      <c r="BR931" s="60"/>
      <c r="BS931" s="60"/>
      <c r="BT931" s="60"/>
      <c r="BU931" s="60"/>
      <c r="BV931" s="60"/>
      <c r="BW931" s="60"/>
      <c r="BX931" s="60"/>
      <c r="BY931" s="60"/>
      <c r="BZ931" s="60"/>
      <c r="CA931" s="60"/>
      <c r="CB931" s="60"/>
      <c r="CC931" s="60"/>
      <c r="CD931" s="60"/>
      <c r="CE931" s="60"/>
      <c r="CF931" s="60"/>
      <c r="CG931" s="60"/>
      <c r="CH931" s="60"/>
      <c r="CI931" s="60"/>
      <c r="CJ931" s="60"/>
      <c r="CK931" s="60"/>
      <c r="CL931" s="60"/>
      <c r="CM931" s="60"/>
      <c r="CN931" s="60"/>
      <c r="CO931" s="60"/>
      <c r="CP931" s="60"/>
      <c r="CQ931" s="60"/>
      <c r="CR931" s="60"/>
    </row>
    <row r="932" s="60" customFormat="1" ht="47.399999999999999" customHeight="1">
      <c r="A932" s="175">
        <v>4</v>
      </c>
      <c r="B932" s="266" t="s">
        <v>727</v>
      </c>
      <c r="C932" s="43" t="s">
        <v>43</v>
      </c>
      <c r="D932" s="251">
        <v>1981</v>
      </c>
      <c r="E932" s="44" t="s">
        <v>39</v>
      </c>
      <c r="F932" s="251" t="s">
        <v>48</v>
      </c>
      <c r="G932" s="45">
        <v>5</v>
      </c>
      <c r="H932" s="252">
        <v>4</v>
      </c>
      <c r="I932" s="46">
        <v>3769</v>
      </c>
      <c r="J932" s="254">
        <v>3735</v>
      </c>
      <c r="K932" s="46">
        <v>0</v>
      </c>
      <c r="L932" s="248">
        <v>74</v>
      </c>
      <c r="M932" s="46">
        <f t="shared" si="167"/>
        <v>17032475.050000001</v>
      </c>
      <c r="N932" s="254">
        <v>0</v>
      </c>
      <c r="O932" s="46">
        <v>0</v>
      </c>
      <c r="P932" s="254">
        <v>0</v>
      </c>
      <c r="Q932" s="239">
        <f>'Таблица 3 '!C921</f>
        <v>17032475.050000001</v>
      </c>
      <c r="R932" s="254">
        <f t="shared" si="168"/>
        <v>17032475.050000001</v>
      </c>
      <c r="S932" s="46">
        <v>0</v>
      </c>
      <c r="T932" s="254">
        <f t="shared" si="162"/>
        <v>4560.234283801874</v>
      </c>
      <c r="U932" s="46">
        <f t="shared" si="169"/>
        <v>4560.234283801874</v>
      </c>
      <c r="V932" s="267" t="s">
        <v>761</v>
      </c>
      <c r="W932" s="59"/>
      <c r="X932" s="59"/>
      <c r="Y932" s="59"/>
      <c r="Z932" s="59"/>
      <c r="AA932" s="59"/>
      <c r="AB932" s="59"/>
      <c r="AC932" s="59"/>
      <c r="AD932" s="59"/>
      <c r="AE932" s="59"/>
      <c r="AF932" s="59"/>
      <c r="AG932" s="59"/>
      <c r="AH932" s="59"/>
      <c r="AI932" s="59"/>
      <c r="AJ932" s="59"/>
      <c r="AK932" s="59"/>
      <c r="AL932" s="59"/>
      <c r="AM932" s="59"/>
      <c r="AN932" s="59"/>
      <c r="AO932" s="59"/>
      <c r="AP932" s="59"/>
      <c r="AQ932" s="59"/>
      <c r="AR932" s="59"/>
      <c r="AS932" s="59"/>
      <c r="AT932" s="59"/>
      <c r="AU932" s="59"/>
      <c r="AV932" s="59"/>
      <c r="AW932" s="59"/>
      <c r="AX932" s="59"/>
      <c r="AY932" s="59"/>
      <c r="AZ932" s="59"/>
      <c r="BA932" s="59"/>
      <c r="BB932" s="59"/>
      <c r="BC932" s="59"/>
      <c r="BD932" s="59"/>
      <c r="BE932" s="59"/>
      <c r="BF932" s="59"/>
      <c r="BG932" s="59"/>
      <c r="BH932" s="59"/>
      <c r="BI932" s="59"/>
      <c r="BJ932" s="59"/>
      <c r="BK932" s="59"/>
      <c r="BL932" s="59"/>
      <c r="BM932" s="59"/>
      <c r="BN932" s="59"/>
      <c r="BO932" s="59"/>
      <c r="BP932" s="59"/>
      <c r="BQ932" s="59"/>
      <c r="BR932" s="59"/>
      <c r="BS932" s="59"/>
      <c r="BT932" s="59"/>
      <c r="BU932" s="59"/>
      <c r="BV932" s="59"/>
      <c r="BW932" s="59"/>
      <c r="BX932" s="59"/>
      <c r="BY932" s="59"/>
      <c r="BZ932" s="59"/>
      <c r="CA932" s="59"/>
      <c r="CB932" s="59"/>
      <c r="CC932" s="59"/>
      <c r="CD932" s="59"/>
      <c r="CE932" s="59"/>
      <c r="CF932" s="59"/>
      <c r="CG932" s="59"/>
      <c r="CH932" s="59"/>
      <c r="CI932" s="59"/>
      <c r="CJ932" s="59"/>
      <c r="CK932" s="59"/>
      <c r="CL932" s="59"/>
      <c r="CM932" s="59"/>
      <c r="CN932" s="59"/>
      <c r="CO932" s="59"/>
      <c r="CP932" s="59"/>
      <c r="CQ932" s="59"/>
      <c r="CR932" s="59"/>
    </row>
    <row r="933" s="60" customFormat="1" ht="47.399999999999999" customHeight="1">
      <c r="A933" s="238">
        <v>5</v>
      </c>
      <c r="B933" s="50" t="s">
        <v>728</v>
      </c>
      <c r="C933" s="33" t="s">
        <v>43</v>
      </c>
      <c r="D933" s="43">
        <v>1983</v>
      </c>
      <c r="E933" s="35" t="s">
        <v>39</v>
      </c>
      <c r="F933" s="235" t="s">
        <v>48</v>
      </c>
      <c r="G933" s="36">
        <v>5</v>
      </c>
      <c r="H933" s="45">
        <v>6</v>
      </c>
      <c r="I933" s="37">
        <v>4815.6999999999998</v>
      </c>
      <c r="J933" s="46">
        <v>4265.1999999999998</v>
      </c>
      <c r="K933" s="37">
        <v>0</v>
      </c>
      <c r="L933" s="90">
        <v>112</v>
      </c>
      <c r="M933" s="37">
        <f t="shared" si="167"/>
        <v>19453591.09</v>
      </c>
      <c r="N933" s="46">
        <v>0</v>
      </c>
      <c r="O933" s="37">
        <v>0</v>
      </c>
      <c r="P933" s="46">
        <v>0</v>
      </c>
      <c r="Q933" s="239">
        <f>'Таблица 3 '!C922</f>
        <v>19453591.09</v>
      </c>
      <c r="R933" s="46">
        <f t="shared" si="168"/>
        <v>19453591.09</v>
      </c>
      <c r="S933" s="37">
        <v>0</v>
      </c>
      <c r="T933" s="46">
        <f t="shared" si="162"/>
        <v>4561.003256588202</v>
      </c>
      <c r="U933" s="37">
        <f t="shared" si="169"/>
        <v>4561.003256588202</v>
      </c>
      <c r="V933" s="41" t="s">
        <v>761</v>
      </c>
      <c r="W933" s="59"/>
      <c r="X933" s="59"/>
      <c r="Y933" s="59"/>
      <c r="Z933" s="59"/>
      <c r="AA933" s="59"/>
      <c r="AB933" s="59"/>
      <c r="AC933" s="59"/>
      <c r="AD933" s="59"/>
      <c r="AE933" s="59"/>
      <c r="AF933" s="59"/>
      <c r="AG933" s="59"/>
      <c r="AH933" s="59"/>
      <c r="AI933" s="59"/>
      <c r="AJ933" s="59"/>
      <c r="AK933" s="59"/>
      <c r="AL933" s="59"/>
      <c r="AM933" s="59"/>
      <c r="AN933" s="59"/>
      <c r="AO933" s="59"/>
      <c r="AP933" s="59"/>
      <c r="AQ933" s="59"/>
      <c r="AR933" s="59"/>
      <c r="AS933" s="59"/>
      <c r="AT933" s="59"/>
      <c r="AU933" s="59"/>
      <c r="AV933" s="59"/>
      <c r="AW933" s="59"/>
      <c r="AX933" s="59"/>
      <c r="AY933" s="59"/>
      <c r="AZ933" s="59"/>
      <c r="BA933" s="59"/>
      <c r="BB933" s="59"/>
      <c r="BC933" s="59"/>
      <c r="BD933" s="59"/>
      <c r="BE933" s="59"/>
      <c r="BF933" s="59"/>
      <c r="BG933" s="59"/>
      <c r="BH933" s="59"/>
      <c r="BI933" s="59"/>
      <c r="BJ933" s="59"/>
      <c r="BK933" s="59"/>
      <c r="BL933" s="59"/>
      <c r="BM933" s="59"/>
      <c r="BN933" s="59"/>
      <c r="BO933" s="59"/>
      <c r="BP933" s="59"/>
      <c r="BQ933" s="59"/>
      <c r="BR933" s="59"/>
      <c r="BS933" s="59"/>
      <c r="BT933" s="59"/>
      <c r="BU933" s="59"/>
      <c r="BV933" s="59"/>
      <c r="BW933" s="59"/>
      <c r="BX933" s="59"/>
      <c r="BY933" s="59"/>
      <c r="BZ933" s="59"/>
      <c r="CA933" s="59"/>
      <c r="CB933" s="59"/>
      <c r="CC933" s="59"/>
      <c r="CD933" s="59"/>
      <c r="CE933" s="59"/>
      <c r="CF933" s="59"/>
      <c r="CG933" s="59"/>
      <c r="CH933" s="59"/>
      <c r="CI933" s="59"/>
      <c r="CJ933" s="59"/>
      <c r="CK933" s="59"/>
      <c r="CL933" s="59"/>
      <c r="CM933" s="59"/>
      <c r="CN933" s="59"/>
      <c r="CO933" s="59"/>
      <c r="CP933" s="59"/>
      <c r="CQ933" s="59"/>
      <c r="CR933" s="59"/>
    </row>
    <row r="934" s="60" customFormat="1" ht="27" customHeight="1">
      <c r="A934" s="25" t="s">
        <v>501</v>
      </c>
      <c r="B934" s="25"/>
      <c r="C934" s="82" t="s">
        <v>39</v>
      </c>
      <c r="D934" s="83" t="s">
        <v>39</v>
      </c>
      <c r="E934" s="84" t="s">
        <v>39</v>
      </c>
      <c r="F934" s="82" t="s">
        <v>39</v>
      </c>
      <c r="G934" s="85" t="s">
        <v>39</v>
      </c>
      <c r="H934" s="85" t="s">
        <v>39</v>
      </c>
      <c r="I934" s="70">
        <f>SUM(I935:I936)</f>
        <v>1755</v>
      </c>
      <c r="J934" s="70">
        <f>SUM(J935:J936)</f>
        <v>1502.9000000000001</v>
      </c>
      <c r="K934" s="70">
        <f>SUM(K935:K936)</f>
        <v>1289.5</v>
      </c>
      <c r="L934" s="71">
        <f>SUM(L935:L936)</f>
        <v>74</v>
      </c>
      <c r="M934" s="70">
        <f>SUM(M935:M936)</f>
        <v>8917767.8000000007</v>
      </c>
      <c r="N934" s="70">
        <f>SUM(N935:N936)</f>
        <v>0</v>
      </c>
      <c r="O934" s="70">
        <f>SUM(O935:O936)</f>
        <v>0</v>
      </c>
      <c r="P934" s="70">
        <f>SUM(P935:P936)</f>
        <v>0</v>
      </c>
      <c r="Q934" s="70">
        <f>SUM(Q935:Q936)</f>
        <v>8917767.8000000007</v>
      </c>
      <c r="R934" s="70">
        <f>SUM(R935:R936)</f>
        <v>8917767.8000000007</v>
      </c>
      <c r="S934" s="70">
        <f>SUM(S935:S936)</f>
        <v>0</v>
      </c>
      <c r="T934" s="32" t="s">
        <v>39</v>
      </c>
      <c r="U934" s="32" t="s">
        <v>39</v>
      </c>
      <c r="V934" s="28" t="s">
        <v>39</v>
      </c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  <c r="AL934" s="31"/>
      <c r="AM934" s="31"/>
      <c r="AN934" s="31"/>
      <c r="AO934" s="31"/>
      <c r="AP934" s="31"/>
      <c r="AQ934" s="31"/>
      <c r="AR934" s="31"/>
      <c r="AS934" s="31"/>
      <c r="AT934" s="31"/>
      <c r="AU934" s="31"/>
      <c r="AV934" s="31"/>
      <c r="AW934" s="31"/>
      <c r="AX934" s="31"/>
      <c r="AY934" s="31"/>
      <c r="AZ934" s="31"/>
      <c r="BA934" s="31"/>
      <c r="BB934" s="31"/>
      <c r="BC934" s="31"/>
      <c r="BD934" s="31"/>
      <c r="BE934" s="31"/>
      <c r="BF934" s="31"/>
      <c r="BG934" s="31"/>
      <c r="BH934" s="31"/>
      <c r="BI934" s="31"/>
      <c r="BJ934" s="31"/>
      <c r="BK934" s="31"/>
      <c r="BL934" s="31"/>
      <c r="BM934" s="31"/>
      <c r="BN934" s="31"/>
      <c r="BO934" s="31"/>
      <c r="BP934" s="31"/>
      <c r="BQ934" s="31"/>
      <c r="BR934" s="31"/>
      <c r="BS934" s="31"/>
      <c r="BT934" s="31"/>
      <c r="BU934" s="31"/>
      <c r="BV934" s="31"/>
      <c r="BW934" s="31"/>
      <c r="BX934" s="31"/>
      <c r="BY934" s="31"/>
      <c r="BZ934" s="31"/>
      <c r="CA934" s="31"/>
      <c r="CB934" s="31"/>
      <c r="CC934" s="31"/>
      <c r="CD934" s="31"/>
      <c r="CE934" s="31"/>
      <c r="CF934" s="31"/>
      <c r="CG934" s="31"/>
      <c r="CH934" s="31"/>
      <c r="CI934" s="31"/>
      <c r="CJ934" s="31"/>
      <c r="CK934" s="31"/>
      <c r="CL934" s="31"/>
      <c r="CM934" s="31"/>
      <c r="CN934" s="31"/>
      <c r="CO934" s="31"/>
      <c r="CP934" s="31"/>
      <c r="CQ934" s="31"/>
    </row>
    <row r="935" s="60" customFormat="1" ht="42" customHeight="1">
      <c r="A935" s="33">
        <v>1</v>
      </c>
      <c r="B935" s="50" t="s">
        <v>789</v>
      </c>
      <c r="C935" s="33" t="s">
        <v>43</v>
      </c>
      <c r="D935" s="101">
        <v>1990</v>
      </c>
      <c r="E935" s="101" t="s">
        <v>39</v>
      </c>
      <c r="F935" s="268" t="s">
        <v>383</v>
      </c>
      <c r="G935" s="269">
        <v>2</v>
      </c>
      <c r="H935" s="269">
        <v>2</v>
      </c>
      <c r="I935" s="39">
        <v>1112.3</v>
      </c>
      <c r="J935" s="39">
        <v>946.70000000000005</v>
      </c>
      <c r="K935" s="39">
        <v>776.79999999999995</v>
      </c>
      <c r="L935" s="270">
        <v>28</v>
      </c>
      <c r="M935" s="37">
        <f t="shared" ref="M935:M936" si="170">SUM(N935:Q935)</f>
        <v>5640712.21</v>
      </c>
      <c r="N935" s="39">
        <v>0</v>
      </c>
      <c r="O935" s="39">
        <v>0</v>
      </c>
      <c r="P935" s="39">
        <v>0</v>
      </c>
      <c r="Q935" s="39">
        <f>'Таблица 3 '!C924</f>
        <v>5640712.21</v>
      </c>
      <c r="R935" s="39">
        <f t="shared" ref="R935:R936" si="171">Q935</f>
        <v>5640712.21</v>
      </c>
      <c r="S935" s="39">
        <v>0</v>
      </c>
      <c r="T935" s="37">
        <f t="shared" si="162"/>
        <v>5958.289014471321</v>
      </c>
      <c r="U935" s="37">
        <f t="shared" si="169"/>
        <v>5958.289014471321</v>
      </c>
      <c r="V935" s="41" t="s">
        <v>761</v>
      </c>
      <c r="W935" s="60"/>
    </row>
    <row r="936" s="60" customFormat="1" ht="42" customHeight="1">
      <c r="A936" s="33">
        <v>2</v>
      </c>
      <c r="B936" s="50" t="s">
        <v>732</v>
      </c>
      <c r="C936" s="33" t="s">
        <v>43</v>
      </c>
      <c r="D936" s="101" t="s">
        <v>126</v>
      </c>
      <c r="E936" s="101" t="s">
        <v>39</v>
      </c>
      <c r="F936" s="33" t="s">
        <v>77</v>
      </c>
      <c r="G936" s="269">
        <v>2</v>
      </c>
      <c r="H936" s="269">
        <v>2</v>
      </c>
      <c r="I936" s="39">
        <v>642.70000000000005</v>
      </c>
      <c r="J936" s="39">
        <v>556.20000000000005</v>
      </c>
      <c r="K936" s="39">
        <v>512.70000000000005</v>
      </c>
      <c r="L936" s="270">
        <v>46</v>
      </c>
      <c r="M936" s="37">
        <f t="shared" si="170"/>
        <v>3277055.5899999999</v>
      </c>
      <c r="N936" s="39">
        <v>0</v>
      </c>
      <c r="O936" s="39">
        <v>0</v>
      </c>
      <c r="P936" s="39">
        <v>0</v>
      </c>
      <c r="Q936" s="39">
        <f>'Таблица 3 '!C925</f>
        <v>3277055.5899999999</v>
      </c>
      <c r="R936" s="39">
        <f t="shared" si="171"/>
        <v>3277055.5899999999</v>
      </c>
      <c r="S936" s="39">
        <v>0</v>
      </c>
      <c r="T936" s="37">
        <f t="shared" si="162"/>
        <v>5891.8654980222937</v>
      </c>
      <c r="U936" s="37">
        <f t="shared" si="169"/>
        <v>5891.8654980222937</v>
      </c>
      <c r="V936" s="41" t="s">
        <v>761</v>
      </c>
    </row>
    <row r="937" s="60" customFormat="1" ht="31.5" customHeight="1">
      <c r="A937" s="25" t="s">
        <v>506</v>
      </c>
      <c r="B937" s="25"/>
      <c r="C937" s="26" t="s">
        <v>39</v>
      </c>
      <c r="D937" s="26" t="s">
        <v>39</v>
      </c>
      <c r="E937" s="27" t="s">
        <v>39</v>
      </c>
      <c r="F937" s="26" t="s">
        <v>39</v>
      </c>
      <c r="G937" s="28" t="s">
        <v>39</v>
      </c>
      <c r="H937" s="28" t="s">
        <v>39</v>
      </c>
      <c r="I937" s="64">
        <f>SUM(I938:I951)</f>
        <v>34397.419999999998</v>
      </c>
      <c r="J937" s="64">
        <f>SUM(J938:J951)</f>
        <v>26782.98</v>
      </c>
      <c r="K937" s="64">
        <f>SUM(K938:K951)</f>
        <v>8085.5799999999999</v>
      </c>
      <c r="L937" s="65">
        <f>SUM(L938:L951)</f>
        <v>660</v>
      </c>
      <c r="M937" s="64">
        <f>SUM(M938:M951)</f>
        <v>127631734.08000001</v>
      </c>
      <c r="N937" s="64">
        <f>SUM(N938:N951)</f>
        <v>0</v>
      </c>
      <c r="O937" s="64">
        <f>SUM(O938:O951)</f>
        <v>0</v>
      </c>
      <c r="P937" s="64">
        <f>SUM(P938:P951)</f>
        <v>0</v>
      </c>
      <c r="Q937" s="64">
        <f>SUM(Q938:Q951)</f>
        <v>127631734.08000001</v>
      </c>
      <c r="R937" s="64">
        <f>SUM(R938:R951)</f>
        <v>127631734.08000001</v>
      </c>
      <c r="S937" s="64">
        <f>SUM(S938:S951)</f>
        <v>0</v>
      </c>
      <c r="T937" s="32" t="s">
        <v>40</v>
      </c>
      <c r="U937" s="32" t="s">
        <v>40</v>
      </c>
      <c r="V937" s="28" t="s">
        <v>40</v>
      </c>
    </row>
    <row r="938" s="60" customFormat="1" ht="45" customHeight="1">
      <c r="A938" s="33">
        <v>1</v>
      </c>
      <c r="B938" s="50" t="s">
        <v>790</v>
      </c>
      <c r="C938" s="33" t="s">
        <v>43</v>
      </c>
      <c r="D938" s="33">
        <v>1968</v>
      </c>
      <c r="E938" s="35">
        <v>2019</v>
      </c>
      <c r="F938" s="33" t="s">
        <v>44</v>
      </c>
      <c r="G938" s="36">
        <v>4</v>
      </c>
      <c r="H938" s="36">
        <v>2</v>
      </c>
      <c r="I938" s="37">
        <v>1324.4000000000001</v>
      </c>
      <c r="J938" s="37">
        <v>1278.7</v>
      </c>
      <c r="K938" s="37">
        <v>1278.7</v>
      </c>
      <c r="L938" s="38">
        <v>34</v>
      </c>
      <c r="M938" s="37">
        <f>SUM(N938:Q938)</f>
        <v>257294.64000000001</v>
      </c>
      <c r="N938" s="37">
        <v>0</v>
      </c>
      <c r="O938" s="37">
        <v>0</v>
      </c>
      <c r="P938" s="37">
        <v>0</v>
      </c>
      <c r="Q938" s="37">
        <f>'Таблица 3 '!C927</f>
        <v>257294.64000000001</v>
      </c>
      <c r="R938" s="37">
        <f>Q938</f>
        <v>257294.64000000001</v>
      </c>
      <c r="S938" s="37">
        <v>0</v>
      </c>
      <c r="T938" s="37">
        <f t="shared" si="162"/>
        <v>201.21579729412684</v>
      </c>
      <c r="U938" s="37">
        <f t="shared" ref="U938:U959" si="172">T938</f>
        <v>201.21579729412684</v>
      </c>
      <c r="V938" s="41" t="s">
        <v>761</v>
      </c>
    </row>
    <row r="939" s="60" customFormat="1" ht="45" customHeight="1">
      <c r="A939" s="33">
        <v>2</v>
      </c>
      <c r="B939" s="52" t="s">
        <v>791</v>
      </c>
      <c r="C939" s="159" t="s">
        <v>43</v>
      </c>
      <c r="D939" s="43">
        <v>1990</v>
      </c>
      <c r="E939" s="271" t="s">
        <v>39</v>
      </c>
      <c r="F939" s="272" t="s">
        <v>48</v>
      </c>
      <c r="G939" s="273">
        <v>5</v>
      </c>
      <c r="H939" s="45">
        <v>6</v>
      </c>
      <c r="I939" s="274">
        <v>5102.5</v>
      </c>
      <c r="J939" s="275">
        <v>5101.6999999999998</v>
      </c>
      <c r="K939" s="274">
        <v>0</v>
      </c>
      <c r="L939" s="276">
        <v>158</v>
      </c>
      <c r="M939" s="37">
        <f>SUM(N939:Q939)</f>
        <v>15946166.02</v>
      </c>
      <c r="N939" s="163">
        <v>0</v>
      </c>
      <c r="O939" s="46">
        <v>0</v>
      </c>
      <c r="P939" s="163">
        <v>0</v>
      </c>
      <c r="Q939" s="37">
        <f>'Таблица 3 '!C928</f>
        <v>15946166.02</v>
      </c>
      <c r="R939" s="37">
        <f>Q939</f>
        <v>15946166.02</v>
      </c>
      <c r="S939" s="158">
        <v>0</v>
      </c>
      <c r="T939" s="163">
        <f>M939/J939</f>
        <v>3125.6573338298999</v>
      </c>
      <c r="U939" s="46">
        <f>T939</f>
        <v>3125.6573338298999</v>
      </c>
      <c r="V939" s="277" t="s">
        <v>761</v>
      </c>
      <c r="W939" s="59"/>
      <c r="X939" s="59"/>
      <c r="Y939" s="59"/>
      <c r="Z939" s="59"/>
      <c r="AA939" s="59"/>
      <c r="AB939" s="59"/>
      <c r="AC939" s="59"/>
      <c r="AD939" s="59"/>
      <c r="AE939" s="59"/>
      <c r="AF939" s="59"/>
      <c r="AG939" s="59"/>
      <c r="AH939" s="59"/>
      <c r="AI939" s="59"/>
      <c r="AJ939" s="59"/>
      <c r="AK939" s="59"/>
      <c r="AL939" s="59"/>
      <c r="AM939" s="59"/>
      <c r="AN939" s="59"/>
      <c r="AO939" s="59"/>
      <c r="AP939" s="59"/>
      <c r="AQ939" s="59"/>
      <c r="AR939" s="59"/>
      <c r="AS939" s="59"/>
      <c r="AT939" s="59"/>
      <c r="AU939" s="59"/>
      <c r="AV939" s="59"/>
      <c r="AW939" s="59"/>
      <c r="AX939" s="59"/>
      <c r="AY939" s="59"/>
      <c r="AZ939" s="59"/>
      <c r="BA939" s="59"/>
      <c r="BB939" s="59"/>
      <c r="BC939" s="59"/>
      <c r="BD939" s="59"/>
      <c r="BE939" s="59"/>
      <c r="BF939" s="59"/>
      <c r="BG939" s="59"/>
      <c r="BH939" s="59"/>
      <c r="BI939" s="59"/>
      <c r="BJ939" s="59"/>
      <c r="BK939" s="59"/>
      <c r="BL939" s="59"/>
      <c r="BM939" s="59"/>
      <c r="BN939" s="59"/>
      <c r="BO939" s="59"/>
      <c r="BP939" s="59"/>
      <c r="BQ939" s="59"/>
      <c r="BR939" s="59"/>
      <c r="BS939" s="59"/>
      <c r="BT939" s="59"/>
      <c r="BU939" s="59"/>
      <c r="BV939" s="59"/>
      <c r="BW939" s="59"/>
      <c r="BX939" s="59"/>
      <c r="BY939" s="59"/>
      <c r="BZ939" s="59"/>
      <c r="CA939" s="59"/>
      <c r="CB939" s="59"/>
      <c r="CC939" s="59"/>
      <c r="CD939" s="59"/>
      <c r="CE939" s="59"/>
      <c r="CF939" s="59"/>
      <c r="CG939" s="59"/>
      <c r="CH939" s="59"/>
      <c r="CI939" s="59"/>
      <c r="CJ939" s="59"/>
      <c r="CK939" s="59"/>
      <c r="CL939" s="59"/>
      <c r="CM939" s="59"/>
      <c r="CN939" s="59"/>
      <c r="CO939" s="59"/>
      <c r="CP939" s="59"/>
      <c r="CQ939" s="59"/>
      <c r="CR939" s="59"/>
    </row>
    <row r="940" s="60" customFormat="1" ht="45" customHeight="1">
      <c r="A940" s="33">
        <v>3</v>
      </c>
      <c r="B940" s="52" t="s">
        <v>738</v>
      </c>
      <c r="C940" s="99" t="s">
        <v>43</v>
      </c>
      <c r="D940" s="33">
        <v>1980</v>
      </c>
      <c r="E940" s="35" t="s">
        <v>39</v>
      </c>
      <c r="F940" s="251" t="s">
        <v>44</v>
      </c>
      <c r="G940" s="36">
        <v>2</v>
      </c>
      <c r="H940" s="36">
        <v>3</v>
      </c>
      <c r="I940" s="37">
        <v>1580.5</v>
      </c>
      <c r="J940" s="37">
        <v>830.70000000000005</v>
      </c>
      <c r="K940" s="37">
        <v>785.39999999999998</v>
      </c>
      <c r="L940" s="38">
        <v>50</v>
      </c>
      <c r="M940" s="37">
        <f>SUM(N940:Q940)</f>
        <v>2225300.3800000004</v>
      </c>
      <c r="N940" s="37">
        <v>0</v>
      </c>
      <c r="O940" s="37">
        <v>0</v>
      </c>
      <c r="P940" s="37">
        <v>0</v>
      </c>
      <c r="Q940" s="37">
        <f>'Таблица 3 '!C929</f>
        <v>2225300.3800000004</v>
      </c>
      <c r="R940" s="37">
        <f>Q940</f>
        <v>2225300.3800000004</v>
      </c>
      <c r="S940" s="37">
        <v>0</v>
      </c>
      <c r="T940" s="37">
        <f t="shared" si="162"/>
        <v>2678.8255447213196</v>
      </c>
      <c r="U940" s="37">
        <f t="shared" si="172"/>
        <v>2678.8255447213196</v>
      </c>
      <c r="V940" s="41" t="s">
        <v>761</v>
      </c>
    </row>
    <row r="941" s="60" customFormat="1" ht="45" customHeight="1">
      <c r="A941" s="33">
        <v>4</v>
      </c>
      <c r="B941" s="52" t="s">
        <v>513</v>
      </c>
      <c r="C941" s="99" t="s">
        <v>43</v>
      </c>
      <c r="D941" s="33">
        <v>1971</v>
      </c>
      <c r="E941" s="35">
        <v>2021</v>
      </c>
      <c r="F941" s="33" t="s">
        <v>44</v>
      </c>
      <c r="G941" s="36">
        <v>2</v>
      </c>
      <c r="H941" s="36">
        <v>2</v>
      </c>
      <c r="I941" s="37">
        <v>1200.9000000000001</v>
      </c>
      <c r="J941" s="37">
        <v>321.60000000000002</v>
      </c>
      <c r="K941" s="37">
        <v>256.60000000000002</v>
      </c>
      <c r="L941" s="38">
        <v>18</v>
      </c>
      <c r="M941" s="37">
        <f>SUM(N941:Q941)</f>
        <v>2960281.9500000002</v>
      </c>
      <c r="N941" s="37">
        <v>0</v>
      </c>
      <c r="O941" s="37">
        <v>0</v>
      </c>
      <c r="P941" s="37">
        <v>0</v>
      </c>
      <c r="Q941" s="37">
        <f>'Таблица 3 '!C930</f>
        <v>2960281.9500000002</v>
      </c>
      <c r="R941" s="37">
        <f>Q941</f>
        <v>2960281.9500000002</v>
      </c>
      <c r="S941" s="37">
        <v>0</v>
      </c>
      <c r="T941" s="37">
        <f t="shared" si="162"/>
        <v>9204.8568097014922</v>
      </c>
      <c r="U941" s="37">
        <f t="shared" si="172"/>
        <v>9204.8568097014922</v>
      </c>
      <c r="V941" s="41" t="s">
        <v>761</v>
      </c>
    </row>
    <row r="942" s="60" customFormat="1" ht="45" customHeight="1">
      <c r="A942" s="33">
        <v>5</v>
      </c>
      <c r="B942" s="68" t="s">
        <v>792</v>
      </c>
      <c r="C942" s="33" t="s">
        <v>43</v>
      </c>
      <c r="D942" s="33">
        <v>1973</v>
      </c>
      <c r="E942" s="35">
        <v>2024</v>
      </c>
      <c r="F942" s="33" t="s">
        <v>242</v>
      </c>
      <c r="G942" s="36">
        <v>2</v>
      </c>
      <c r="H942" s="36">
        <v>3</v>
      </c>
      <c r="I942" s="37">
        <v>829.39999999999998</v>
      </c>
      <c r="J942" s="37">
        <v>745.77999999999997</v>
      </c>
      <c r="K942" s="37">
        <v>745.77999999999997</v>
      </c>
      <c r="L942" s="38">
        <v>45</v>
      </c>
      <c r="M942" s="37">
        <f>SUM(N942:Q942)</f>
        <v>1541119.1899999999</v>
      </c>
      <c r="N942" s="37">
        <v>0</v>
      </c>
      <c r="O942" s="37">
        <v>0</v>
      </c>
      <c r="P942" s="37">
        <v>0</v>
      </c>
      <c r="Q942" s="37">
        <f>'Таблица 3 '!C931</f>
        <v>1541119.1899999999</v>
      </c>
      <c r="R942" s="37">
        <f>Q942</f>
        <v>1541119.1899999999</v>
      </c>
      <c r="S942" s="37">
        <v>0</v>
      </c>
      <c r="T942" s="37">
        <v>2085</v>
      </c>
      <c r="U942" s="37">
        <v>2085</v>
      </c>
      <c r="V942" s="41" t="s">
        <v>761</v>
      </c>
    </row>
    <row r="943" s="60" customFormat="1" ht="45" customHeight="1">
      <c r="A943" s="33">
        <v>6</v>
      </c>
      <c r="B943" s="68" t="s">
        <v>793</v>
      </c>
      <c r="C943" s="33" t="s">
        <v>43</v>
      </c>
      <c r="D943" s="36">
        <v>1975</v>
      </c>
      <c r="E943" s="67" t="s">
        <v>39</v>
      </c>
      <c r="F943" s="36" t="s">
        <v>48</v>
      </c>
      <c r="G943" s="36">
        <v>2</v>
      </c>
      <c r="H943" s="36">
        <v>3</v>
      </c>
      <c r="I943" s="37">
        <v>1194</v>
      </c>
      <c r="J943" s="37">
        <v>712.39999999999998</v>
      </c>
      <c r="K943" s="37">
        <v>604.79999999999995</v>
      </c>
      <c r="L943" s="38">
        <v>31</v>
      </c>
      <c r="M943" s="37">
        <f>SUM(N943:Q943)</f>
        <v>3377729.7599999998</v>
      </c>
      <c r="N943" s="37">
        <v>0</v>
      </c>
      <c r="O943" s="37">
        <v>0</v>
      </c>
      <c r="P943" s="37">
        <v>0</v>
      </c>
      <c r="Q943" s="37">
        <f>'Таблица 3 '!C932</f>
        <v>3377729.7599999998</v>
      </c>
      <c r="R943" s="37">
        <f>Q943</f>
        <v>3377729.7599999998</v>
      </c>
      <c r="S943" s="37">
        <v>0</v>
      </c>
      <c r="T943" s="37">
        <f t="shared" si="162"/>
        <v>4741.3387984278497</v>
      </c>
      <c r="U943" s="37">
        <f t="shared" si="172"/>
        <v>4741.3387984278497</v>
      </c>
      <c r="V943" s="41" t="s">
        <v>761</v>
      </c>
    </row>
    <row r="944" s="60" customFormat="1" ht="45" customHeight="1">
      <c r="A944" s="33">
        <v>7</v>
      </c>
      <c r="B944" s="278" t="s">
        <v>746</v>
      </c>
      <c r="C944" s="279" t="s">
        <v>43</v>
      </c>
      <c r="D944" s="280">
        <v>1983</v>
      </c>
      <c r="E944" s="281" t="s">
        <v>39</v>
      </c>
      <c r="F944" s="280" t="s">
        <v>48</v>
      </c>
      <c r="G944" s="282">
        <v>5</v>
      </c>
      <c r="H944" s="280">
        <v>6</v>
      </c>
      <c r="I944" s="283">
        <v>5768.6000000000004</v>
      </c>
      <c r="J944" s="176">
        <v>4414.3000000000002</v>
      </c>
      <c r="K944" s="283">
        <v>4414.3000000000002</v>
      </c>
      <c r="L944" s="284">
        <v>160</v>
      </c>
      <c r="M944" s="37">
        <f>SUM(N944:Q944)</f>
        <v>23299147.84</v>
      </c>
      <c r="N944" s="176">
        <v>0</v>
      </c>
      <c r="O944" s="283">
        <v>0</v>
      </c>
      <c r="P944" s="179">
        <v>0</v>
      </c>
      <c r="Q944" s="37">
        <f>'Таблица 3 '!C933</f>
        <v>23299147.84</v>
      </c>
      <c r="R944" s="37">
        <f>Q944</f>
        <v>23299147.84</v>
      </c>
      <c r="S944" s="283">
        <v>0</v>
      </c>
      <c r="T944" s="176">
        <f t="shared" si="162"/>
        <v>5278.1070248963597</v>
      </c>
      <c r="U944" s="283">
        <f t="shared" si="172"/>
        <v>5278.1070248963597</v>
      </c>
      <c r="V944" s="285" t="s">
        <v>761</v>
      </c>
      <c r="X944" s="60"/>
    </row>
    <row r="945" s="60" customFormat="1" ht="45" customHeight="1">
      <c r="A945" s="33">
        <v>8</v>
      </c>
      <c r="B945" s="52" t="s">
        <v>741</v>
      </c>
      <c r="C945" s="99" t="s">
        <v>43</v>
      </c>
      <c r="D945" s="252">
        <v>1985</v>
      </c>
      <c r="E945" s="67" t="s">
        <v>39</v>
      </c>
      <c r="F945" s="251" t="s">
        <v>77</v>
      </c>
      <c r="G945" s="36">
        <v>5</v>
      </c>
      <c r="H945" s="252">
        <v>4</v>
      </c>
      <c r="I945" s="37">
        <v>2875.8600000000001</v>
      </c>
      <c r="J945" s="254">
        <v>2868</v>
      </c>
      <c r="K945" s="37">
        <v>0</v>
      </c>
      <c r="L945" s="248">
        <v>60</v>
      </c>
      <c r="M945" s="37">
        <f>SUM(N945:Q945)</f>
        <v>16800610.100000001</v>
      </c>
      <c r="N945" s="254">
        <v>0</v>
      </c>
      <c r="O945" s="37">
        <v>0</v>
      </c>
      <c r="P945" s="254">
        <v>0</v>
      </c>
      <c r="Q945" s="37">
        <f>'Таблица 3 '!C934</f>
        <v>16800610.100000001</v>
      </c>
      <c r="R945" s="37">
        <f>Q945</f>
        <v>16800610.100000001</v>
      </c>
      <c r="S945" s="56">
        <v>0</v>
      </c>
      <c r="T945" s="254">
        <f t="shared" ref="T945:T951" si="173">M945/J945</f>
        <v>5857.953312412832</v>
      </c>
      <c r="U945" s="37">
        <f t="shared" si="172"/>
        <v>5857.953312412832</v>
      </c>
      <c r="V945" s="41" t="s">
        <v>572</v>
      </c>
      <c r="W945" s="59"/>
      <c r="X945" s="60"/>
      <c r="Y945" s="60"/>
      <c r="Z945" s="60"/>
      <c r="AA945" s="60"/>
      <c r="AB945" s="60"/>
      <c r="AC945" s="60"/>
      <c r="AD945" s="60"/>
      <c r="AE945" s="60"/>
      <c r="AF945" s="60"/>
      <c r="AG945" s="60"/>
      <c r="AH945" s="60"/>
      <c r="AI945" s="60"/>
      <c r="AJ945" s="60"/>
      <c r="AK945" s="60"/>
      <c r="AL945" s="60"/>
      <c r="AM945" s="60"/>
    </row>
    <row r="946" s="60" customFormat="1" ht="45" customHeight="1">
      <c r="A946" s="33">
        <v>9</v>
      </c>
      <c r="B946" s="52" t="s">
        <v>742</v>
      </c>
      <c r="C946" s="99" t="s">
        <v>43</v>
      </c>
      <c r="D946" s="36">
        <v>1996</v>
      </c>
      <c r="E946" s="67" t="s">
        <v>39</v>
      </c>
      <c r="F946" s="33" t="s">
        <v>566</v>
      </c>
      <c r="G946" s="36">
        <v>2</v>
      </c>
      <c r="H946" s="36">
        <v>2</v>
      </c>
      <c r="I946" s="37">
        <v>618</v>
      </c>
      <c r="J946" s="37">
        <v>589.60000000000002</v>
      </c>
      <c r="K946" s="37">
        <v>0</v>
      </c>
      <c r="L946" s="38">
        <v>8</v>
      </c>
      <c r="M946" s="37">
        <f>SUM(N946:Q946)</f>
        <v>3932512.0999999996</v>
      </c>
      <c r="N946" s="37">
        <v>0</v>
      </c>
      <c r="O946" s="37">
        <v>0</v>
      </c>
      <c r="P946" s="37">
        <v>0</v>
      </c>
      <c r="Q946" s="37">
        <f>'Таблица 3 '!C935</f>
        <v>3932512.0999999996</v>
      </c>
      <c r="R946" s="37">
        <f>Q946</f>
        <v>3932512.0999999996</v>
      </c>
      <c r="S946" s="56">
        <v>0</v>
      </c>
      <c r="T946" s="37">
        <f t="shared" si="173"/>
        <v>6669.7966417910438</v>
      </c>
      <c r="U946" s="37">
        <f t="shared" si="172"/>
        <v>6669.7966417910438</v>
      </c>
      <c r="V946" s="41" t="s">
        <v>572</v>
      </c>
      <c r="W946" s="59"/>
      <c r="X946" s="60"/>
      <c r="Y946" s="60"/>
      <c r="Z946" s="60"/>
      <c r="AA946" s="60"/>
      <c r="AB946" s="60"/>
      <c r="AC946" s="60"/>
      <c r="AD946" s="60"/>
      <c r="AE946" s="60"/>
      <c r="AF946" s="60"/>
      <c r="AG946" s="60"/>
      <c r="AH946" s="60"/>
      <c r="AI946" s="60"/>
      <c r="AJ946" s="60"/>
      <c r="AK946" s="60"/>
      <c r="AL946" s="60"/>
      <c r="AM946" s="60"/>
    </row>
    <row r="947" s="60" customFormat="1" ht="45" customHeight="1">
      <c r="A947" s="33">
        <v>10</v>
      </c>
      <c r="B947" s="52" t="s">
        <v>743</v>
      </c>
      <c r="C947" s="99" t="s">
        <v>43</v>
      </c>
      <c r="D947" s="36">
        <v>2005</v>
      </c>
      <c r="E947" s="67" t="s">
        <v>39</v>
      </c>
      <c r="F947" s="33" t="s">
        <v>77</v>
      </c>
      <c r="G947" s="36">
        <v>2</v>
      </c>
      <c r="H947" s="36">
        <v>2</v>
      </c>
      <c r="I947" s="37">
        <v>743.55999999999995</v>
      </c>
      <c r="J947" s="37">
        <v>570.79999999999995</v>
      </c>
      <c r="K947" s="37">
        <v>0</v>
      </c>
      <c r="L947" s="38">
        <v>12</v>
      </c>
      <c r="M947" s="37">
        <f>SUM(N947:Q947)</f>
        <v>3824057.5</v>
      </c>
      <c r="N947" s="37">
        <v>0</v>
      </c>
      <c r="O947" s="37">
        <v>0</v>
      </c>
      <c r="P947" s="37">
        <v>0</v>
      </c>
      <c r="Q947" s="37">
        <f>'Таблица 3 '!C936</f>
        <v>3824057.5</v>
      </c>
      <c r="R947" s="37">
        <f>Q947</f>
        <v>3824057.5</v>
      </c>
      <c r="S947" s="56">
        <v>0</v>
      </c>
      <c r="T947" s="37">
        <f t="shared" si="173"/>
        <v>6699.4700420462514</v>
      </c>
      <c r="U947" s="37">
        <f t="shared" si="172"/>
        <v>6699.4700420462514</v>
      </c>
      <c r="V947" s="41" t="s">
        <v>572</v>
      </c>
      <c r="W947" s="59"/>
      <c r="X947" s="60"/>
      <c r="Y947" s="60"/>
      <c r="Z947" s="60"/>
      <c r="AA947" s="60"/>
      <c r="AB947" s="60"/>
      <c r="AC947" s="60"/>
      <c r="AD947" s="60"/>
      <c r="AE947" s="60"/>
      <c r="AF947" s="60"/>
      <c r="AG947" s="60"/>
      <c r="AH947" s="60"/>
      <c r="AI947" s="60"/>
      <c r="AJ947" s="60"/>
      <c r="AK947" s="60"/>
      <c r="AL947" s="60"/>
      <c r="AM947" s="60"/>
    </row>
    <row r="948" s="60" customFormat="1" ht="45" customHeight="1">
      <c r="A948" s="33">
        <v>11</v>
      </c>
      <c r="B948" s="52" t="s">
        <v>744</v>
      </c>
      <c r="C948" s="99" t="s">
        <v>43</v>
      </c>
      <c r="D948" s="36">
        <v>1987</v>
      </c>
      <c r="E948" s="67" t="s">
        <v>39</v>
      </c>
      <c r="F948" s="33" t="s">
        <v>77</v>
      </c>
      <c r="G948" s="36">
        <v>2</v>
      </c>
      <c r="H948" s="36">
        <v>2</v>
      </c>
      <c r="I948" s="37">
        <v>767.39999999999998</v>
      </c>
      <c r="J948" s="37">
        <v>560</v>
      </c>
      <c r="K948" s="37">
        <v>0</v>
      </c>
      <c r="L948" s="38">
        <v>12</v>
      </c>
      <c r="M948" s="37">
        <f>SUM(N948:Q948)</f>
        <v>4429830.9400000004</v>
      </c>
      <c r="N948" s="37">
        <v>0</v>
      </c>
      <c r="O948" s="37">
        <v>0</v>
      </c>
      <c r="P948" s="37">
        <v>0</v>
      </c>
      <c r="Q948" s="37">
        <f>'Таблица 3 '!C937</f>
        <v>4429830.9400000004</v>
      </c>
      <c r="R948" s="37">
        <f>Q948</f>
        <v>4429830.9400000004</v>
      </c>
      <c r="S948" s="56">
        <v>0</v>
      </c>
      <c r="T948" s="37">
        <f t="shared" si="173"/>
        <v>7910.4123928571435</v>
      </c>
      <c r="U948" s="37">
        <f t="shared" si="172"/>
        <v>7910.4123928571435</v>
      </c>
      <c r="V948" s="41" t="s">
        <v>572</v>
      </c>
      <c r="W948" s="59"/>
      <c r="X948" s="60"/>
      <c r="Y948" s="60"/>
      <c r="Z948" s="60"/>
      <c r="AA948" s="60"/>
      <c r="AB948" s="60"/>
      <c r="AC948" s="60"/>
      <c r="AD948" s="60"/>
      <c r="AE948" s="60"/>
      <c r="AF948" s="60"/>
      <c r="AG948" s="60"/>
      <c r="AH948" s="60"/>
      <c r="AI948" s="60"/>
      <c r="AJ948" s="60"/>
      <c r="AK948" s="60"/>
      <c r="AL948" s="60"/>
      <c r="AM948" s="60"/>
    </row>
    <row r="949" s="60" customFormat="1" ht="45" customHeight="1">
      <c r="A949" s="33">
        <v>12</v>
      </c>
      <c r="B949" s="52" t="s">
        <v>745</v>
      </c>
      <c r="C949" s="99" t="s">
        <v>43</v>
      </c>
      <c r="D949" s="36">
        <v>1990</v>
      </c>
      <c r="E949" s="67" t="s">
        <v>39</v>
      </c>
      <c r="F949" s="33" t="s">
        <v>77</v>
      </c>
      <c r="G949" s="36">
        <v>5</v>
      </c>
      <c r="H949" s="36">
        <v>4</v>
      </c>
      <c r="I949" s="37">
        <v>4493</v>
      </c>
      <c r="J949" s="37">
        <v>2792.0999999999999</v>
      </c>
      <c r="K949" s="37">
        <v>0</v>
      </c>
      <c r="L949" s="38">
        <v>60</v>
      </c>
      <c r="M949" s="37">
        <f>SUM(N949:Q949)</f>
        <v>12916971.32</v>
      </c>
      <c r="N949" s="37">
        <v>0</v>
      </c>
      <c r="O949" s="37">
        <v>0</v>
      </c>
      <c r="P949" s="37">
        <v>0</v>
      </c>
      <c r="Q949" s="37">
        <f>'Таблица 3 '!C938</f>
        <v>12916971.32</v>
      </c>
      <c r="R949" s="37">
        <f>Q949</f>
        <v>12916971.32</v>
      </c>
      <c r="S949" s="56">
        <v>0</v>
      </c>
      <c r="T949" s="37">
        <f t="shared" si="173"/>
        <v>4626.2566956770888</v>
      </c>
      <c r="U949" s="37">
        <f t="shared" si="172"/>
        <v>4626.2566956770888</v>
      </c>
      <c r="V949" s="41" t="s">
        <v>572</v>
      </c>
      <c r="W949" s="59"/>
      <c r="X949" s="60"/>
      <c r="Y949" s="60"/>
      <c r="Z949" s="60"/>
      <c r="AA949" s="60"/>
      <c r="AB949" s="60"/>
      <c r="AC949" s="60"/>
      <c r="AD949" s="60"/>
      <c r="AE949" s="60"/>
      <c r="AF949" s="60"/>
      <c r="AG949" s="60"/>
      <c r="AH949" s="60"/>
      <c r="AI949" s="60"/>
      <c r="AJ949" s="60"/>
      <c r="AK949" s="60"/>
      <c r="AL949" s="60"/>
      <c r="AM949" s="60"/>
    </row>
    <row r="950" s="60" customFormat="1" ht="45" customHeight="1">
      <c r="A950" s="33">
        <v>13</v>
      </c>
      <c r="B950" s="210" t="s">
        <v>747</v>
      </c>
      <c r="C950" s="122" t="s">
        <v>43</v>
      </c>
      <c r="D950" s="124">
        <v>1979</v>
      </c>
      <c r="E950" s="214" t="s">
        <v>39</v>
      </c>
      <c r="F950" s="122" t="s">
        <v>44</v>
      </c>
      <c r="G950" s="124">
        <v>2</v>
      </c>
      <c r="H950" s="124">
        <v>2</v>
      </c>
      <c r="I950" s="139">
        <v>3987.8000000000002</v>
      </c>
      <c r="J950" s="139">
        <v>3128.4000000000001</v>
      </c>
      <c r="K950" s="37">
        <v>0</v>
      </c>
      <c r="L950" s="140">
        <v>6</v>
      </c>
      <c r="M950" s="37">
        <f>SUM(N950:Q950)</f>
        <v>18163697.670000002</v>
      </c>
      <c r="N950" s="126">
        <v>0</v>
      </c>
      <c r="O950" s="126">
        <v>0</v>
      </c>
      <c r="P950" s="126">
        <v>0</v>
      </c>
      <c r="Q950" s="37">
        <f>'Таблица 3 '!C939</f>
        <v>18163697.670000002</v>
      </c>
      <c r="R950" s="37">
        <f>Q950</f>
        <v>18163697.670000002</v>
      </c>
      <c r="S950" s="187">
        <v>0</v>
      </c>
      <c r="T950" s="126">
        <f t="shared" si="173"/>
        <v>5806.0662543153057</v>
      </c>
      <c r="U950" s="126">
        <f t="shared" si="172"/>
        <v>5806.0662543153057</v>
      </c>
      <c r="V950" s="128" t="s">
        <v>572</v>
      </c>
      <c r="W950" s="59"/>
      <c r="X950" s="60"/>
      <c r="Y950" s="60"/>
      <c r="Z950" s="60"/>
      <c r="AA950" s="60"/>
      <c r="AB950" s="60"/>
      <c r="AC950" s="60"/>
      <c r="AD950" s="60"/>
      <c r="AE950" s="60"/>
      <c r="AF950" s="60"/>
      <c r="AG950" s="60"/>
      <c r="AH950" s="60"/>
      <c r="AI950" s="60"/>
      <c r="AJ950" s="60"/>
      <c r="AK950" s="60"/>
      <c r="AL950" s="60"/>
      <c r="AM950" s="60"/>
    </row>
    <row r="951" s="60" customFormat="1" ht="45" customHeight="1">
      <c r="A951" s="33">
        <v>14</v>
      </c>
      <c r="B951" s="210" t="s">
        <v>748</v>
      </c>
      <c r="C951" s="122" t="s">
        <v>43</v>
      </c>
      <c r="D951" s="124">
        <v>1985</v>
      </c>
      <c r="E951" s="214" t="s">
        <v>39</v>
      </c>
      <c r="F951" s="122" t="s">
        <v>44</v>
      </c>
      <c r="G951" s="124">
        <v>2</v>
      </c>
      <c r="H951" s="124">
        <v>2</v>
      </c>
      <c r="I951" s="139">
        <v>3911.5</v>
      </c>
      <c r="J951" s="139">
        <v>2868.9000000000001</v>
      </c>
      <c r="K951" s="139">
        <v>0</v>
      </c>
      <c r="L951" s="140">
        <v>6</v>
      </c>
      <c r="M951" s="37">
        <f>SUM(N951:Q951)</f>
        <v>17957014.670000002</v>
      </c>
      <c r="N951" s="126">
        <v>0</v>
      </c>
      <c r="O951" s="126">
        <v>0</v>
      </c>
      <c r="P951" s="126">
        <v>0</v>
      </c>
      <c r="Q951" s="37">
        <f>'Таблица 3 '!C940</f>
        <v>17957014.670000002</v>
      </c>
      <c r="R951" s="37">
        <f>Q951</f>
        <v>17957014.670000002</v>
      </c>
      <c r="S951" s="215">
        <v>0</v>
      </c>
      <c r="T951" s="126">
        <f t="shared" si="173"/>
        <v>6259.198532538604</v>
      </c>
      <c r="U951" s="126">
        <f t="shared" si="172"/>
        <v>6259.198532538604</v>
      </c>
      <c r="V951" s="128" t="s">
        <v>572</v>
      </c>
      <c r="W951" s="59"/>
      <c r="X951" s="60"/>
      <c r="Y951" s="60"/>
      <c r="Z951" s="60"/>
      <c r="AA951" s="60"/>
      <c r="AB951" s="60"/>
      <c r="AC951" s="60"/>
      <c r="AD951" s="60"/>
      <c r="AE951" s="60"/>
      <c r="AF951" s="60"/>
      <c r="AG951" s="60"/>
      <c r="AH951" s="60"/>
      <c r="AI951" s="60"/>
      <c r="AJ951" s="60"/>
      <c r="AK951" s="60"/>
      <c r="AL951" s="60"/>
      <c r="AM951" s="60"/>
    </row>
    <row r="952" s="60" customFormat="1" ht="27" customHeight="1">
      <c r="A952" s="25" t="s">
        <v>519</v>
      </c>
      <c r="B952" s="286"/>
      <c r="C952" s="287" t="s">
        <v>39</v>
      </c>
      <c r="D952" s="288" t="s">
        <v>39</v>
      </c>
      <c r="E952" s="289" t="s">
        <v>39</v>
      </c>
      <c r="F952" s="287" t="s">
        <v>39</v>
      </c>
      <c r="G952" s="290" t="s">
        <v>39</v>
      </c>
      <c r="H952" s="290" t="s">
        <v>39</v>
      </c>
      <c r="I952" s="64">
        <f>SUM(I953:I959)</f>
        <v>14337.000000000002</v>
      </c>
      <c r="J952" s="64">
        <f>SUM(J953:J959)</f>
        <v>13257.119999999999</v>
      </c>
      <c r="K952" s="64">
        <f>SUM(K953:K959)</f>
        <v>12319.219999999999</v>
      </c>
      <c r="L952" s="65">
        <f>SUM(L953:L959)</f>
        <v>659</v>
      </c>
      <c r="M952" s="64">
        <f>SUM(M953:M959)</f>
        <v>39493254.040000007</v>
      </c>
      <c r="N952" s="64">
        <f>SUM(N953:N959)</f>
        <v>0</v>
      </c>
      <c r="O952" s="64">
        <f>SUM(O953:O959)</f>
        <v>0</v>
      </c>
      <c r="P952" s="64">
        <f>SUM(P953:P959)</f>
        <v>0</v>
      </c>
      <c r="Q952" s="64">
        <f>SUM(Q953:Q959)</f>
        <v>39493254.040000007</v>
      </c>
      <c r="R952" s="64">
        <f>SUM(R953:R959)</f>
        <v>39493254.040000007</v>
      </c>
      <c r="S952" s="64">
        <f>SUM(S953:S959)</f>
        <v>0</v>
      </c>
      <c r="T952" s="32" t="s">
        <v>39</v>
      </c>
      <c r="U952" s="291" t="s">
        <v>39</v>
      </c>
      <c r="V952" s="204" t="s">
        <v>39</v>
      </c>
      <c r="W952" s="60"/>
      <c r="X952" s="60"/>
      <c r="Y952" s="60"/>
      <c r="Z952" s="60"/>
      <c r="AA952" s="60"/>
      <c r="AB952" s="60"/>
      <c r="AC952" s="60"/>
      <c r="AD952" s="60"/>
      <c r="AE952" s="60"/>
      <c r="AF952" s="60"/>
      <c r="AG952" s="60"/>
      <c r="AH952" s="60"/>
      <c r="AI952" s="60"/>
      <c r="AJ952" s="60"/>
      <c r="AK952" s="60"/>
      <c r="AL952" s="60"/>
      <c r="AM952" s="60"/>
    </row>
    <row r="953" s="60" customFormat="1" ht="47.25" customHeight="1">
      <c r="A953" s="33">
        <v>1</v>
      </c>
      <c r="B953" s="34" t="s">
        <v>535</v>
      </c>
      <c r="C953" s="33" t="s">
        <v>43</v>
      </c>
      <c r="D953" s="103" t="s">
        <v>205</v>
      </c>
      <c r="E953" s="104" t="s">
        <v>39</v>
      </c>
      <c r="F953" s="217" t="s">
        <v>44</v>
      </c>
      <c r="G953" s="106">
        <v>5</v>
      </c>
      <c r="H953" s="106">
        <v>4</v>
      </c>
      <c r="I953" s="114">
        <v>2855.6999999999998</v>
      </c>
      <c r="J953" s="114">
        <v>2657.1999999999998</v>
      </c>
      <c r="K953" s="114">
        <v>2657.1999999999998</v>
      </c>
      <c r="L953" s="219">
        <v>180</v>
      </c>
      <c r="M953" s="37">
        <f>SUM(N953:Q953)</f>
        <v>6958781.1000000006</v>
      </c>
      <c r="N953" s="37">
        <v>0</v>
      </c>
      <c r="O953" s="37">
        <v>0</v>
      </c>
      <c r="P953" s="37">
        <v>0</v>
      </c>
      <c r="Q953" s="39">
        <f>'Таблица 3 '!C942</f>
        <v>6958781.1000000006</v>
      </c>
      <c r="R953" s="37">
        <f>Q953</f>
        <v>6958781.1000000006</v>
      </c>
      <c r="S953" s="37">
        <v>0</v>
      </c>
      <c r="T953" s="37">
        <f t="shared" si="162"/>
        <v>2618.8397937678765</v>
      </c>
      <c r="U953" s="37">
        <f t="shared" si="172"/>
        <v>2618.8397937678765</v>
      </c>
      <c r="V953" s="41" t="s">
        <v>761</v>
      </c>
      <c r="W953" s="60"/>
      <c r="X953" s="60"/>
      <c r="Y953" s="60"/>
      <c r="Z953" s="60"/>
      <c r="AA953" s="60"/>
      <c r="AB953" s="60"/>
      <c r="AC953" s="60"/>
      <c r="AD953" s="60"/>
      <c r="AE953" s="60"/>
      <c r="AF953" s="60"/>
      <c r="AG953" s="60"/>
      <c r="AH953" s="60"/>
      <c r="AI953" s="60"/>
      <c r="AJ953" s="60"/>
      <c r="AK953" s="60"/>
      <c r="AL953" s="60"/>
      <c r="AM953" s="60"/>
      <c r="AN953" s="60"/>
    </row>
    <row r="954" s="60" customFormat="1" ht="45" customHeight="1">
      <c r="A954" s="33">
        <v>2</v>
      </c>
      <c r="B954" s="34" t="s">
        <v>794</v>
      </c>
      <c r="C954" s="33" t="s">
        <v>43</v>
      </c>
      <c r="D954" s="35" t="s">
        <v>200</v>
      </c>
      <c r="E954" s="35" t="s">
        <v>39</v>
      </c>
      <c r="F954" s="33" t="s">
        <v>77</v>
      </c>
      <c r="G954" s="36" t="s">
        <v>414</v>
      </c>
      <c r="H954" s="36" t="s">
        <v>460</v>
      </c>
      <c r="I954" s="37">
        <v>2124.4000000000001</v>
      </c>
      <c r="J954" s="37">
        <v>1974.5999999999999</v>
      </c>
      <c r="K954" s="37">
        <v>1858.4000000000001</v>
      </c>
      <c r="L954" s="38">
        <v>84</v>
      </c>
      <c r="M954" s="37">
        <f>SUM(N954:Q954)</f>
        <v>1248434.1399999999</v>
      </c>
      <c r="N954" s="37">
        <v>0</v>
      </c>
      <c r="O954" s="37">
        <v>0</v>
      </c>
      <c r="P954" s="37">
        <v>0</v>
      </c>
      <c r="Q954" s="39">
        <f>'Таблица 3 '!C943</f>
        <v>1248434.1399999999</v>
      </c>
      <c r="R954" s="37">
        <f>Q954</f>
        <v>1248434.1399999999</v>
      </c>
      <c r="S954" s="37">
        <v>0</v>
      </c>
      <c r="T954" s="37">
        <f t="shared" si="162"/>
        <v>632.24660184341133</v>
      </c>
      <c r="U954" s="37">
        <f t="shared" si="172"/>
        <v>632.24660184341133</v>
      </c>
      <c r="V954" s="41" t="s">
        <v>761</v>
      </c>
      <c r="W954" s="60"/>
    </row>
    <row r="955" s="60" customFormat="1" ht="45" customHeight="1">
      <c r="A955" s="33">
        <v>3</v>
      </c>
      <c r="B955" s="34" t="s">
        <v>795</v>
      </c>
      <c r="C955" s="33" t="s">
        <v>43</v>
      </c>
      <c r="D955" s="35" t="s">
        <v>147</v>
      </c>
      <c r="E955" s="35" t="s">
        <v>39</v>
      </c>
      <c r="F955" s="33" t="s">
        <v>77</v>
      </c>
      <c r="G955" s="36" t="s">
        <v>413</v>
      </c>
      <c r="H955" s="36">
        <v>6</v>
      </c>
      <c r="I955" s="37">
        <v>5020</v>
      </c>
      <c r="J955" s="37">
        <v>4660</v>
      </c>
      <c r="K955" s="37">
        <f>J955-355.5</f>
        <v>4304.5</v>
      </c>
      <c r="L955" s="38">
        <v>196</v>
      </c>
      <c r="M955" s="37">
        <f>SUM(N955:Q955)</f>
        <v>15000000</v>
      </c>
      <c r="N955" s="39">
        <v>0</v>
      </c>
      <c r="O955" s="39">
        <v>0</v>
      </c>
      <c r="P955" s="39">
        <v>0</v>
      </c>
      <c r="Q955" s="39">
        <f>'Таблица 3 '!C944</f>
        <v>15000000</v>
      </c>
      <c r="R955" s="37">
        <f>Q955</f>
        <v>15000000</v>
      </c>
      <c r="S955" s="37">
        <v>0</v>
      </c>
      <c r="T955" s="37">
        <f t="shared" si="162"/>
        <v>3218.8841201716737</v>
      </c>
      <c r="U955" s="37">
        <f t="shared" si="172"/>
        <v>3218.8841201716737</v>
      </c>
      <c r="V955" s="41" t="s">
        <v>761</v>
      </c>
    </row>
    <row r="956" s="60" customFormat="1" ht="45" customHeight="1">
      <c r="A956" s="33">
        <v>4</v>
      </c>
      <c r="B956" s="34" t="s">
        <v>544</v>
      </c>
      <c r="C956" s="33" t="s">
        <v>43</v>
      </c>
      <c r="D956" s="35" t="s">
        <v>365</v>
      </c>
      <c r="E956" s="35" t="s">
        <v>39</v>
      </c>
      <c r="F956" s="33" t="s">
        <v>77</v>
      </c>
      <c r="G956" s="36" t="s">
        <v>460</v>
      </c>
      <c r="H956" s="36" t="s">
        <v>419</v>
      </c>
      <c r="I956" s="37">
        <v>1029.2</v>
      </c>
      <c r="J956" s="37">
        <v>937.79999999999995</v>
      </c>
      <c r="K956" s="37">
        <v>866.79999999999995</v>
      </c>
      <c r="L956" s="38">
        <v>50</v>
      </c>
      <c r="M956" s="37">
        <f>SUM(N956:Q956)</f>
        <v>4647678.21</v>
      </c>
      <c r="N956" s="37">
        <v>0</v>
      </c>
      <c r="O956" s="37">
        <v>0</v>
      </c>
      <c r="P956" s="37">
        <v>0</v>
      </c>
      <c r="Q956" s="39">
        <f>'Таблица 3 '!C945</f>
        <v>4647678.21</v>
      </c>
      <c r="R956" s="37">
        <f>Q956</f>
        <v>4647678.21</v>
      </c>
      <c r="S956" s="37">
        <v>0</v>
      </c>
      <c r="T956" s="37">
        <f t="shared" si="162"/>
        <v>4955.9375239923229</v>
      </c>
      <c r="U956" s="37">
        <f t="shared" si="172"/>
        <v>4955.9375239923229</v>
      </c>
      <c r="V956" s="41" t="s">
        <v>761</v>
      </c>
      <c r="W956" s="60"/>
    </row>
    <row r="957" s="60" customFormat="1" ht="45" customHeight="1">
      <c r="A957" s="33">
        <v>5</v>
      </c>
      <c r="B957" s="34" t="s">
        <v>796</v>
      </c>
      <c r="C957" s="33" t="s">
        <v>43</v>
      </c>
      <c r="D957" s="35" t="s">
        <v>163</v>
      </c>
      <c r="E957" s="35" t="s">
        <v>39</v>
      </c>
      <c r="F957" s="33" t="s">
        <v>77</v>
      </c>
      <c r="G957" s="36" t="s">
        <v>419</v>
      </c>
      <c r="H957" s="36" t="s">
        <v>419</v>
      </c>
      <c r="I957" s="37">
        <v>658.5</v>
      </c>
      <c r="J957" s="37">
        <v>607.20000000000005</v>
      </c>
      <c r="K957" s="37">
        <v>607.20000000000005</v>
      </c>
      <c r="L957" s="38">
        <v>22</v>
      </c>
      <c r="M957" s="37">
        <f>SUM(N957:Q957)</f>
        <v>1225756.8199999998</v>
      </c>
      <c r="N957" s="39">
        <v>0</v>
      </c>
      <c r="O957" s="39">
        <v>0</v>
      </c>
      <c r="P957" s="39">
        <v>0</v>
      </c>
      <c r="Q957" s="39">
        <f>'Таблица 3 '!C946</f>
        <v>1225756.8199999998</v>
      </c>
      <c r="R957" s="37">
        <f>Q957</f>
        <v>1225756.8199999998</v>
      </c>
      <c r="S957" s="37">
        <v>0</v>
      </c>
      <c r="T957" s="37">
        <f t="shared" si="162"/>
        <v>2018.7035902503289</v>
      </c>
      <c r="U957" s="37">
        <f t="shared" si="172"/>
        <v>2018.7035902503289</v>
      </c>
      <c r="V957" s="41" t="s">
        <v>761</v>
      </c>
      <c r="W957" s="60"/>
    </row>
    <row r="958" s="60" customFormat="1" ht="45" customHeight="1">
      <c r="A958" s="33">
        <v>6</v>
      </c>
      <c r="B958" s="34" t="s">
        <v>549</v>
      </c>
      <c r="C958" s="33" t="s">
        <v>43</v>
      </c>
      <c r="D958" s="35" t="s">
        <v>132</v>
      </c>
      <c r="E958" s="35" t="s">
        <v>39</v>
      </c>
      <c r="F958" s="33" t="s">
        <v>77</v>
      </c>
      <c r="G958" s="36" t="s">
        <v>419</v>
      </c>
      <c r="H958" s="36" t="s">
        <v>419</v>
      </c>
      <c r="I958" s="37">
        <v>765.10000000000002</v>
      </c>
      <c r="J958" s="37">
        <v>714.22000000000003</v>
      </c>
      <c r="K958" s="37">
        <v>674.32000000000005</v>
      </c>
      <c r="L958" s="38">
        <v>30</v>
      </c>
      <c r="M958" s="37">
        <f>SUM(N958:Q958)</f>
        <v>4066986.5100000002</v>
      </c>
      <c r="N958" s="37">
        <v>0</v>
      </c>
      <c r="O958" s="37">
        <v>0</v>
      </c>
      <c r="P958" s="37">
        <v>0</v>
      </c>
      <c r="Q958" s="39">
        <f>'Таблица 3 '!C947</f>
        <v>4066986.5100000002</v>
      </c>
      <c r="R958" s="37">
        <f>Q958</f>
        <v>4066986.5100000002</v>
      </c>
      <c r="S958" s="37">
        <v>0</v>
      </c>
      <c r="T958" s="37">
        <f t="shared" si="162"/>
        <v>5694.3049900590859</v>
      </c>
      <c r="U958" s="37">
        <f t="shared" si="172"/>
        <v>5694.3049900590859</v>
      </c>
      <c r="V958" s="41" t="s">
        <v>761</v>
      </c>
      <c r="W958" s="60"/>
    </row>
    <row r="959" s="60" customFormat="1" ht="48.75" customHeight="1">
      <c r="A959" s="33">
        <v>7</v>
      </c>
      <c r="B959" s="34" t="s">
        <v>554</v>
      </c>
      <c r="C959" s="33" t="s">
        <v>43</v>
      </c>
      <c r="D959" s="35" t="s">
        <v>79</v>
      </c>
      <c r="E959" s="35" t="s">
        <v>39</v>
      </c>
      <c r="F959" s="33" t="s">
        <v>77</v>
      </c>
      <c r="G959" s="36" t="s">
        <v>413</v>
      </c>
      <c r="H959" s="36">
        <v>1</v>
      </c>
      <c r="I959" s="37">
        <v>1884.0999999999999</v>
      </c>
      <c r="J959" s="37">
        <v>1706.0999999999999</v>
      </c>
      <c r="K959" s="37">
        <f>1706.1-355.3</f>
        <v>1350.8</v>
      </c>
      <c r="L959" s="38">
        <v>97</v>
      </c>
      <c r="M959" s="37">
        <f>SUM(N959:Q959)</f>
        <v>6345617.2599999998</v>
      </c>
      <c r="N959" s="39">
        <v>0</v>
      </c>
      <c r="O959" s="39">
        <v>0</v>
      </c>
      <c r="P959" s="39">
        <v>0</v>
      </c>
      <c r="Q959" s="39">
        <f>'Таблица 3 '!C948</f>
        <v>6345617.2599999998</v>
      </c>
      <c r="R959" s="37">
        <f>Q959</f>
        <v>6345617.2599999998</v>
      </c>
      <c r="S959" s="37">
        <v>0</v>
      </c>
      <c r="T959" s="37">
        <f t="shared" si="162"/>
        <v>3719.3700603716079</v>
      </c>
      <c r="U959" s="37">
        <f t="shared" si="172"/>
        <v>3719.3700603716079</v>
      </c>
      <c r="V959" s="41" t="s">
        <v>761</v>
      </c>
      <c r="W959" s="60"/>
    </row>
    <row r="960" s="54" customFormat="1">
      <c r="A960" s="292"/>
      <c r="B960" s="292"/>
      <c r="C960" s="292"/>
      <c r="D960" s="292"/>
      <c r="E960" s="293"/>
      <c r="F960" s="292"/>
      <c r="G960" s="292"/>
      <c r="H960" s="292"/>
      <c r="I960" s="68"/>
      <c r="J960" s="68"/>
      <c r="K960" s="68"/>
      <c r="L960" s="68"/>
      <c r="M960" s="68"/>
      <c r="N960" s="68"/>
      <c r="O960" s="68"/>
      <c r="P960" s="68"/>
      <c r="Q960" s="68"/>
      <c r="R960" s="68"/>
      <c r="S960" s="68"/>
      <c r="T960" s="292"/>
      <c r="U960" s="292"/>
      <c r="V960" s="292"/>
      <c r="W960" s="54"/>
    </row>
    <row r="961" s="294" customFormat="1" ht="25.5" customHeight="1">
      <c r="A961" s="295" t="s">
        <v>797</v>
      </c>
      <c r="B961" s="295"/>
      <c r="C961" s="296"/>
      <c r="D961" s="296"/>
      <c r="E961" s="296"/>
      <c r="F961" s="296"/>
      <c r="G961" s="297"/>
      <c r="H961" s="297"/>
      <c r="I961" s="297"/>
      <c r="J961" s="297"/>
      <c r="K961" s="297"/>
      <c r="L961" s="297"/>
      <c r="M961" s="297"/>
      <c r="N961" s="297"/>
      <c r="O961" s="297"/>
      <c r="P961" s="297"/>
      <c r="Q961" s="297"/>
      <c r="R961" s="297"/>
      <c r="S961" s="297"/>
      <c r="T961" s="297"/>
      <c r="U961" s="297"/>
      <c r="V961" s="297"/>
      <c r="W961" s="294"/>
    </row>
    <row r="962" s="294" customFormat="1" ht="23.25" customHeight="1">
      <c r="A962" s="298" t="s">
        <v>798</v>
      </c>
      <c r="B962" s="298"/>
      <c r="C962" s="298"/>
      <c r="D962" s="298"/>
      <c r="E962" s="298"/>
      <c r="F962" s="298"/>
      <c r="G962" s="298"/>
      <c r="H962" s="298"/>
      <c r="I962" s="298"/>
      <c r="J962" s="298"/>
      <c r="K962" s="298"/>
      <c r="L962" s="298"/>
      <c r="M962" s="298"/>
      <c r="N962" s="298"/>
      <c r="O962" s="298"/>
      <c r="P962" s="298"/>
      <c r="Q962" s="298"/>
      <c r="R962" s="298"/>
      <c r="S962" s="298"/>
      <c r="T962" s="298"/>
      <c r="U962" s="298"/>
      <c r="V962" s="298"/>
      <c r="W962" s="294"/>
    </row>
    <row r="963" s="294" customFormat="1" ht="23.25" customHeight="1">
      <c r="A963" s="25" t="s">
        <v>38</v>
      </c>
      <c r="B963" s="25"/>
      <c r="C963" s="26" t="s">
        <v>39</v>
      </c>
      <c r="D963" s="26" t="s">
        <v>40</v>
      </c>
      <c r="E963" s="27" t="s">
        <v>40</v>
      </c>
      <c r="F963" s="26" t="s">
        <v>40</v>
      </c>
      <c r="G963" s="28" t="s">
        <v>40</v>
      </c>
      <c r="H963" s="28" t="s">
        <v>40</v>
      </c>
      <c r="I963" s="29">
        <f>I964+I1000+I1002+I1004+I1006+I1009+I1024+I1029+I1032+I1036+I1039</f>
        <v>245735.09399999995</v>
      </c>
      <c r="J963" s="29">
        <f>J964+J1000+J1002+J1004+J1006+J1009+J1024+J1029+J1032+J1036+J1039</f>
        <v>211302.57000000001</v>
      </c>
      <c r="K963" s="29">
        <f>K964+K1000+K1002+K1004+K1006+K1009+K1024+K1029+K1032+K1036+K1039</f>
        <v>187750.57000000001</v>
      </c>
      <c r="L963" s="30">
        <f>L964+L1000+L1002+L1004+L1006+L1009+L1024+L1029+L1032+L1036+L1039</f>
        <v>7380</v>
      </c>
      <c r="M963" s="29">
        <f>M964+M1000+M1002+M1004+M1006+M1009+M1024+M1029+M1032+M1036+M1039</f>
        <v>46405427.529999986</v>
      </c>
      <c r="N963" s="29">
        <f>N964+N1000+N1002+N1004+N1006+N1009+N1024+N1029+N1032+N1036+N1039</f>
        <v>0</v>
      </c>
      <c r="O963" s="29">
        <f>O964+O1000+O1002+O1004+O1006+O1009+O1024+O1029+O1032+O1036+O1039</f>
        <v>0</v>
      </c>
      <c r="P963" s="29">
        <f>P964+P1000+P1002+P1004+P1006+P1009+P1024+P1029+P1032+P1036+P1039</f>
        <v>0</v>
      </c>
      <c r="Q963" s="29">
        <f>Q964+Q1000+Q1002+Q1004+Q1006+Q1009+Q1024+Q1029+Q1032+Q1036+Q1039</f>
        <v>46405427.529999986</v>
      </c>
      <c r="R963" s="29">
        <f>R964+R1000+R1002+R1004+R1006+R1009+R1024+R1029+R1032+R1036+R1039</f>
        <v>46405427.529999986</v>
      </c>
      <c r="S963" s="29">
        <f>S964+S1000+S1002+S1004+S1006+S1009+S1024+S1029+S1032+S1036+S1039</f>
        <v>0</v>
      </c>
      <c r="T963" s="64" t="s">
        <v>40</v>
      </c>
      <c r="U963" s="64" t="s">
        <v>40</v>
      </c>
      <c r="V963" s="76" t="s">
        <v>40</v>
      </c>
      <c r="W963" s="31"/>
    </row>
    <row r="964" s="294" customFormat="1" ht="23.25" customHeight="1">
      <c r="A964" s="25" t="s">
        <v>41</v>
      </c>
      <c r="B964" s="25"/>
      <c r="C964" s="26" t="s">
        <v>39</v>
      </c>
      <c r="D964" s="26" t="s">
        <v>40</v>
      </c>
      <c r="E964" s="27" t="s">
        <v>40</v>
      </c>
      <c r="F964" s="26" t="s">
        <v>40</v>
      </c>
      <c r="G964" s="28" t="s">
        <v>40</v>
      </c>
      <c r="H964" s="28" t="s">
        <v>40</v>
      </c>
      <c r="I964" s="29">
        <f>I965+I966+I967+I971+I972+I976+I978+I979+I980+I982+I983+I984+I986+I988+I990+I992+I993+I995+I996+I997+I998</f>
        <v>129718.59999999998</v>
      </c>
      <c r="J964" s="29">
        <f>J965+J966+J967+J971+J972+J976+J978+J979+J980+J982+J983+J984+J986+J988+J990+J992+J993+J995+J996+J997+J998</f>
        <v>129742.3</v>
      </c>
      <c r="K964" s="29">
        <f>K965+K966+K967+K971+K972+K976+K978+K979+K980+K982+K983+K984+K986+K988+K990+K992+K993+K995+K996+K997+K998</f>
        <v>110415.8</v>
      </c>
      <c r="L964" s="30">
        <f>L965+L966+L967+L971+L972+L976+L978+L979+L980+L982+L983+L984+L986+L988+L990+L992+L993+L995+L996+L997+L998</f>
        <v>3343</v>
      </c>
      <c r="M964" s="29">
        <f>SUM(M965:M999)</f>
        <v>28755439.439999998</v>
      </c>
      <c r="N964" s="29">
        <f>SUM(N965:N999)</f>
        <v>0</v>
      </c>
      <c r="O964" s="29">
        <f>SUM(O965:O999)</f>
        <v>0</v>
      </c>
      <c r="P964" s="29">
        <f>SUM(P965:P999)</f>
        <v>0</v>
      </c>
      <c r="Q964" s="29">
        <f>SUM(Q965:Q999)</f>
        <v>28755439.439999998</v>
      </c>
      <c r="R964" s="29">
        <f>SUM(R965:R999)</f>
        <v>28755439.439999998</v>
      </c>
      <c r="S964" s="29">
        <f>SUM(S965:S999)</f>
        <v>0</v>
      </c>
      <c r="T964" s="64" t="s">
        <v>40</v>
      </c>
      <c r="U964" s="64" t="s">
        <v>40</v>
      </c>
      <c r="V964" s="76" t="s">
        <v>40</v>
      </c>
      <c r="W964" s="31"/>
    </row>
    <row r="965" s="294" customFormat="1" ht="44.25" customHeight="1">
      <c r="A965" s="33">
        <v>1</v>
      </c>
      <c r="B965" s="34" t="s">
        <v>799</v>
      </c>
      <c r="C965" s="33" t="s">
        <v>85</v>
      </c>
      <c r="D965" s="35" t="s">
        <v>154</v>
      </c>
      <c r="E965" s="35" t="s">
        <v>39</v>
      </c>
      <c r="F965" s="33" t="s">
        <v>77</v>
      </c>
      <c r="G965" s="36">
        <v>5</v>
      </c>
      <c r="H965" s="36">
        <v>3</v>
      </c>
      <c r="I965" s="37">
        <v>3440</v>
      </c>
      <c r="J965" s="37">
        <v>3375.8000000000002</v>
      </c>
      <c r="K965" s="37">
        <v>3176.4000000000001</v>
      </c>
      <c r="L965" s="38">
        <v>132</v>
      </c>
      <c r="M965" s="39">
        <f t="shared" ref="M965:M999" si="174">SUM(N965:Q965)</f>
        <v>241914</v>
      </c>
      <c r="N965" s="37">
        <v>0</v>
      </c>
      <c r="O965" s="37">
        <v>0</v>
      </c>
      <c r="P965" s="37">
        <v>0</v>
      </c>
      <c r="Q965" s="40">
        <f>'Таблица 3 '!C954</f>
        <v>241914</v>
      </c>
      <c r="R965" s="37">
        <f t="shared" ref="R965:R999" si="175">Q965</f>
        <v>241914</v>
      </c>
      <c r="S965" s="37">
        <v>0</v>
      </c>
      <c r="T965" s="37" t="s">
        <v>39</v>
      </c>
      <c r="U965" s="37" t="s">
        <v>39</v>
      </c>
      <c r="V965" s="41" t="s">
        <v>130</v>
      </c>
      <c r="W965" s="31"/>
    </row>
    <row r="966" s="294" customFormat="1" ht="44.25" customHeight="1">
      <c r="A966" s="33">
        <v>2</v>
      </c>
      <c r="B966" s="42" t="s">
        <v>800</v>
      </c>
      <c r="C966" s="33" t="s">
        <v>85</v>
      </c>
      <c r="D966" s="33">
        <v>1978</v>
      </c>
      <c r="E966" s="35" t="s">
        <v>39</v>
      </c>
      <c r="F966" s="33" t="s">
        <v>48</v>
      </c>
      <c r="G966" s="36">
        <v>5</v>
      </c>
      <c r="H966" s="36">
        <v>6</v>
      </c>
      <c r="I966" s="40">
        <v>4895.1000000000004</v>
      </c>
      <c r="J966" s="40">
        <v>4402.5</v>
      </c>
      <c r="K966" s="40">
        <v>4374.5</v>
      </c>
      <c r="L966" s="48">
        <v>148</v>
      </c>
      <c r="M966" s="40">
        <f t="shared" si="174"/>
        <v>2910900</v>
      </c>
      <c r="N966" s="40">
        <v>0</v>
      </c>
      <c r="O966" s="40">
        <v>0</v>
      </c>
      <c r="P966" s="40">
        <v>0</v>
      </c>
      <c r="Q966" s="40">
        <f>'Таблица 3 '!C955</f>
        <v>2910900</v>
      </c>
      <c r="R966" s="40">
        <f t="shared" si="175"/>
        <v>2910900</v>
      </c>
      <c r="S966" s="40">
        <v>0</v>
      </c>
      <c r="T966" s="37" t="s">
        <v>39</v>
      </c>
      <c r="U966" s="37" t="s">
        <v>39</v>
      </c>
      <c r="V966" s="41" t="s">
        <v>155</v>
      </c>
      <c r="W966" s="31"/>
      <c r="X966" s="294"/>
    </row>
    <row r="967" s="294" customFormat="1" ht="44.25" customHeight="1">
      <c r="A967" s="122">
        <v>3</v>
      </c>
      <c r="B967" s="299" t="s">
        <v>801</v>
      </c>
      <c r="C967" s="122" t="s">
        <v>43</v>
      </c>
      <c r="D967" s="122">
        <v>1995</v>
      </c>
      <c r="E967" s="122" t="s">
        <v>40</v>
      </c>
      <c r="F967" s="122" t="s">
        <v>48</v>
      </c>
      <c r="G967" s="124">
        <v>10</v>
      </c>
      <c r="H967" s="124">
        <v>10</v>
      </c>
      <c r="I967" s="139">
        <v>5001.6999999999998</v>
      </c>
      <c r="J967" s="139">
        <v>5001.6999999999998</v>
      </c>
      <c r="K967" s="139">
        <v>5001.6999999999998</v>
      </c>
      <c r="L967" s="140">
        <v>186</v>
      </c>
      <c r="M967" s="139">
        <f t="shared" si="174"/>
        <v>-5916708.8200000003</v>
      </c>
      <c r="N967" s="139">
        <v>0</v>
      </c>
      <c r="O967" s="139">
        <v>0</v>
      </c>
      <c r="P967" s="139">
        <v>0</v>
      </c>
      <c r="Q967" s="40">
        <f>'Таблица 3 '!C956</f>
        <v>-5916708.8200000003</v>
      </c>
      <c r="R967" s="139">
        <f t="shared" si="175"/>
        <v>-5916708.8200000003</v>
      </c>
      <c r="S967" s="139">
        <v>0</v>
      </c>
      <c r="T967" s="37" t="s">
        <v>39</v>
      </c>
      <c r="U967" s="37" t="s">
        <v>39</v>
      </c>
      <c r="V967" s="141">
        <v>2025</v>
      </c>
      <c r="W967" s="300"/>
      <c r="X967" s="294"/>
    </row>
    <row r="968" s="294" customFormat="1" ht="42" customHeight="1">
      <c r="A968" s="122"/>
      <c r="B968" s="299" t="s">
        <v>801</v>
      </c>
      <c r="C968" s="122" t="s">
        <v>43</v>
      </c>
      <c r="D968" s="122">
        <v>1995</v>
      </c>
      <c r="E968" s="122" t="s">
        <v>40</v>
      </c>
      <c r="F968" s="122" t="s">
        <v>48</v>
      </c>
      <c r="G968" s="124">
        <v>10</v>
      </c>
      <c r="H968" s="124">
        <v>10</v>
      </c>
      <c r="I968" s="139">
        <v>5001.6999999999998</v>
      </c>
      <c r="J968" s="139">
        <v>5001.6999999999998</v>
      </c>
      <c r="K968" s="139">
        <v>5001.6999999999998</v>
      </c>
      <c r="L968" s="140">
        <v>186</v>
      </c>
      <c r="M968" s="139">
        <f t="shared" si="174"/>
        <v>5957481.9800000004</v>
      </c>
      <c r="N968" s="139">
        <v>0</v>
      </c>
      <c r="O968" s="139">
        <v>0</v>
      </c>
      <c r="P968" s="139">
        <v>0</v>
      </c>
      <c r="Q968" s="40">
        <f>'Таблица 3 '!C957</f>
        <v>5957481.9800000004</v>
      </c>
      <c r="R968" s="139">
        <f t="shared" si="175"/>
        <v>5957481.9800000004</v>
      </c>
      <c r="S968" s="139">
        <v>0</v>
      </c>
      <c r="T968" s="37" t="s">
        <v>39</v>
      </c>
      <c r="U968" s="37" t="s">
        <v>39</v>
      </c>
      <c r="V968" s="141">
        <v>2025</v>
      </c>
      <c r="W968" s="300"/>
      <c r="X968" s="294"/>
    </row>
    <row r="969" s="294" customFormat="1" ht="42" customHeight="1">
      <c r="A969" s="122">
        <v>3</v>
      </c>
      <c r="B969" s="42" t="s">
        <v>802</v>
      </c>
      <c r="C969" s="119" t="s">
        <v>43</v>
      </c>
      <c r="D969" s="122">
        <v>1984</v>
      </c>
      <c r="E969" s="119">
        <v>2021</v>
      </c>
      <c r="F969" s="122" t="s">
        <v>48</v>
      </c>
      <c r="G969" s="123">
        <v>5</v>
      </c>
      <c r="H969" s="124">
        <v>6</v>
      </c>
      <c r="I969" s="212">
        <v>6094.9399999999996</v>
      </c>
      <c r="J969" s="139">
        <v>4472.3999999999996</v>
      </c>
      <c r="K969" s="212">
        <v>4403.8999999999996</v>
      </c>
      <c r="L969" s="140">
        <v>201</v>
      </c>
      <c r="M969" s="212">
        <f t="shared" si="174"/>
        <v>-5149178.9500000002</v>
      </c>
      <c r="N969" s="139">
        <v>0</v>
      </c>
      <c r="O969" s="212">
        <v>0</v>
      </c>
      <c r="P969" s="139">
        <v>0</v>
      </c>
      <c r="Q969" s="40">
        <f>'Таблица 3 '!C958</f>
        <v>-5149178.9500000002</v>
      </c>
      <c r="R969" s="139">
        <f t="shared" si="175"/>
        <v>-5149178.9500000002</v>
      </c>
      <c r="S969" s="212">
        <v>0</v>
      </c>
      <c r="T969" s="37" t="s">
        <v>39</v>
      </c>
      <c r="U969" s="46" t="s">
        <v>39</v>
      </c>
      <c r="V969" s="141">
        <v>2023</v>
      </c>
      <c r="W969" s="142"/>
      <c r="X969" s="294"/>
    </row>
    <row r="970" s="294" customFormat="1" ht="42" customHeight="1">
      <c r="A970" s="122"/>
      <c r="B970" s="42" t="s">
        <v>802</v>
      </c>
      <c r="C970" s="122" t="s">
        <v>43</v>
      </c>
      <c r="D970" s="119">
        <v>1984</v>
      </c>
      <c r="E970" s="122">
        <v>2021</v>
      </c>
      <c r="F970" s="119" t="s">
        <v>48</v>
      </c>
      <c r="G970" s="124">
        <v>5</v>
      </c>
      <c r="H970" s="123">
        <v>6</v>
      </c>
      <c r="I970" s="139">
        <v>6094.9399999999996</v>
      </c>
      <c r="J970" s="212">
        <v>4472.3999999999996</v>
      </c>
      <c r="K970" s="139">
        <v>4403.8999999999996</v>
      </c>
      <c r="L970" s="301">
        <v>201</v>
      </c>
      <c r="M970" s="139">
        <f t="shared" si="174"/>
        <v>5353057.2000000002</v>
      </c>
      <c r="N970" s="212">
        <v>0</v>
      </c>
      <c r="O970" s="139">
        <v>0</v>
      </c>
      <c r="P970" s="212">
        <v>0</v>
      </c>
      <c r="Q970" s="40">
        <f>'Таблица 3 '!C959</f>
        <v>5353057.2000000002</v>
      </c>
      <c r="R970" s="212">
        <f t="shared" si="175"/>
        <v>5353057.2000000002</v>
      </c>
      <c r="S970" s="139">
        <v>0</v>
      </c>
      <c r="T970" s="46" t="s">
        <v>39</v>
      </c>
      <c r="U970" s="37" t="s">
        <v>39</v>
      </c>
      <c r="V970" s="141">
        <v>2023</v>
      </c>
      <c r="W970" s="142"/>
      <c r="X970" s="294"/>
    </row>
    <row r="971" s="294" customFormat="1" ht="45.75" customHeight="1">
      <c r="A971" s="122">
        <v>4</v>
      </c>
      <c r="B971" s="42" t="s">
        <v>586</v>
      </c>
      <c r="C971" s="33" t="s">
        <v>85</v>
      </c>
      <c r="D971" s="122">
        <v>1988</v>
      </c>
      <c r="E971" s="122" t="s">
        <v>40</v>
      </c>
      <c r="F971" s="33" t="s">
        <v>77</v>
      </c>
      <c r="G971" s="124">
        <v>9</v>
      </c>
      <c r="H971" s="124">
        <v>1</v>
      </c>
      <c r="I971" s="139">
        <v>4924.1999999999998</v>
      </c>
      <c r="J971" s="139">
        <v>4903.5</v>
      </c>
      <c r="K971" s="139">
        <v>4816</v>
      </c>
      <c r="L971" s="140">
        <v>128</v>
      </c>
      <c r="M971" s="139">
        <f t="shared" si="174"/>
        <v>1494789.0800000001</v>
      </c>
      <c r="N971" s="139">
        <v>0</v>
      </c>
      <c r="O971" s="139">
        <v>0</v>
      </c>
      <c r="P971" s="139">
        <v>0</v>
      </c>
      <c r="Q971" s="40">
        <f>'Таблица 3 '!C960</f>
        <v>1494789.0800000001</v>
      </c>
      <c r="R971" s="139">
        <f t="shared" si="175"/>
        <v>1494789.0800000001</v>
      </c>
      <c r="S971" s="139">
        <v>0</v>
      </c>
      <c r="T971" s="37" t="s">
        <v>39</v>
      </c>
      <c r="U971" s="37" t="s">
        <v>39</v>
      </c>
      <c r="V971" s="141">
        <v>2025</v>
      </c>
      <c r="W971" s="300"/>
      <c r="X971" s="294"/>
    </row>
    <row r="972" s="294" customFormat="1" ht="44.25" customHeight="1">
      <c r="A972" s="122">
        <v>5</v>
      </c>
      <c r="B972" s="42" t="s">
        <v>803</v>
      </c>
      <c r="C972" s="122" t="s">
        <v>43</v>
      </c>
      <c r="D972" s="122">
        <v>1991</v>
      </c>
      <c r="E972" s="122">
        <v>2019</v>
      </c>
      <c r="F972" s="122" t="s">
        <v>77</v>
      </c>
      <c r="G972" s="124">
        <v>10</v>
      </c>
      <c r="H972" s="124">
        <v>1</v>
      </c>
      <c r="I972" s="139">
        <v>3798.5999999999999</v>
      </c>
      <c r="J972" s="139">
        <v>2956.6999999999998</v>
      </c>
      <c r="K972" s="139">
        <v>2956.6999999999998</v>
      </c>
      <c r="L972" s="140">
        <v>65</v>
      </c>
      <c r="M972" s="139">
        <f t="shared" si="174"/>
        <v>-6243297.3399999999</v>
      </c>
      <c r="N972" s="139">
        <v>0</v>
      </c>
      <c r="O972" s="139">
        <v>0</v>
      </c>
      <c r="P972" s="139">
        <v>0</v>
      </c>
      <c r="Q972" s="40">
        <f>'Таблица 3 '!C961</f>
        <v>-6243297.3399999999</v>
      </c>
      <c r="R972" s="139">
        <f t="shared" si="175"/>
        <v>-6243297.3399999999</v>
      </c>
      <c r="S972" s="139">
        <v>0</v>
      </c>
      <c r="T972" s="37" t="s">
        <v>39</v>
      </c>
      <c r="U972" s="37" t="s">
        <v>39</v>
      </c>
      <c r="V972" s="141">
        <v>2025</v>
      </c>
      <c r="W972" s="300"/>
      <c r="X972" s="294"/>
    </row>
    <row r="973" s="294" customFormat="1" ht="44.25" customHeight="1">
      <c r="A973" s="122"/>
      <c r="B973" s="42" t="s">
        <v>803</v>
      </c>
      <c r="C973" s="122" t="s">
        <v>43</v>
      </c>
      <c r="D973" s="122">
        <v>1991</v>
      </c>
      <c r="E973" s="122">
        <v>2019</v>
      </c>
      <c r="F973" s="122" t="s">
        <v>77</v>
      </c>
      <c r="G973" s="124">
        <v>10</v>
      </c>
      <c r="H973" s="124">
        <v>1</v>
      </c>
      <c r="I973" s="139">
        <v>3798.5999999999999</v>
      </c>
      <c r="J973" s="139">
        <v>2956.6999999999998</v>
      </c>
      <c r="K973" s="139">
        <v>2956.6999999999998</v>
      </c>
      <c r="L973" s="140">
        <v>65</v>
      </c>
      <c r="M973" s="139">
        <f t="shared" si="174"/>
        <v>6029143.8399999999</v>
      </c>
      <c r="N973" s="139">
        <v>0</v>
      </c>
      <c r="O973" s="139">
        <v>0</v>
      </c>
      <c r="P973" s="139">
        <v>0</v>
      </c>
      <c r="Q973" s="40">
        <f>'Таблица 3 '!C962</f>
        <v>6029143.8399999999</v>
      </c>
      <c r="R973" s="139">
        <f t="shared" si="175"/>
        <v>6029143.8399999999</v>
      </c>
      <c r="S973" s="139">
        <v>0</v>
      </c>
      <c r="T973" s="37" t="s">
        <v>39</v>
      </c>
      <c r="U973" s="37" t="s">
        <v>39</v>
      </c>
      <c r="V973" s="141">
        <v>2025</v>
      </c>
      <c r="W973" s="300"/>
      <c r="X973" s="294"/>
    </row>
    <row r="974" s="294" customFormat="1" ht="44.25" customHeight="1">
      <c r="A974" s="122">
        <v>6</v>
      </c>
      <c r="B974" s="42" t="s">
        <v>804</v>
      </c>
      <c r="C974" s="119" t="s">
        <v>43</v>
      </c>
      <c r="D974" s="122">
        <v>1938</v>
      </c>
      <c r="E974" s="122" t="s">
        <v>39</v>
      </c>
      <c r="F974" s="122" t="s">
        <v>77</v>
      </c>
      <c r="G974" s="124">
        <v>4</v>
      </c>
      <c r="H974" s="124">
        <v>3</v>
      </c>
      <c r="I974" s="139">
        <v>2984.3000000000002</v>
      </c>
      <c r="J974" s="139">
        <v>2571.8000000000002</v>
      </c>
      <c r="K974" s="139">
        <v>2172.9000000000001</v>
      </c>
      <c r="L974" s="140">
        <v>72</v>
      </c>
      <c r="M974" s="139">
        <f t="shared" si="174"/>
        <v>-5040429.5999999996</v>
      </c>
      <c r="N974" s="139">
        <v>0</v>
      </c>
      <c r="O974" s="139">
        <v>0</v>
      </c>
      <c r="P974" s="139">
        <v>0</v>
      </c>
      <c r="Q974" s="40">
        <f>'Таблица 3 '!C963</f>
        <v>-5040429.5999999996</v>
      </c>
      <c r="R974" s="139">
        <f t="shared" si="175"/>
        <v>-5040429.5999999996</v>
      </c>
      <c r="S974" s="212">
        <v>0</v>
      </c>
      <c r="T974" s="37" t="s">
        <v>39</v>
      </c>
      <c r="U974" s="46" t="s">
        <v>39</v>
      </c>
      <c r="V974" s="141">
        <v>2019</v>
      </c>
      <c r="W974" s="142"/>
      <c r="X974" s="294"/>
    </row>
    <row r="975" s="294" customFormat="1" ht="44.25" customHeight="1">
      <c r="A975" s="122"/>
      <c r="B975" s="42" t="s">
        <v>804</v>
      </c>
      <c r="C975" s="122" t="s">
        <v>43</v>
      </c>
      <c r="D975" s="122">
        <v>1938</v>
      </c>
      <c r="E975" s="122" t="s">
        <v>39</v>
      </c>
      <c r="F975" s="122" t="s">
        <v>77</v>
      </c>
      <c r="G975" s="124">
        <v>4</v>
      </c>
      <c r="H975" s="124">
        <v>3</v>
      </c>
      <c r="I975" s="139">
        <v>2984.3000000000002</v>
      </c>
      <c r="J975" s="139">
        <v>2571.8000000000002</v>
      </c>
      <c r="K975" s="139">
        <v>2172.9000000000001</v>
      </c>
      <c r="L975" s="140">
        <v>72</v>
      </c>
      <c r="M975" s="139">
        <f t="shared" si="174"/>
        <v>5555044</v>
      </c>
      <c r="N975" s="139">
        <v>0</v>
      </c>
      <c r="O975" s="139">
        <v>0</v>
      </c>
      <c r="P975" s="139">
        <v>0</v>
      </c>
      <c r="Q975" s="40">
        <f>'Таблица 3 '!C964</f>
        <v>5555044</v>
      </c>
      <c r="R975" s="212">
        <f t="shared" si="175"/>
        <v>5555044</v>
      </c>
      <c r="S975" s="139">
        <v>0</v>
      </c>
      <c r="T975" s="46" t="s">
        <v>39</v>
      </c>
      <c r="U975" s="37" t="s">
        <v>39</v>
      </c>
      <c r="V975" s="141">
        <v>2019</v>
      </c>
      <c r="W975" s="142"/>
      <c r="X975" s="294"/>
    </row>
    <row r="976" s="294" customFormat="1" ht="44.25" customHeight="1">
      <c r="A976" s="122">
        <v>6</v>
      </c>
      <c r="B976" s="42" t="s">
        <v>805</v>
      </c>
      <c r="C976" s="122" t="s">
        <v>43</v>
      </c>
      <c r="D976" s="122">
        <v>1996</v>
      </c>
      <c r="E976" s="122">
        <v>2020</v>
      </c>
      <c r="F976" s="122" t="s">
        <v>77</v>
      </c>
      <c r="G976" s="124">
        <v>9</v>
      </c>
      <c r="H976" s="124">
        <v>2</v>
      </c>
      <c r="I976" s="139">
        <v>3577.0999999999999</v>
      </c>
      <c r="J976" s="139">
        <v>3574.4000000000001</v>
      </c>
      <c r="K976" s="139">
        <v>3574.4000000000001</v>
      </c>
      <c r="L976" s="140">
        <v>38</v>
      </c>
      <c r="M976" s="139">
        <f t="shared" si="174"/>
        <v>-6359734.96</v>
      </c>
      <c r="N976" s="139">
        <v>0</v>
      </c>
      <c r="O976" s="139">
        <v>0</v>
      </c>
      <c r="P976" s="139">
        <v>0</v>
      </c>
      <c r="Q976" s="40">
        <f>'Таблица 3 '!C965</f>
        <v>-6359734.96</v>
      </c>
      <c r="R976" s="139">
        <f t="shared" si="175"/>
        <v>-6359734.96</v>
      </c>
      <c r="S976" s="139">
        <v>0</v>
      </c>
      <c r="T976" s="37" t="s">
        <v>39</v>
      </c>
      <c r="U976" s="37" t="s">
        <v>39</v>
      </c>
      <c r="V976" s="141">
        <v>2025</v>
      </c>
      <c r="W976" s="300"/>
      <c r="X976" s="294"/>
    </row>
    <row r="977" s="294" customFormat="1" ht="44.25" customHeight="1">
      <c r="A977" s="122"/>
      <c r="B977" s="42" t="s">
        <v>805</v>
      </c>
      <c r="C977" s="122" t="s">
        <v>43</v>
      </c>
      <c r="D977" s="122">
        <v>1996</v>
      </c>
      <c r="E977" s="122">
        <v>2020</v>
      </c>
      <c r="F977" s="122" t="s">
        <v>77</v>
      </c>
      <c r="G977" s="124">
        <v>9</v>
      </c>
      <c r="H977" s="124">
        <v>2</v>
      </c>
      <c r="I977" s="139">
        <v>3577.0999999999999</v>
      </c>
      <c r="J977" s="139">
        <v>3574.4000000000001</v>
      </c>
      <c r="K977" s="139">
        <v>3574.4000000000001</v>
      </c>
      <c r="L977" s="140">
        <v>38</v>
      </c>
      <c r="M977" s="139">
        <f t="shared" si="174"/>
        <v>6472054.7699999996</v>
      </c>
      <c r="N977" s="139">
        <v>0</v>
      </c>
      <c r="O977" s="139">
        <v>0</v>
      </c>
      <c r="P977" s="139">
        <v>0</v>
      </c>
      <c r="Q977" s="40">
        <f>'Таблица 3 '!C966</f>
        <v>6472054.7699999996</v>
      </c>
      <c r="R977" s="139">
        <f t="shared" si="175"/>
        <v>6472054.7699999996</v>
      </c>
      <c r="S977" s="139">
        <v>0</v>
      </c>
      <c r="T977" s="37" t="s">
        <v>39</v>
      </c>
      <c r="U977" s="37" t="s">
        <v>39</v>
      </c>
      <c r="V977" s="141">
        <v>2025</v>
      </c>
      <c r="W977" s="300"/>
      <c r="X977" s="294"/>
    </row>
    <row r="978" s="294" customFormat="1" ht="44.25" customHeight="1">
      <c r="A978" s="122">
        <v>7</v>
      </c>
      <c r="B978" s="42" t="s">
        <v>806</v>
      </c>
      <c r="C978" s="33" t="s">
        <v>85</v>
      </c>
      <c r="D978" s="122">
        <v>2008</v>
      </c>
      <c r="E978" s="122" t="s">
        <v>40</v>
      </c>
      <c r="F978" s="122" t="s">
        <v>77</v>
      </c>
      <c r="G978" s="124">
        <v>10</v>
      </c>
      <c r="H978" s="124">
        <v>5</v>
      </c>
      <c r="I978" s="139">
        <v>23643.5</v>
      </c>
      <c r="J978" s="139">
        <v>18487.599999999999</v>
      </c>
      <c r="K978" s="139">
        <v>17294.200000000001</v>
      </c>
      <c r="L978" s="140">
        <v>380</v>
      </c>
      <c r="M978" s="139">
        <f t="shared" si="174"/>
        <v>5120728.3900000006</v>
      </c>
      <c r="N978" s="139">
        <v>0</v>
      </c>
      <c r="O978" s="139">
        <v>0</v>
      </c>
      <c r="P978" s="139">
        <v>0</v>
      </c>
      <c r="Q978" s="40">
        <f>'Таблица 3 '!C967</f>
        <v>5120728.3900000006</v>
      </c>
      <c r="R978" s="139">
        <f t="shared" si="175"/>
        <v>5120728.3900000006</v>
      </c>
      <c r="S978" s="139">
        <v>0</v>
      </c>
      <c r="T978" s="37" t="s">
        <v>39</v>
      </c>
      <c r="U978" s="37" t="s">
        <v>39</v>
      </c>
      <c r="V978" s="141">
        <v>2025</v>
      </c>
      <c r="W978" s="300"/>
      <c r="X978" s="294"/>
    </row>
    <row r="979" s="294" customFormat="1" ht="44.25" customHeight="1">
      <c r="A979" s="122">
        <v>8</v>
      </c>
      <c r="B979" s="42" t="s">
        <v>807</v>
      </c>
      <c r="C979" s="33" t="s">
        <v>85</v>
      </c>
      <c r="D979" s="122">
        <v>1979</v>
      </c>
      <c r="E979" s="122" t="s">
        <v>40</v>
      </c>
      <c r="F979" s="122" t="s">
        <v>77</v>
      </c>
      <c r="G979" s="124">
        <v>5</v>
      </c>
      <c r="H979" s="124">
        <v>6</v>
      </c>
      <c r="I979" s="139">
        <v>5004.1000000000004</v>
      </c>
      <c r="J979" s="139">
        <v>4533.5</v>
      </c>
      <c r="K979" s="139">
        <v>3877.5999999999999</v>
      </c>
      <c r="L979" s="140">
        <v>224</v>
      </c>
      <c r="M979" s="139">
        <f t="shared" si="174"/>
        <v>2833148.8399999999</v>
      </c>
      <c r="N979" s="139">
        <v>0</v>
      </c>
      <c r="O979" s="139">
        <v>0</v>
      </c>
      <c r="P979" s="139">
        <v>0</v>
      </c>
      <c r="Q979" s="40">
        <f>'Таблица 3 '!C968</f>
        <v>2833148.8399999999</v>
      </c>
      <c r="R979" s="139">
        <f t="shared" si="175"/>
        <v>2833148.8399999999</v>
      </c>
      <c r="S979" s="139">
        <v>0</v>
      </c>
      <c r="T979" s="37" t="s">
        <v>39</v>
      </c>
      <c r="U979" s="37" t="s">
        <v>39</v>
      </c>
      <c r="V979" s="141">
        <v>2025</v>
      </c>
      <c r="W979" s="300"/>
      <c r="X979" s="294"/>
    </row>
    <row r="980" s="294" customFormat="1" ht="44.25" customHeight="1">
      <c r="A980" s="122">
        <v>9</v>
      </c>
      <c r="B980" s="42" t="s">
        <v>174</v>
      </c>
      <c r="C980" s="122" t="s">
        <v>43</v>
      </c>
      <c r="D980" s="122">
        <v>1978</v>
      </c>
      <c r="E980" s="122" t="s">
        <v>40</v>
      </c>
      <c r="F980" s="122" t="s">
        <v>77</v>
      </c>
      <c r="G980" s="124">
        <v>5</v>
      </c>
      <c r="H980" s="124">
        <v>4</v>
      </c>
      <c r="I980" s="139">
        <v>4525.3000000000002</v>
      </c>
      <c r="J980" s="139">
        <v>3372.3000000000002</v>
      </c>
      <c r="K980" s="139">
        <v>3158.6999999999998</v>
      </c>
      <c r="L980" s="140">
        <v>124</v>
      </c>
      <c r="M980" s="139">
        <f t="shared" si="174"/>
        <v>-10693184.220000001</v>
      </c>
      <c r="N980" s="139">
        <v>0</v>
      </c>
      <c r="O980" s="139">
        <v>0</v>
      </c>
      <c r="P980" s="139">
        <v>0</v>
      </c>
      <c r="Q980" s="40">
        <f>'Таблица 3 '!C969</f>
        <v>-10693184.220000001</v>
      </c>
      <c r="R980" s="139">
        <f t="shared" si="175"/>
        <v>-10693184.220000001</v>
      </c>
      <c r="S980" s="139">
        <v>0</v>
      </c>
      <c r="T980" s="37" t="s">
        <v>39</v>
      </c>
      <c r="U980" s="37" t="s">
        <v>39</v>
      </c>
      <c r="V980" s="141">
        <v>2025</v>
      </c>
      <c r="W980" s="300"/>
      <c r="X980" s="294"/>
    </row>
    <row r="981" s="294" customFormat="1" ht="44.25" customHeight="1">
      <c r="A981" s="122"/>
      <c r="B981" s="42" t="s">
        <v>174</v>
      </c>
      <c r="C981" s="122" t="s">
        <v>43</v>
      </c>
      <c r="D981" s="122">
        <v>1978</v>
      </c>
      <c r="E981" s="122" t="s">
        <v>40</v>
      </c>
      <c r="F981" s="122" t="s">
        <v>77</v>
      </c>
      <c r="G981" s="124">
        <v>5</v>
      </c>
      <c r="H981" s="124">
        <v>4</v>
      </c>
      <c r="I981" s="139">
        <v>4525.3000000000002</v>
      </c>
      <c r="J981" s="139">
        <v>3372.3000000000002</v>
      </c>
      <c r="K981" s="139">
        <v>3158.6999999999998</v>
      </c>
      <c r="L981" s="140">
        <v>124</v>
      </c>
      <c r="M981" s="139">
        <f t="shared" si="174"/>
        <v>10795086.539999999</v>
      </c>
      <c r="N981" s="139">
        <v>0</v>
      </c>
      <c r="O981" s="139">
        <v>0</v>
      </c>
      <c r="P981" s="139">
        <v>0</v>
      </c>
      <c r="Q981" s="40">
        <f>'Таблица 3 '!C970</f>
        <v>10795086.539999999</v>
      </c>
      <c r="R981" s="139">
        <f t="shared" si="175"/>
        <v>10795086.539999999</v>
      </c>
      <c r="S981" s="139">
        <v>0</v>
      </c>
      <c r="T981" s="37" t="s">
        <v>39</v>
      </c>
      <c r="U981" s="37" t="s">
        <v>39</v>
      </c>
      <c r="V981" s="141">
        <v>2025</v>
      </c>
      <c r="W981" s="300"/>
      <c r="X981" s="294"/>
    </row>
    <row r="982" s="294" customFormat="1" ht="44.25" customHeight="1">
      <c r="A982" s="122">
        <v>10</v>
      </c>
      <c r="B982" s="42" t="s">
        <v>808</v>
      </c>
      <c r="C982" s="33" t="s">
        <v>85</v>
      </c>
      <c r="D982" s="122">
        <v>1983</v>
      </c>
      <c r="E982" s="122" t="s">
        <v>40</v>
      </c>
      <c r="F982" s="122" t="s">
        <v>48</v>
      </c>
      <c r="G982" s="124">
        <v>5</v>
      </c>
      <c r="H982" s="124">
        <v>4</v>
      </c>
      <c r="I982" s="139">
        <v>3010.0999999999999</v>
      </c>
      <c r="J982" s="139">
        <v>3000</v>
      </c>
      <c r="K982" s="139">
        <v>3000</v>
      </c>
      <c r="L982" s="140">
        <v>124</v>
      </c>
      <c r="M982" s="139">
        <f t="shared" si="174"/>
        <v>1476875.8</v>
      </c>
      <c r="N982" s="139">
        <v>0</v>
      </c>
      <c r="O982" s="139">
        <v>0</v>
      </c>
      <c r="P982" s="139">
        <v>0</v>
      </c>
      <c r="Q982" s="40">
        <f>'Таблица 3 '!C971</f>
        <v>1476875.8</v>
      </c>
      <c r="R982" s="139">
        <f t="shared" si="175"/>
        <v>1476875.8</v>
      </c>
      <c r="S982" s="139">
        <v>0</v>
      </c>
      <c r="T982" s="37" t="s">
        <v>39</v>
      </c>
      <c r="U982" s="37" t="s">
        <v>39</v>
      </c>
      <c r="V982" s="141">
        <v>2025</v>
      </c>
      <c r="W982" s="300"/>
      <c r="X982" s="294"/>
    </row>
    <row r="983" s="294" customFormat="1" ht="44.25" customHeight="1">
      <c r="A983" s="122">
        <v>11</v>
      </c>
      <c r="B983" s="42" t="s">
        <v>809</v>
      </c>
      <c r="C983" s="33" t="s">
        <v>85</v>
      </c>
      <c r="D983" s="122">
        <v>1980</v>
      </c>
      <c r="E983" s="122" t="s">
        <v>40</v>
      </c>
      <c r="F983" s="122" t="s">
        <v>77</v>
      </c>
      <c r="G983" s="124">
        <v>5</v>
      </c>
      <c r="H983" s="124">
        <v>7</v>
      </c>
      <c r="I983" s="139">
        <v>5228.1999999999998</v>
      </c>
      <c r="J983" s="139">
        <v>5211.1999999999998</v>
      </c>
      <c r="K983" s="139">
        <v>4887.8000000000002</v>
      </c>
      <c r="L983" s="140">
        <v>174</v>
      </c>
      <c r="M983" s="139">
        <f t="shared" si="174"/>
        <v>35738</v>
      </c>
      <c r="N983" s="139">
        <v>0</v>
      </c>
      <c r="O983" s="139">
        <v>0</v>
      </c>
      <c r="P983" s="139">
        <v>0</v>
      </c>
      <c r="Q983" s="40">
        <f>'Таблица 3 '!C972</f>
        <v>35738</v>
      </c>
      <c r="R983" s="139">
        <f t="shared" si="175"/>
        <v>35738</v>
      </c>
      <c r="S983" s="139">
        <v>0</v>
      </c>
      <c r="T983" s="37" t="s">
        <v>39</v>
      </c>
      <c r="U983" s="37" t="s">
        <v>39</v>
      </c>
      <c r="V983" s="141">
        <v>2025</v>
      </c>
      <c r="W983" s="300"/>
      <c r="X983" s="294"/>
    </row>
    <row r="984" s="294" customFormat="1" ht="44.25" customHeight="1">
      <c r="A984" s="122">
        <v>12</v>
      </c>
      <c r="B984" s="42" t="s">
        <v>810</v>
      </c>
      <c r="C984" s="33" t="s">
        <v>85</v>
      </c>
      <c r="D984" s="122">
        <v>2006</v>
      </c>
      <c r="E984" s="122" t="s">
        <v>39</v>
      </c>
      <c r="F984" s="122" t="s">
        <v>48</v>
      </c>
      <c r="G984" s="124">
        <v>9</v>
      </c>
      <c r="H984" s="124">
        <v>3</v>
      </c>
      <c r="I984" s="139">
        <v>7786.3000000000002</v>
      </c>
      <c r="J984" s="139">
        <v>7770.1000000000004</v>
      </c>
      <c r="K984" s="139">
        <v>7634.1999999999998</v>
      </c>
      <c r="L984" s="140">
        <v>211</v>
      </c>
      <c r="M984" s="139">
        <f t="shared" si="174"/>
        <v>3472303.25</v>
      </c>
      <c r="N984" s="139">
        <v>0</v>
      </c>
      <c r="O984" s="139">
        <v>0</v>
      </c>
      <c r="P984" s="139">
        <v>0</v>
      </c>
      <c r="Q984" s="40">
        <f>'Таблица 3 '!C973</f>
        <v>3472303.25</v>
      </c>
      <c r="R984" s="139">
        <f t="shared" si="175"/>
        <v>3472303.25</v>
      </c>
      <c r="S984" s="139">
        <v>0</v>
      </c>
      <c r="T984" s="37" t="s">
        <v>39</v>
      </c>
      <c r="U984" s="37" t="s">
        <v>39</v>
      </c>
      <c r="V984" s="141">
        <v>2025</v>
      </c>
      <c r="W984" s="300"/>
      <c r="X984" s="294"/>
    </row>
    <row r="985" s="294" customFormat="1" ht="44.25" customHeight="1">
      <c r="A985" s="122">
        <v>12</v>
      </c>
      <c r="B985" s="42" t="s">
        <v>810</v>
      </c>
      <c r="C985" s="43" t="s">
        <v>85</v>
      </c>
      <c r="D985" s="122">
        <v>1981</v>
      </c>
      <c r="E985" s="119" t="s">
        <v>39</v>
      </c>
      <c r="F985" s="122" t="s">
        <v>48</v>
      </c>
      <c r="G985" s="123">
        <v>5</v>
      </c>
      <c r="H985" s="124">
        <v>4</v>
      </c>
      <c r="I985" s="212">
        <v>4287.8999999999996</v>
      </c>
      <c r="J985" s="139">
        <v>3602.9000000000001</v>
      </c>
      <c r="K985" s="212">
        <v>3602.9000000000001</v>
      </c>
      <c r="L985" s="140">
        <v>121</v>
      </c>
      <c r="M985" s="212">
        <f t="shared" si="174"/>
        <v>1087519.95</v>
      </c>
      <c r="N985" s="139">
        <v>0</v>
      </c>
      <c r="O985" s="212">
        <v>0</v>
      </c>
      <c r="P985" s="139">
        <v>0</v>
      </c>
      <c r="Q985" s="51">
        <f>'Таблица 3 '!C974</f>
        <v>1087519.95</v>
      </c>
      <c r="R985" s="139">
        <f t="shared" si="175"/>
        <v>1087519.95</v>
      </c>
      <c r="S985" s="212">
        <v>0</v>
      </c>
      <c r="T985" s="37" t="s">
        <v>39</v>
      </c>
      <c r="U985" s="46" t="s">
        <v>39</v>
      </c>
      <c r="V985" s="141">
        <v>2025</v>
      </c>
      <c r="W985" s="142"/>
      <c r="X985" s="294"/>
    </row>
    <row r="986" s="294" customFormat="1" ht="44.25" customHeight="1">
      <c r="A986" s="122">
        <v>13</v>
      </c>
      <c r="B986" s="42" t="s">
        <v>811</v>
      </c>
      <c r="C986" s="122" t="s">
        <v>43</v>
      </c>
      <c r="D986" s="122">
        <v>1984</v>
      </c>
      <c r="E986" s="122" t="s">
        <v>40</v>
      </c>
      <c r="F986" s="122" t="s">
        <v>48</v>
      </c>
      <c r="G986" s="124">
        <v>5</v>
      </c>
      <c r="H986" s="124">
        <v>4</v>
      </c>
      <c r="I986" s="139">
        <v>4006</v>
      </c>
      <c r="J986" s="139">
        <v>2932</v>
      </c>
      <c r="K986" s="139">
        <v>2831.3000000000002</v>
      </c>
      <c r="L986" s="140">
        <v>118</v>
      </c>
      <c r="M986" s="139">
        <f t="shared" si="174"/>
        <v>-2301256.7999999998</v>
      </c>
      <c r="N986" s="139">
        <v>0</v>
      </c>
      <c r="O986" s="139">
        <v>0</v>
      </c>
      <c r="P986" s="139">
        <v>0</v>
      </c>
      <c r="Q986" s="40">
        <f>'Таблица 3 '!C975</f>
        <v>-2301256.7999999998</v>
      </c>
      <c r="R986" s="139">
        <f t="shared" si="175"/>
        <v>-2301256.7999999998</v>
      </c>
      <c r="S986" s="139">
        <v>0</v>
      </c>
      <c r="T986" s="37" t="s">
        <v>39</v>
      </c>
      <c r="U986" s="37" t="s">
        <v>39</v>
      </c>
      <c r="V986" s="141">
        <v>2025</v>
      </c>
      <c r="W986" s="300"/>
      <c r="X986" s="294"/>
    </row>
    <row r="987" s="294" customFormat="1" ht="44.25" customHeight="1">
      <c r="A987" s="122"/>
      <c r="B987" s="42" t="s">
        <v>811</v>
      </c>
      <c r="C987" s="122" t="s">
        <v>43</v>
      </c>
      <c r="D987" s="122">
        <v>1984</v>
      </c>
      <c r="E987" s="122" t="s">
        <v>40</v>
      </c>
      <c r="F987" s="122" t="s">
        <v>48</v>
      </c>
      <c r="G987" s="124">
        <v>5</v>
      </c>
      <c r="H987" s="124">
        <v>4</v>
      </c>
      <c r="I987" s="139">
        <v>4006</v>
      </c>
      <c r="J987" s="139">
        <v>2932</v>
      </c>
      <c r="K987" s="139">
        <v>2831.3000000000002</v>
      </c>
      <c r="L987" s="140">
        <v>118</v>
      </c>
      <c r="M987" s="139">
        <f t="shared" si="174"/>
        <v>2301526.7999999998</v>
      </c>
      <c r="N987" s="139">
        <v>0</v>
      </c>
      <c r="O987" s="139">
        <v>0</v>
      </c>
      <c r="P987" s="139">
        <v>0</v>
      </c>
      <c r="Q987" s="40">
        <f>'Таблица 3 '!C976</f>
        <v>2301526.7999999998</v>
      </c>
      <c r="R987" s="139">
        <f t="shared" si="175"/>
        <v>2301526.7999999998</v>
      </c>
      <c r="S987" s="139">
        <v>0</v>
      </c>
      <c r="T987" s="37" t="s">
        <v>39</v>
      </c>
      <c r="U987" s="37" t="s">
        <v>39</v>
      </c>
      <c r="V987" s="141">
        <v>2025</v>
      </c>
      <c r="W987" s="300"/>
      <c r="X987" s="294"/>
    </row>
    <row r="988" s="294" customFormat="1" ht="44.25" customHeight="1">
      <c r="A988" s="122">
        <v>14</v>
      </c>
      <c r="B988" s="42" t="s">
        <v>812</v>
      </c>
      <c r="C988" s="119" t="s">
        <v>43</v>
      </c>
      <c r="D988" s="122">
        <v>1966</v>
      </c>
      <c r="E988" s="122" t="s">
        <v>39</v>
      </c>
      <c r="F988" s="122" t="s">
        <v>48</v>
      </c>
      <c r="G988" s="124">
        <v>5</v>
      </c>
      <c r="H988" s="124">
        <v>4</v>
      </c>
      <c r="I988" s="139">
        <v>3659.4000000000001</v>
      </c>
      <c r="J988" s="139">
        <v>3659.4000000000001</v>
      </c>
      <c r="K988" s="139">
        <v>3566.5999999999999</v>
      </c>
      <c r="L988" s="140">
        <v>101</v>
      </c>
      <c r="M988" s="139">
        <f t="shared" si="174"/>
        <v>-2940034.6099999999</v>
      </c>
      <c r="N988" s="139">
        <v>0</v>
      </c>
      <c r="O988" s="139">
        <v>0</v>
      </c>
      <c r="P988" s="139">
        <v>0</v>
      </c>
      <c r="Q988" s="40">
        <f>'Таблица 3 '!C977</f>
        <v>-2940034.6099999999</v>
      </c>
      <c r="R988" s="139">
        <f t="shared" si="175"/>
        <v>-2940034.6099999999</v>
      </c>
      <c r="S988" s="139">
        <v>0</v>
      </c>
      <c r="T988" s="37" t="s">
        <v>39</v>
      </c>
      <c r="U988" s="46" t="s">
        <v>39</v>
      </c>
      <c r="V988" s="141">
        <v>2019</v>
      </c>
      <c r="W988" s="142"/>
      <c r="X988" s="294"/>
    </row>
    <row r="989" s="294" customFormat="1" ht="44.25" customHeight="1">
      <c r="A989" s="122"/>
      <c r="B989" s="42" t="s">
        <v>812</v>
      </c>
      <c r="C989" s="122" t="s">
        <v>43</v>
      </c>
      <c r="D989" s="119">
        <v>1966</v>
      </c>
      <c r="E989" s="122" t="s">
        <v>39</v>
      </c>
      <c r="F989" s="122" t="s">
        <v>48</v>
      </c>
      <c r="G989" s="124">
        <v>5</v>
      </c>
      <c r="H989" s="124">
        <v>4</v>
      </c>
      <c r="I989" s="139">
        <v>3659.4000000000001</v>
      </c>
      <c r="J989" s="139">
        <v>3659.4000000000001</v>
      </c>
      <c r="K989" s="139">
        <v>3566.5999999999999</v>
      </c>
      <c r="L989" s="140">
        <v>101</v>
      </c>
      <c r="M989" s="139">
        <f t="shared" si="174"/>
        <v>3134160.1499999999</v>
      </c>
      <c r="N989" s="139">
        <v>0</v>
      </c>
      <c r="O989" s="139">
        <v>0</v>
      </c>
      <c r="P989" s="139">
        <v>0</v>
      </c>
      <c r="Q989" s="40">
        <f>'Таблица 3 '!C978</f>
        <v>3134160.1499999999</v>
      </c>
      <c r="R989" s="139">
        <f t="shared" si="175"/>
        <v>3134160.1499999999</v>
      </c>
      <c r="S989" s="139">
        <v>0</v>
      </c>
      <c r="T989" s="37" t="s">
        <v>39</v>
      </c>
      <c r="U989" s="37" t="s">
        <v>39</v>
      </c>
      <c r="V989" s="141">
        <v>2019</v>
      </c>
      <c r="W989" s="142"/>
      <c r="X989" s="294"/>
    </row>
    <row r="990" s="294" customFormat="1" ht="44.25" customHeight="1">
      <c r="A990" s="122">
        <v>15</v>
      </c>
      <c r="B990" s="42" t="s">
        <v>813</v>
      </c>
      <c r="C990" s="122" t="s">
        <v>43</v>
      </c>
      <c r="D990" s="122">
        <v>1961</v>
      </c>
      <c r="E990" s="122" t="s">
        <v>40</v>
      </c>
      <c r="F990" s="122" t="s">
        <v>44</v>
      </c>
      <c r="G990" s="124">
        <v>5</v>
      </c>
      <c r="H990" s="124">
        <v>3</v>
      </c>
      <c r="I990" s="139">
        <v>4377.8999999999996</v>
      </c>
      <c r="J990" s="139">
        <v>3015.5</v>
      </c>
      <c r="K990" s="139">
        <v>3015.5</v>
      </c>
      <c r="L990" s="140">
        <v>68</v>
      </c>
      <c r="M990" s="139">
        <f t="shared" si="174"/>
        <v>-2425939.2000000002</v>
      </c>
      <c r="N990" s="139">
        <v>0</v>
      </c>
      <c r="O990" s="139">
        <v>0</v>
      </c>
      <c r="P990" s="139">
        <v>0</v>
      </c>
      <c r="Q990" s="40">
        <f>'Таблица 3 '!C979</f>
        <v>-2425939.2000000002</v>
      </c>
      <c r="R990" s="139">
        <f t="shared" si="175"/>
        <v>-2425939.2000000002</v>
      </c>
      <c r="S990" s="139">
        <v>0</v>
      </c>
      <c r="T990" s="37" t="s">
        <v>39</v>
      </c>
      <c r="U990" s="37" t="s">
        <v>39</v>
      </c>
      <c r="V990" s="141">
        <v>2024</v>
      </c>
      <c r="W990" s="300"/>
      <c r="X990" s="294"/>
    </row>
    <row r="991" s="294" customFormat="1" ht="44.25" customHeight="1">
      <c r="A991" s="122"/>
      <c r="B991" s="42" t="s">
        <v>813</v>
      </c>
      <c r="C991" s="122" t="s">
        <v>43</v>
      </c>
      <c r="D991" s="122">
        <v>1961</v>
      </c>
      <c r="E991" s="122" t="s">
        <v>40</v>
      </c>
      <c r="F991" s="122" t="s">
        <v>44</v>
      </c>
      <c r="G991" s="124">
        <v>5</v>
      </c>
      <c r="H991" s="124">
        <v>3</v>
      </c>
      <c r="I991" s="139">
        <v>4377.8999999999996</v>
      </c>
      <c r="J991" s="139">
        <v>3015.5</v>
      </c>
      <c r="K991" s="139">
        <v>3015.5</v>
      </c>
      <c r="L991" s="140">
        <v>68</v>
      </c>
      <c r="M991" s="139">
        <f t="shared" si="174"/>
        <v>3102376.7999999998</v>
      </c>
      <c r="N991" s="139">
        <v>0</v>
      </c>
      <c r="O991" s="139">
        <v>0</v>
      </c>
      <c r="P991" s="139">
        <v>0</v>
      </c>
      <c r="Q991" s="40">
        <f>'Таблица 3 '!C980</f>
        <v>3102376.7999999998</v>
      </c>
      <c r="R991" s="139">
        <f t="shared" si="175"/>
        <v>3102376.7999999998</v>
      </c>
      <c r="S991" s="139">
        <v>0</v>
      </c>
      <c r="T991" s="37" t="s">
        <v>39</v>
      </c>
      <c r="U991" s="37" t="s">
        <v>39</v>
      </c>
      <c r="V991" s="141">
        <v>2024</v>
      </c>
      <c r="W991" s="300"/>
      <c r="X991" s="294"/>
    </row>
    <row r="992" s="294" customFormat="1" ht="44.25" customHeight="1">
      <c r="A992" s="122">
        <v>16</v>
      </c>
      <c r="B992" s="42" t="s">
        <v>814</v>
      </c>
      <c r="C992" s="33" t="s">
        <v>85</v>
      </c>
      <c r="D992" s="122">
        <v>1976</v>
      </c>
      <c r="E992" s="122" t="s">
        <v>39</v>
      </c>
      <c r="F992" s="122" t="s">
        <v>48</v>
      </c>
      <c r="G992" s="124">
        <v>5</v>
      </c>
      <c r="H992" s="124">
        <v>5</v>
      </c>
      <c r="I992" s="139">
        <v>5151.1000000000004</v>
      </c>
      <c r="J992" s="139">
        <v>4557.3000000000002</v>
      </c>
      <c r="K992" s="139">
        <v>4557.3000000000002</v>
      </c>
      <c r="L992" s="140">
        <v>183</v>
      </c>
      <c r="M992" s="139">
        <f t="shared" si="174"/>
        <v>-10590316.800000001</v>
      </c>
      <c r="N992" s="139">
        <v>0</v>
      </c>
      <c r="O992" s="139">
        <v>0</v>
      </c>
      <c r="P992" s="139">
        <v>0</v>
      </c>
      <c r="Q992" s="40">
        <f>'Таблица 3 '!C981</f>
        <v>-10590316.800000001</v>
      </c>
      <c r="R992" s="139">
        <f t="shared" si="175"/>
        <v>-10590316.800000001</v>
      </c>
      <c r="S992" s="139">
        <v>0</v>
      </c>
      <c r="T992" s="37" t="s">
        <v>39</v>
      </c>
      <c r="U992" s="37" t="s">
        <v>39</v>
      </c>
      <c r="V992" s="141">
        <v>2024</v>
      </c>
      <c r="W992" s="300"/>
      <c r="X992" s="294"/>
    </row>
    <row r="993" s="294" customFormat="1" ht="44.25" customHeight="1">
      <c r="A993" s="122">
        <v>17</v>
      </c>
      <c r="B993" s="42" t="s">
        <v>815</v>
      </c>
      <c r="C993" s="122" t="s">
        <v>43</v>
      </c>
      <c r="D993" s="122">
        <v>1971</v>
      </c>
      <c r="E993" s="122" t="s">
        <v>39</v>
      </c>
      <c r="F993" s="122" t="s">
        <v>77</v>
      </c>
      <c r="G993" s="124">
        <v>5</v>
      </c>
      <c r="H993" s="124">
        <v>2</v>
      </c>
      <c r="I993" s="139">
        <v>1770.9000000000001</v>
      </c>
      <c r="J993" s="139">
        <v>17770.900000000001</v>
      </c>
      <c r="K993" s="139">
        <v>1770.9000000000001</v>
      </c>
      <c r="L993" s="140">
        <v>62</v>
      </c>
      <c r="M993" s="139">
        <f t="shared" si="174"/>
        <v>10550846.800000001</v>
      </c>
      <c r="N993" s="139">
        <v>0</v>
      </c>
      <c r="O993" s="139">
        <v>0</v>
      </c>
      <c r="P993" s="139">
        <v>0</v>
      </c>
      <c r="Q993" s="40">
        <f>'Таблица 3 '!C982</f>
        <v>10550846.800000001</v>
      </c>
      <c r="R993" s="139">
        <f t="shared" si="175"/>
        <v>10550846.800000001</v>
      </c>
      <c r="S993" s="139">
        <v>0</v>
      </c>
      <c r="T993" s="37" t="s">
        <v>39</v>
      </c>
      <c r="U993" s="37" t="s">
        <v>39</v>
      </c>
      <c r="V993" s="141">
        <v>2024</v>
      </c>
      <c r="W993" s="300"/>
      <c r="X993" s="294"/>
    </row>
    <row r="994" s="294" customFormat="1" ht="44.25" customHeight="1">
      <c r="A994" s="122"/>
      <c r="B994" s="42" t="s">
        <v>815</v>
      </c>
      <c r="C994" s="122" t="s">
        <v>43</v>
      </c>
      <c r="D994" s="122">
        <v>1971</v>
      </c>
      <c r="E994" s="122" t="s">
        <v>39</v>
      </c>
      <c r="F994" s="122" t="s">
        <v>77</v>
      </c>
      <c r="G994" s="124">
        <v>5</v>
      </c>
      <c r="H994" s="124">
        <v>2</v>
      </c>
      <c r="I994" s="139">
        <v>1770.9000000000001</v>
      </c>
      <c r="J994" s="139">
        <v>17770.900000000001</v>
      </c>
      <c r="K994" s="139">
        <v>1770.9000000000001</v>
      </c>
      <c r="L994" s="140">
        <v>62</v>
      </c>
      <c r="M994" s="139">
        <f t="shared" si="174"/>
        <v>271360</v>
      </c>
      <c r="N994" s="139">
        <v>0</v>
      </c>
      <c r="O994" s="139">
        <v>0</v>
      </c>
      <c r="P994" s="139">
        <v>0</v>
      </c>
      <c r="Q994" s="40">
        <f>'Таблица 3 '!C983</f>
        <v>271360</v>
      </c>
      <c r="R994" s="139">
        <f t="shared" si="175"/>
        <v>271360</v>
      </c>
      <c r="S994" s="139">
        <v>0</v>
      </c>
      <c r="T994" s="37" t="s">
        <v>39</v>
      </c>
      <c r="U994" s="37" t="s">
        <v>39</v>
      </c>
      <c r="V994" s="141">
        <v>2024</v>
      </c>
      <c r="W994" s="300"/>
      <c r="X994" s="294"/>
    </row>
    <row r="995" s="294" customFormat="1" ht="44.25" customHeight="1">
      <c r="A995" s="122">
        <v>18</v>
      </c>
      <c r="B995" s="42" t="s">
        <v>634</v>
      </c>
      <c r="C995" s="33" t="s">
        <v>85</v>
      </c>
      <c r="D995" s="122">
        <v>1996</v>
      </c>
      <c r="E995" s="122" t="s">
        <v>39</v>
      </c>
      <c r="F995" s="122" t="s">
        <v>77</v>
      </c>
      <c r="G995" s="124">
        <v>9</v>
      </c>
      <c r="H995" s="124">
        <v>4</v>
      </c>
      <c r="I995" s="139">
        <v>10131.4</v>
      </c>
      <c r="J995" s="139">
        <v>10083.6</v>
      </c>
      <c r="K995" s="139">
        <v>10083.6</v>
      </c>
      <c r="L995" s="140">
        <v>225</v>
      </c>
      <c r="M995" s="139">
        <f t="shared" si="174"/>
        <v>-1745876.8600000001</v>
      </c>
      <c r="N995" s="139">
        <v>0</v>
      </c>
      <c r="O995" s="139">
        <v>0</v>
      </c>
      <c r="P995" s="139">
        <v>0</v>
      </c>
      <c r="Q995" s="40">
        <f>'Таблица 3 '!C985</f>
        <v>-1745876.8600000001</v>
      </c>
      <c r="R995" s="139">
        <f t="shared" si="175"/>
        <v>-1745876.8600000001</v>
      </c>
      <c r="S995" s="139">
        <v>0</v>
      </c>
      <c r="T995" s="37" t="s">
        <v>39</v>
      </c>
      <c r="U995" s="37" t="s">
        <v>39</v>
      </c>
      <c r="V995" s="141">
        <v>2025</v>
      </c>
      <c r="W995" s="300"/>
      <c r="X995" s="294"/>
    </row>
    <row r="996" s="294" customFormat="1" ht="44.25" customHeight="1">
      <c r="A996" s="122">
        <v>19</v>
      </c>
      <c r="B996" s="42" t="s">
        <v>277</v>
      </c>
      <c r="C996" s="33" t="s">
        <v>85</v>
      </c>
      <c r="D996" s="122">
        <v>2002</v>
      </c>
      <c r="E996" s="122" t="s">
        <v>39</v>
      </c>
      <c r="F996" s="122" t="s">
        <v>77</v>
      </c>
      <c r="G996" s="124">
        <v>10</v>
      </c>
      <c r="H996" s="124">
        <v>7</v>
      </c>
      <c r="I996" s="139">
        <v>14491.5</v>
      </c>
      <c r="J996" s="139">
        <v>11593.200000000001</v>
      </c>
      <c r="K996" s="139">
        <v>11593.200000000001</v>
      </c>
      <c r="L996" s="140">
        <v>245</v>
      </c>
      <c r="M996" s="139">
        <f t="shared" si="174"/>
        <v>1626153.76</v>
      </c>
      <c r="N996" s="139">
        <v>0</v>
      </c>
      <c r="O996" s="139">
        <v>0</v>
      </c>
      <c r="P996" s="139">
        <v>0</v>
      </c>
      <c r="Q996" s="40">
        <f>'Таблица 3 '!C986</f>
        <v>1626153.76</v>
      </c>
      <c r="R996" s="139">
        <f t="shared" si="175"/>
        <v>1626153.76</v>
      </c>
      <c r="S996" s="139">
        <v>0</v>
      </c>
      <c r="T996" s="37" t="s">
        <v>39</v>
      </c>
      <c r="U996" s="37" t="s">
        <v>39</v>
      </c>
      <c r="V996" s="141">
        <v>2023.2023999999999</v>
      </c>
      <c r="W996" s="300"/>
      <c r="X996" s="294"/>
    </row>
    <row r="997" s="294" customFormat="1" ht="44.25" customHeight="1">
      <c r="A997" s="122">
        <v>20</v>
      </c>
      <c r="B997" s="42" t="s">
        <v>816</v>
      </c>
      <c r="C997" s="33" t="s">
        <v>85</v>
      </c>
      <c r="D997" s="122">
        <v>1979</v>
      </c>
      <c r="E997" s="122" t="s">
        <v>39</v>
      </c>
      <c r="F997" s="122" t="s">
        <v>48</v>
      </c>
      <c r="G997" s="124">
        <v>5</v>
      </c>
      <c r="H997" s="124">
        <v>6</v>
      </c>
      <c r="I997" s="139">
        <v>4394.3000000000002</v>
      </c>
      <c r="J997" s="139">
        <v>4394.3000000000002</v>
      </c>
      <c r="K997" s="139">
        <v>4098.3999999999996</v>
      </c>
      <c r="L997" s="140">
        <v>157</v>
      </c>
      <c r="M997" s="139">
        <f t="shared" si="174"/>
        <v>2425079</v>
      </c>
      <c r="N997" s="139">
        <v>0</v>
      </c>
      <c r="O997" s="139">
        <v>0</v>
      </c>
      <c r="P997" s="139">
        <v>0</v>
      </c>
      <c r="Q997" s="40">
        <f>'Таблица 3 '!C987</f>
        <v>2425079</v>
      </c>
      <c r="R997" s="139">
        <f t="shared" si="175"/>
        <v>2425079</v>
      </c>
      <c r="S997" s="139">
        <v>0</v>
      </c>
      <c r="T997" s="37" t="s">
        <v>39</v>
      </c>
      <c r="U997" s="37" t="s">
        <v>39</v>
      </c>
      <c r="V997" s="141">
        <v>2025</v>
      </c>
      <c r="W997" s="300"/>
      <c r="X997" s="294"/>
    </row>
    <row r="998" s="294" customFormat="1" ht="44.25" customHeight="1">
      <c r="A998" s="122">
        <v>21</v>
      </c>
      <c r="B998" s="42" t="s">
        <v>817</v>
      </c>
      <c r="C998" s="122" t="s">
        <v>85</v>
      </c>
      <c r="D998" s="122">
        <v>1979</v>
      </c>
      <c r="E998" s="122" t="s">
        <v>39</v>
      </c>
      <c r="F998" s="122" t="s">
        <v>48</v>
      </c>
      <c r="G998" s="124">
        <v>5</v>
      </c>
      <c r="H998" s="124">
        <v>7</v>
      </c>
      <c r="I998" s="139">
        <v>6901.8999999999996</v>
      </c>
      <c r="J998" s="139">
        <v>5146.8000000000002</v>
      </c>
      <c r="K998" s="139">
        <v>5146.8000000000002</v>
      </c>
      <c r="L998" s="140">
        <v>250</v>
      </c>
      <c r="M998" s="139">
        <f t="shared" si="174"/>
        <v>4921032.8799999999</v>
      </c>
      <c r="N998" s="139">
        <v>0</v>
      </c>
      <c r="O998" s="139">
        <v>0</v>
      </c>
      <c r="P998" s="139">
        <v>0</v>
      </c>
      <c r="Q998" s="40">
        <f>'Таблица 3 '!C988</f>
        <v>4921032.8799999999</v>
      </c>
      <c r="R998" s="139">
        <f t="shared" si="175"/>
        <v>4921032.8799999999</v>
      </c>
      <c r="S998" s="139">
        <v>0</v>
      </c>
      <c r="T998" s="37" t="s">
        <v>39</v>
      </c>
      <c r="U998" s="37" t="s">
        <v>39</v>
      </c>
      <c r="V998" s="141">
        <v>2024</v>
      </c>
      <c r="W998" s="300"/>
      <c r="X998" s="294"/>
    </row>
    <row r="999" s="294" customFormat="1" ht="44.25" customHeight="1">
      <c r="A999" s="122"/>
      <c r="B999" s="42" t="s">
        <v>817</v>
      </c>
      <c r="C999" s="122" t="s">
        <v>85</v>
      </c>
      <c r="D999" s="122">
        <v>1979</v>
      </c>
      <c r="E999" s="122" t="s">
        <v>39</v>
      </c>
      <c r="F999" s="122" t="s">
        <v>48</v>
      </c>
      <c r="G999" s="124">
        <v>5</v>
      </c>
      <c r="H999" s="124">
        <v>7</v>
      </c>
      <c r="I999" s="139">
        <v>6901.8999999999996</v>
      </c>
      <c r="J999" s="139">
        <v>5146.8000000000002</v>
      </c>
      <c r="K999" s="139">
        <v>5146.8000000000002</v>
      </c>
      <c r="L999" s="140">
        <v>250</v>
      </c>
      <c r="M999" s="139">
        <f t="shared" si="174"/>
        <v>993075.77000000002</v>
      </c>
      <c r="N999" s="139">
        <v>0</v>
      </c>
      <c r="O999" s="139">
        <v>0</v>
      </c>
      <c r="P999" s="139">
        <v>0</v>
      </c>
      <c r="Q999" s="40">
        <f>'Таблица 3 '!C989</f>
        <v>993075.77000000002</v>
      </c>
      <c r="R999" s="139">
        <f t="shared" si="175"/>
        <v>993075.77000000002</v>
      </c>
      <c r="S999" s="139">
        <v>0</v>
      </c>
      <c r="T999" s="37" t="s">
        <v>39</v>
      </c>
      <c r="U999" s="37" t="s">
        <v>39</v>
      </c>
      <c r="V999" s="141">
        <v>2024</v>
      </c>
      <c r="W999" s="300"/>
      <c r="X999" s="294"/>
    </row>
    <row r="1000" s="302" customFormat="1" ht="23.25" customHeight="1">
      <c r="A1000" s="150" t="s">
        <v>317</v>
      </c>
      <c r="B1000" s="151"/>
      <c r="C1000" s="152" t="s">
        <v>39</v>
      </c>
      <c r="D1000" s="26" t="s">
        <v>39</v>
      </c>
      <c r="E1000" s="153" t="s">
        <v>39</v>
      </c>
      <c r="F1000" s="26" t="s">
        <v>39</v>
      </c>
      <c r="G1000" s="168" t="s">
        <v>39</v>
      </c>
      <c r="H1000" s="28" t="s">
        <v>39</v>
      </c>
      <c r="I1000" s="303">
        <f>I1001</f>
        <v>3068.23</v>
      </c>
      <c r="J1000" s="64">
        <f>J1001</f>
        <v>2875.1399999999999</v>
      </c>
      <c r="K1000" s="303">
        <f>K1001</f>
        <v>2786.1100000000001</v>
      </c>
      <c r="L1000" s="65">
        <f>L1001</f>
        <v>118</v>
      </c>
      <c r="M1000" s="303">
        <f>M1001</f>
        <v>106040</v>
      </c>
      <c r="N1000" s="64">
        <f>N1001</f>
        <v>0</v>
      </c>
      <c r="O1000" s="303">
        <f>O1001</f>
        <v>0</v>
      </c>
      <c r="P1000" s="64">
        <f>P1001</f>
        <v>0</v>
      </c>
      <c r="Q1000" s="303">
        <f>Q1001</f>
        <v>106040</v>
      </c>
      <c r="R1000" s="64">
        <f>R1001</f>
        <v>106040</v>
      </c>
      <c r="S1000" s="303">
        <f>S1001</f>
        <v>0</v>
      </c>
      <c r="T1000" s="64" t="s">
        <v>39</v>
      </c>
      <c r="U1000" s="303" t="s">
        <v>39</v>
      </c>
      <c r="V1000" s="304" t="s">
        <v>39</v>
      </c>
      <c r="W1000" s="47"/>
      <c r="X1000" s="302"/>
    </row>
    <row r="1001" s="302" customFormat="1" ht="44.25" customHeight="1">
      <c r="A1001" s="33">
        <v>1</v>
      </c>
      <c r="B1001" s="52" t="s">
        <v>818</v>
      </c>
      <c r="C1001" s="33" t="s">
        <v>85</v>
      </c>
      <c r="D1001" s="43">
        <v>1970</v>
      </c>
      <c r="E1001" s="35" t="s">
        <v>39</v>
      </c>
      <c r="F1001" s="43" t="s">
        <v>77</v>
      </c>
      <c r="G1001" s="36">
        <v>5</v>
      </c>
      <c r="H1001" s="45">
        <v>3</v>
      </c>
      <c r="I1001" s="37">
        <v>3068.23</v>
      </c>
      <c r="J1001" s="46">
        <v>2875.1399999999999</v>
      </c>
      <c r="K1001" s="37">
        <v>2786.1100000000001</v>
      </c>
      <c r="L1001" s="90">
        <v>118</v>
      </c>
      <c r="M1001" s="37">
        <f>SUM(N1001:Q1001)</f>
        <v>106040</v>
      </c>
      <c r="N1001" s="46">
        <v>0</v>
      </c>
      <c r="O1001" s="37">
        <v>0</v>
      </c>
      <c r="P1001" s="46">
        <v>0</v>
      </c>
      <c r="Q1001" s="37">
        <f>'Таблица 3 '!C993</f>
        <v>106040</v>
      </c>
      <c r="R1001" s="46">
        <f>Q1001</f>
        <v>106040</v>
      </c>
      <c r="S1001" s="37">
        <v>0</v>
      </c>
      <c r="T1001" s="46" t="s">
        <v>39</v>
      </c>
      <c r="U1001" s="37" t="s">
        <v>39</v>
      </c>
      <c r="V1001" s="41" t="s">
        <v>228</v>
      </c>
      <c r="W1001" s="47"/>
    </row>
    <row r="1002" s="294" customFormat="1" ht="23.25" customHeight="1">
      <c r="A1002" s="25" t="s">
        <v>324</v>
      </c>
      <c r="B1002" s="25"/>
      <c r="C1002" s="26" t="s">
        <v>39</v>
      </c>
      <c r="D1002" s="26" t="s">
        <v>39</v>
      </c>
      <c r="E1002" s="27" t="s">
        <v>39</v>
      </c>
      <c r="F1002" s="26" t="s">
        <v>39</v>
      </c>
      <c r="G1002" s="28" t="s">
        <v>39</v>
      </c>
      <c r="H1002" s="28" t="s">
        <v>39</v>
      </c>
      <c r="I1002" s="64">
        <f>I1003</f>
        <v>6946.3000000000002</v>
      </c>
      <c r="J1002" s="64">
        <f>J1003</f>
        <v>5617.9799999999996</v>
      </c>
      <c r="K1002" s="64">
        <f>K1003</f>
        <v>5546.1800000000003</v>
      </c>
      <c r="L1002" s="65">
        <f>L1003</f>
        <v>224</v>
      </c>
      <c r="M1002" s="64">
        <f>M1003</f>
        <v>5313438.3700000001</v>
      </c>
      <c r="N1002" s="64">
        <f>N1003</f>
        <v>0</v>
      </c>
      <c r="O1002" s="64">
        <f>O1003</f>
        <v>0</v>
      </c>
      <c r="P1002" s="64">
        <f>P1003</f>
        <v>0</v>
      </c>
      <c r="Q1002" s="64">
        <f>Q1003</f>
        <v>5313438.3700000001</v>
      </c>
      <c r="R1002" s="64">
        <f>R1003</f>
        <v>5313438.3700000001</v>
      </c>
      <c r="S1002" s="64">
        <f>S1003</f>
        <v>0</v>
      </c>
      <c r="T1002" s="64" t="s">
        <v>39</v>
      </c>
      <c r="U1002" s="64" t="s">
        <v>39</v>
      </c>
      <c r="V1002" s="304" t="s">
        <v>39</v>
      </c>
      <c r="W1002" s="31"/>
    </row>
    <row r="1003" s="294" customFormat="1" ht="42.75" customHeight="1">
      <c r="A1003" s="33">
        <v>1</v>
      </c>
      <c r="B1003" s="52" t="s">
        <v>328</v>
      </c>
      <c r="C1003" s="33" t="s">
        <v>85</v>
      </c>
      <c r="D1003" s="33">
        <v>1979</v>
      </c>
      <c r="E1003" s="35" t="s">
        <v>39</v>
      </c>
      <c r="F1003" s="33" t="s">
        <v>77</v>
      </c>
      <c r="G1003" s="36">
        <v>5</v>
      </c>
      <c r="H1003" s="36">
        <v>8</v>
      </c>
      <c r="I1003" s="37">
        <v>6946.3000000000002</v>
      </c>
      <c r="J1003" s="37">
        <v>5617.9799999999996</v>
      </c>
      <c r="K1003" s="37">
        <v>5546.1800000000003</v>
      </c>
      <c r="L1003" s="38">
        <v>224</v>
      </c>
      <c r="M1003" s="37">
        <f>SUM(N1003:Q1003)</f>
        <v>5313438.3700000001</v>
      </c>
      <c r="N1003" s="37">
        <v>0</v>
      </c>
      <c r="O1003" s="37">
        <v>0</v>
      </c>
      <c r="P1003" s="37">
        <v>0</v>
      </c>
      <c r="Q1003" s="37">
        <f>'Таблица 3 '!C995</f>
        <v>5313438.3700000001</v>
      </c>
      <c r="R1003" s="37">
        <f>Q1003</f>
        <v>5313438.3700000001</v>
      </c>
      <c r="S1003" s="37">
        <v>0</v>
      </c>
      <c r="T1003" s="37" t="s">
        <v>39</v>
      </c>
      <c r="U1003" s="37" t="s">
        <v>39</v>
      </c>
      <c r="V1003" s="41" t="s">
        <v>819</v>
      </c>
      <c r="W1003" s="31"/>
    </row>
    <row r="1004" s="294" customFormat="1" ht="24.75" customHeight="1">
      <c r="A1004" s="25" t="s">
        <v>350</v>
      </c>
      <c r="B1004" s="25"/>
      <c r="C1004" s="26" t="s">
        <v>40</v>
      </c>
      <c r="D1004" s="26" t="s">
        <v>40</v>
      </c>
      <c r="E1004" s="27" t="s">
        <v>40</v>
      </c>
      <c r="F1004" s="26" t="s">
        <v>40</v>
      </c>
      <c r="G1004" s="28" t="s">
        <v>40</v>
      </c>
      <c r="H1004" s="28" t="s">
        <v>40</v>
      </c>
      <c r="I1004" s="70">
        <f>I1005</f>
        <v>4707.5</v>
      </c>
      <c r="J1004" s="70">
        <f>J1005</f>
        <v>3498.9000000000001</v>
      </c>
      <c r="K1004" s="70">
        <f>K1005</f>
        <v>72.400000000000006</v>
      </c>
      <c r="L1004" s="71">
        <f>L1005</f>
        <v>120</v>
      </c>
      <c r="M1004" s="70">
        <f>M1005</f>
        <v>1132951.51</v>
      </c>
      <c r="N1004" s="70">
        <f>N1005</f>
        <v>0</v>
      </c>
      <c r="O1004" s="70">
        <f>O1005</f>
        <v>0</v>
      </c>
      <c r="P1004" s="70">
        <f>P1005</f>
        <v>0</v>
      </c>
      <c r="Q1004" s="70">
        <f>Q1005</f>
        <v>1132951.51</v>
      </c>
      <c r="R1004" s="70">
        <f>R1005</f>
        <v>1132951.51</v>
      </c>
      <c r="S1004" s="70">
        <f>S1005</f>
        <v>0</v>
      </c>
      <c r="T1004" s="64" t="s">
        <v>40</v>
      </c>
      <c r="U1004" s="64" t="s">
        <v>40</v>
      </c>
      <c r="V1004" s="76" t="s">
        <v>40</v>
      </c>
      <c r="W1004" s="31"/>
    </row>
    <row r="1005" s="294" customFormat="1" ht="42.75" customHeight="1">
      <c r="A1005" s="33">
        <v>1</v>
      </c>
      <c r="B1005" s="50" t="s">
        <v>820</v>
      </c>
      <c r="C1005" s="33" t="s">
        <v>85</v>
      </c>
      <c r="D1005" s="33">
        <v>2010</v>
      </c>
      <c r="E1005" s="35" t="s">
        <v>39</v>
      </c>
      <c r="F1005" s="33" t="s">
        <v>77</v>
      </c>
      <c r="G1005" s="36">
        <v>5</v>
      </c>
      <c r="H1005" s="36">
        <v>5</v>
      </c>
      <c r="I1005" s="37">
        <v>4707.5</v>
      </c>
      <c r="J1005" s="37">
        <v>3498.9000000000001</v>
      </c>
      <c r="K1005" s="37">
        <v>72.400000000000006</v>
      </c>
      <c r="L1005" s="38">
        <v>120</v>
      </c>
      <c r="M1005" s="39">
        <f>SUM(N1005:Q1005)</f>
        <v>1132951.51</v>
      </c>
      <c r="N1005" s="37">
        <v>0</v>
      </c>
      <c r="O1005" s="37">
        <v>0</v>
      </c>
      <c r="P1005" s="37">
        <v>0</v>
      </c>
      <c r="Q1005" s="37">
        <f>'Таблица 3 '!C997</f>
        <v>1132951.51</v>
      </c>
      <c r="R1005" s="37">
        <f>Q1005</f>
        <v>1132951.51</v>
      </c>
      <c r="S1005" s="37">
        <v>0</v>
      </c>
      <c r="T1005" s="64" t="s">
        <v>40</v>
      </c>
      <c r="U1005" s="64" t="s">
        <v>40</v>
      </c>
      <c r="V1005" s="41" t="s">
        <v>155</v>
      </c>
      <c r="W1005" s="60"/>
    </row>
    <row r="1006" s="294" customFormat="1" ht="42.75" customHeight="1">
      <c r="A1006" s="305" t="s">
        <v>362</v>
      </c>
      <c r="B1006" s="305"/>
      <c r="C1006" s="306" t="s">
        <v>40</v>
      </c>
      <c r="D1006" s="306" t="s">
        <v>40</v>
      </c>
      <c r="E1006" s="306" t="s">
        <v>40</v>
      </c>
      <c r="F1006" s="306" t="s">
        <v>40</v>
      </c>
      <c r="G1006" s="307" t="s">
        <v>40</v>
      </c>
      <c r="H1006" s="307" t="s">
        <v>40</v>
      </c>
      <c r="I1006" s="308">
        <f>I1007</f>
        <v>3754.1100000000001</v>
      </c>
      <c r="J1006" s="308">
        <f>J1007</f>
        <v>2719.75</v>
      </c>
      <c r="K1006" s="308">
        <f>K1007</f>
        <v>2719.75</v>
      </c>
      <c r="L1006" s="309">
        <f>L1007</f>
        <v>98</v>
      </c>
      <c r="M1006" s="308">
        <f>SUM(M1007:M1008)</f>
        <v>40</v>
      </c>
      <c r="N1006" s="308">
        <f>SUM(N1007:N1008)</f>
        <v>0</v>
      </c>
      <c r="O1006" s="308">
        <f>SUM(O1007:O1008)</f>
        <v>0</v>
      </c>
      <c r="P1006" s="308">
        <f>SUM(P1007:P1008)</f>
        <v>0</v>
      </c>
      <c r="Q1006" s="308">
        <f>SUM(Q1007:Q1008)</f>
        <v>40</v>
      </c>
      <c r="R1006" s="308">
        <f>SUM(R1007:R1008)</f>
        <v>40</v>
      </c>
      <c r="S1006" s="308">
        <f>SUM(S1007:S1008)</f>
        <v>0</v>
      </c>
      <c r="T1006" s="308" t="s">
        <v>39</v>
      </c>
      <c r="U1006" s="308" t="s">
        <v>40</v>
      </c>
      <c r="V1006" s="308" t="s">
        <v>40</v>
      </c>
      <c r="W1006" s="294"/>
    </row>
    <row r="1007" s="294" customFormat="1" ht="42.75" customHeight="1">
      <c r="A1007" s="122">
        <v>1</v>
      </c>
      <c r="B1007" s="50" t="s">
        <v>821</v>
      </c>
      <c r="C1007" s="122" t="s">
        <v>43</v>
      </c>
      <c r="D1007" s="122">
        <v>1987</v>
      </c>
      <c r="E1007" s="122" t="s">
        <v>39</v>
      </c>
      <c r="F1007" s="122" t="s">
        <v>77</v>
      </c>
      <c r="G1007" s="124">
        <v>5</v>
      </c>
      <c r="H1007" s="124">
        <v>4</v>
      </c>
      <c r="I1007" s="215">
        <v>3754.1100000000001</v>
      </c>
      <c r="J1007" s="215">
        <v>2719.75</v>
      </c>
      <c r="K1007" s="215">
        <v>2719.75</v>
      </c>
      <c r="L1007" s="310">
        <v>98</v>
      </c>
      <c r="M1007" s="187">
        <f t="shared" ref="M1007:M1008" si="176">SUM(N1007:Q1007)</f>
        <v>-2308115.6000000001</v>
      </c>
      <c r="N1007" s="187">
        <v>0</v>
      </c>
      <c r="O1007" s="187">
        <v>0</v>
      </c>
      <c r="P1007" s="187">
        <v>0</v>
      </c>
      <c r="Q1007" s="187">
        <f>'Таблица 3 '!C999</f>
        <v>-2308115.6000000001</v>
      </c>
      <c r="R1007" s="187">
        <f t="shared" ref="R1007:R1008" si="177">Q1007</f>
        <v>-2308115.6000000001</v>
      </c>
      <c r="S1007" s="187">
        <v>0</v>
      </c>
      <c r="T1007" s="187" t="s">
        <v>39</v>
      </c>
      <c r="U1007" s="187" t="s">
        <v>39</v>
      </c>
      <c r="V1007" s="311">
        <v>2025</v>
      </c>
      <c r="W1007" s="294"/>
    </row>
    <row r="1008" s="294" customFormat="1" ht="42.75" customHeight="1">
      <c r="A1008" s="122"/>
      <c r="B1008" s="50" t="s">
        <v>821</v>
      </c>
      <c r="C1008" s="122" t="s">
        <v>43</v>
      </c>
      <c r="D1008" s="122">
        <v>1987</v>
      </c>
      <c r="E1008" s="122" t="s">
        <v>39</v>
      </c>
      <c r="F1008" s="122" t="s">
        <v>77</v>
      </c>
      <c r="G1008" s="124">
        <v>5</v>
      </c>
      <c r="H1008" s="124">
        <v>4</v>
      </c>
      <c r="I1008" s="215">
        <v>3754.1100000000001</v>
      </c>
      <c r="J1008" s="215">
        <v>2719.75</v>
      </c>
      <c r="K1008" s="215">
        <v>2719.75</v>
      </c>
      <c r="L1008" s="310">
        <v>98</v>
      </c>
      <c r="M1008" s="187">
        <f t="shared" si="176"/>
        <v>2308155.6000000001</v>
      </c>
      <c r="N1008" s="187">
        <v>0</v>
      </c>
      <c r="O1008" s="187">
        <v>0</v>
      </c>
      <c r="P1008" s="187">
        <v>0</v>
      </c>
      <c r="Q1008" s="187">
        <f>'Таблица 3 '!C1000</f>
        <v>2308155.6000000001</v>
      </c>
      <c r="R1008" s="187">
        <f t="shared" si="177"/>
        <v>2308155.6000000001</v>
      </c>
      <c r="S1008" s="187">
        <v>0</v>
      </c>
      <c r="T1008" s="187" t="s">
        <v>39</v>
      </c>
      <c r="U1008" s="187" t="s">
        <v>39</v>
      </c>
      <c r="V1008" s="311">
        <v>2025</v>
      </c>
      <c r="W1008" s="294"/>
    </row>
    <row r="1009" s="294" customFormat="1" ht="22.5" customHeight="1">
      <c r="A1009" s="305" t="s">
        <v>381</v>
      </c>
      <c r="B1009" s="305"/>
      <c r="C1009" s="306" t="s">
        <v>40</v>
      </c>
      <c r="D1009" s="306" t="s">
        <v>40</v>
      </c>
      <c r="E1009" s="306" t="s">
        <v>40</v>
      </c>
      <c r="F1009" s="306" t="s">
        <v>40</v>
      </c>
      <c r="G1009" s="307" t="s">
        <v>40</v>
      </c>
      <c r="H1009" s="307" t="s">
        <v>40</v>
      </c>
      <c r="I1009" s="308">
        <f>SUM(I1010:I1023)</f>
        <v>74550.173999999999</v>
      </c>
      <c r="J1009" s="308">
        <f>SUM(J1010:J1023)</f>
        <v>47111.18</v>
      </c>
      <c r="K1009" s="308">
        <f>SUM(K1010:K1023)</f>
        <v>47152.880000000005</v>
      </c>
      <c r="L1009" s="309">
        <f>SUM(L1010:L1023)</f>
        <v>2656</v>
      </c>
      <c r="M1009" s="308">
        <f>SUM(M1010:M1023)</f>
        <v>10233715.550000001</v>
      </c>
      <c r="N1009" s="308">
        <f>SUM(N1010:N1023)</f>
        <v>0</v>
      </c>
      <c r="O1009" s="308">
        <f>SUM(O1010:O1023)</f>
        <v>0</v>
      </c>
      <c r="P1009" s="308">
        <f>SUM(P1010:P1023)</f>
        <v>0</v>
      </c>
      <c r="Q1009" s="308">
        <f>SUM(Q1010:Q1023)</f>
        <v>10233715.550000001</v>
      </c>
      <c r="R1009" s="308">
        <f>SUM(R1010:R1023)</f>
        <v>10233715.550000001</v>
      </c>
      <c r="S1009" s="308">
        <f>SUM(S1010:S1023)</f>
        <v>0</v>
      </c>
      <c r="T1009" s="308" t="s">
        <v>39</v>
      </c>
      <c r="U1009" s="308" t="s">
        <v>40</v>
      </c>
      <c r="V1009" s="308" t="s">
        <v>40</v>
      </c>
      <c r="W1009" s="294"/>
    </row>
    <row r="1010" s="294" customFormat="1" ht="57">
      <c r="A1010" s="122">
        <v>1</v>
      </c>
      <c r="B1010" s="50" t="s">
        <v>822</v>
      </c>
      <c r="C1010" s="33" t="s">
        <v>90</v>
      </c>
      <c r="D1010" s="217">
        <v>1974</v>
      </c>
      <c r="E1010" s="122" t="s">
        <v>40</v>
      </c>
      <c r="F1010" s="217" t="s">
        <v>383</v>
      </c>
      <c r="G1010" s="106">
        <v>5</v>
      </c>
      <c r="H1010" s="106">
        <v>9</v>
      </c>
      <c r="I1010" s="312">
        <v>7388.8599999999997</v>
      </c>
      <c r="J1010" s="312">
        <v>4371.8999999999996</v>
      </c>
      <c r="K1010" s="312">
        <f>J1010</f>
        <v>4371.8999999999996</v>
      </c>
      <c r="L1010" s="313">
        <v>261</v>
      </c>
      <c r="M1010" s="187">
        <f t="shared" ref="M1010:M1023" si="178">SUM(N1010:Q1010)</f>
        <v>584936.85999999999</v>
      </c>
      <c r="N1010" s="187">
        <v>0</v>
      </c>
      <c r="O1010" s="187">
        <v>0</v>
      </c>
      <c r="P1010" s="187">
        <v>0</v>
      </c>
      <c r="Q1010" s="187">
        <f>'Таблица 3 '!C1002</f>
        <v>584936.85999999999</v>
      </c>
      <c r="R1010" s="187">
        <f t="shared" ref="R1010:R1023" si="179">Q1010</f>
        <v>584936.85999999999</v>
      </c>
      <c r="S1010" s="187">
        <v>0</v>
      </c>
      <c r="T1010" s="187" t="s">
        <v>39</v>
      </c>
      <c r="U1010" s="187" t="s">
        <v>39</v>
      </c>
      <c r="V1010" s="311">
        <v>2024</v>
      </c>
    </row>
    <row r="1011" s="294" customFormat="1" ht="57">
      <c r="A1011" s="122">
        <v>2</v>
      </c>
      <c r="B1011" s="50" t="s">
        <v>823</v>
      </c>
      <c r="C1011" s="33" t="s">
        <v>90</v>
      </c>
      <c r="D1011" s="122">
        <v>1984</v>
      </c>
      <c r="E1011" s="122" t="s">
        <v>40</v>
      </c>
      <c r="F1011" s="122" t="s">
        <v>383</v>
      </c>
      <c r="G1011" s="124">
        <v>5</v>
      </c>
      <c r="H1011" s="124">
        <v>5</v>
      </c>
      <c r="I1011" s="187">
        <v>5325.0100000000002</v>
      </c>
      <c r="J1011" s="187">
        <v>3919</v>
      </c>
      <c r="K1011" s="187">
        <v>3919</v>
      </c>
      <c r="L1011" s="314">
        <v>210</v>
      </c>
      <c r="M1011" s="187">
        <f t="shared" si="178"/>
        <v>0</v>
      </c>
      <c r="N1011" s="187">
        <v>0</v>
      </c>
      <c r="O1011" s="187">
        <v>0</v>
      </c>
      <c r="P1011" s="187">
        <v>0</v>
      </c>
      <c r="Q1011" s="187">
        <f>'Таблица 3 '!C1003</f>
        <v>0</v>
      </c>
      <c r="R1011" s="187">
        <f t="shared" si="179"/>
        <v>0</v>
      </c>
      <c r="S1011" s="187">
        <v>0</v>
      </c>
      <c r="T1011" s="187" t="s">
        <v>39</v>
      </c>
      <c r="U1011" s="187" t="s">
        <v>39</v>
      </c>
      <c r="V1011" s="311">
        <v>2024</v>
      </c>
    </row>
    <row r="1012" s="294" customFormat="1" ht="57">
      <c r="A1012" s="122">
        <v>3</v>
      </c>
      <c r="B1012" s="50" t="s">
        <v>824</v>
      </c>
      <c r="C1012" s="33" t="s">
        <v>90</v>
      </c>
      <c r="D1012" s="217">
        <v>1972</v>
      </c>
      <c r="E1012" s="122" t="s">
        <v>40</v>
      </c>
      <c r="F1012" s="217" t="s">
        <v>383</v>
      </c>
      <c r="G1012" s="106">
        <v>5</v>
      </c>
      <c r="H1012" s="106">
        <v>4</v>
      </c>
      <c r="I1012" s="312">
        <v>3821.2399999999998</v>
      </c>
      <c r="J1012" s="312">
        <v>2189.98</v>
      </c>
      <c r="K1012" s="312">
        <f t="shared" ref="K1012:K1020" si="180">J1012</f>
        <v>2189.98</v>
      </c>
      <c r="L1012" s="313">
        <v>171</v>
      </c>
      <c r="M1012" s="187">
        <f t="shared" si="178"/>
        <v>542338.79000000004</v>
      </c>
      <c r="N1012" s="187">
        <v>0</v>
      </c>
      <c r="O1012" s="187">
        <v>0</v>
      </c>
      <c r="P1012" s="187">
        <v>0</v>
      </c>
      <c r="Q1012" s="187">
        <f>'Таблица 3 '!C1004</f>
        <v>542338.79000000004</v>
      </c>
      <c r="R1012" s="187">
        <f t="shared" si="179"/>
        <v>542338.79000000004</v>
      </c>
      <c r="S1012" s="187">
        <v>0</v>
      </c>
      <c r="T1012" s="187" t="s">
        <v>39</v>
      </c>
      <c r="U1012" s="187" t="s">
        <v>39</v>
      </c>
      <c r="V1012" s="311">
        <v>2024</v>
      </c>
    </row>
    <row r="1013" s="294" customFormat="1" ht="57">
      <c r="A1013" s="122">
        <v>4</v>
      </c>
      <c r="B1013" s="50" t="s">
        <v>825</v>
      </c>
      <c r="C1013" s="33" t="s">
        <v>90</v>
      </c>
      <c r="D1013" s="217">
        <v>1972</v>
      </c>
      <c r="E1013" s="122" t="s">
        <v>40</v>
      </c>
      <c r="F1013" s="217" t="s">
        <v>383</v>
      </c>
      <c r="G1013" s="106">
        <v>5</v>
      </c>
      <c r="H1013" s="106">
        <v>6</v>
      </c>
      <c r="I1013" s="312">
        <v>9591.6540000000005</v>
      </c>
      <c r="J1013" s="312">
        <v>6140.2700000000004</v>
      </c>
      <c r="K1013" s="312">
        <f t="shared" si="180"/>
        <v>6140.2700000000004</v>
      </c>
      <c r="L1013" s="315">
        <v>265</v>
      </c>
      <c r="M1013" s="187">
        <f t="shared" si="178"/>
        <v>534857.16000000003</v>
      </c>
      <c r="N1013" s="187">
        <v>0</v>
      </c>
      <c r="O1013" s="187">
        <v>0</v>
      </c>
      <c r="P1013" s="187">
        <v>0</v>
      </c>
      <c r="Q1013" s="187">
        <f>'Таблица 3 '!C1005</f>
        <v>534857.16000000003</v>
      </c>
      <c r="R1013" s="187">
        <f t="shared" si="179"/>
        <v>534857.16000000003</v>
      </c>
      <c r="S1013" s="187">
        <v>0</v>
      </c>
      <c r="T1013" s="187" t="s">
        <v>39</v>
      </c>
      <c r="U1013" s="187" t="s">
        <v>39</v>
      </c>
      <c r="V1013" s="311">
        <v>2024</v>
      </c>
    </row>
    <row r="1014" s="294" customFormat="1" ht="57">
      <c r="A1014" s="122">
        <v>5</v>
      </c>
      <c r="B1014" s="50" t="s">
        <v>826</v>
      </c>
      <c r="C1014" s="33" t="s">
        <v>90</v>
      </c>
      <c r="D1014" s="217">
        <v>1972</v>
      </c>
      <c r="E1014" s="122" t="s">
        <v>40</v>
      </c>
      <c r="F1014" s="217" t="s">
        <v>383</v>
      </c>
      <c r="G1014" s="106">
        <v>5</v>
      </c>
      <c r="H1014" s="106">
        <v>4</v>
      </c>
      <c r="I1014" s="312">
        <v>5697.0100000000002</v>
      </c>
      <c r="J1014" s="312">
        <v>3507.0300000000002</v>
      </c>
      <c r="K1014" s="312">
        <f t="shared" si="180"/>
        <v>3507.0300000000002</v>
      </c>
      <c r="L1014" s="315">
        <v>157</v>
      </c>
      <c r="M1014" s="187">
        <f t="shared" si="178"/>
        <v>534857.16000000003</v>
      </c>
      <c r="N1014" s="187">
        <v>0</v>
      </c>
      <c r="O1014" s="187">
        <v>0</v>
      </c>
      <c r="P1014" s="187">
        <v>0</v>
      </c>
      <c r="Q1014" s="187">
        <f>'Таблица 3 '!C1006</f>
        <v>534857.16000000003</v>
      </c>
      <c r="R1014" s="187">
        <f t="shared" si="179"/>
        <v>534857.16000000003</v>
      </c>
      <c r="S1014" s="187">
        <v>0</v>
      </c>
      <c r="T1014" s="187" t="s">
        <v>39</v>
      </c>
      <c r="U1014" s="187" t="s">
        <v>39</v>
      </c>
      <c r="V1014" s="311">
        <v>2024</v>
      </c>
    </row>
    <row r="1015" s="294" customFormat="1" ht="57">
      <c r="A1015" s="122">
        <v>6</v>
      </c>
      <c r="B1015" s="50" t="s">
        <v>827</v>
      </c>
      <c r="C1015" s="33" t="s">
        <v>90</v>
      </c>
      <c r="D1015" s="217">
        <v>197</v>
      </c>
      <c r="E1015" s="122" t="s">
        <v>40</v>
      </c>
      <c r="F1015" s="217" t="s">
        <v>383</v>
      </c>
      <c r="G1015" s="106">
        <v>5</v>
      </c>
      <c r="H1015" s="106">
        <v>4</v>
      </c>
      <c r="I1015" s="312">
        <v>5678.8800000000001</v>
      </c>
      <c r="J1015" s="312">
        <v>3512.2600000000002</v>
      </c>
      <c r="K1015" s="312">
        <f t="shared" si="180"/>
        <v>3512.2600000000002</v>
      </c>
      <c r="L1015" s="315">
        <v>160</v>
      </c>
      <c r="M1015" s="187">
        <f t="shared" si="178"/>
        <v>534857.16000000003</v>
      </c>
      <c r="N1015" s="187">
        <v>0</v>
      </c>
      <c r="O1015" s="187">
        <v>0</v>
      </c>
      <c r="P1015" s="187">
        <v>0</v>
      </c>
      <c r="Q1015" s="187">
        <f>'Таблица 3 '!C1007</f>
        <v>534857.16000000003</v>
      </c>
      <c r="R1015" s="187">
        <f t="shared" si="179"/>
        <v>534857.16000000003</v>
      </c>
      <c r="S1015" s="187">
        <v>0</v>
      </c>
      <c r="T1015" s="187" t="s">
        <v>39</v>
      </c>
      <c r="U1015" s="187" t="s">
        <v>39</v>
      </c>
      <c r="V1015" s="311">
        <v>2024</v>
      </c>
    </row>
    <row r="1016" s="294" customFormat="1" ht="57">
      <c r="A1016" s="122">
        <v>7</v>
      </c>
      <c r="B1016" s="50" t="s">
        <v>828</v>
      </c>
      <c r="C1016" s="33" t="s">
        <v>90</v>
      </c>
      <c r="D1016" s="217">
        <v>1971</v>
      </c>
      <c r="E1016" s="122" t="s">
        <v>40</v>
      </c>
      <c r="F1016" s="217" t="s">
        <v>383</v>
      </c>
      <c r="G1016" s="106">
        <v>5</v>
      </c>
      <c r="H1016" s="106">
        <v>4</v>
      </c>
      <c r="I1016" s="312">
        <v>3797.6799999999998</v>
      </c>
      <c r="J1016" s="312">
        <v>2189.98</v>
      </c>
      <c r="K1016" s="312">
        <f t="shared" si="180"/>
        <v>2189.98</v>
      </c>
      <c r="L1016" s="313">
        <v>165</v>
      </c>
      <c r="M1016" s="187">
        <f t="shared" si="178"/>
        <v>534857.16000000003</v>
      </c>
      <c r="N1016" s="187">
        <v>0</v>
      </c>
      <c r="O1016" s="187">
        <v>0</v>
      </c>
      <c r="P1016" s="187">
        <v>0</v>
      </c>
      <c r="Q1016" s="187">
        <f>'Таблица 3 '!C1008</f>
        <v>534857.16000000003</v>
      </c>
      <c r="R1016" s="187">
        <f t="shared" si="179"/>
        <v>534857.16000000003</v>
      </c>
      <c r="S1016" s="187">
        <v>0</v>
      </c>
      <c r="T1016" s="187" t="s">
        <v>39</v>
      </c>
      <c r="U1016" s="187" t="s">
        <v>39</v>
      </c>
      <c r="V1016" s="311">
        <v>2024</v>
      </c>
    </row>
    <row r="1017" s="294" customFormat="1" ht="57">
      <c r="A1017" s="122">
        <v>8</v>
      </c>
      <c r="B1017" s="50" t="s">
        <v>829</v>
      </c>
      <c r="C1017" s="33" t="s">
        <v>90</v>
      </c>
      <c r="D1017" s="217">
        <v>1972</v>
      </c>
      <c r="E1017" s="122" t="s">
        <v>40</v>
      </c>
      <c r="F1017" s="217" t="s">
        <v>383</v>
      </c>
      <c r="G1017" s="106">
        <v>5</v>
      </c>
      <c r="H1017" s="106">
        <v>6</v>
      </c>
      <c r="I1017" s="312">
        <v>9609.8799999999992</v>
      </c>
      <c r="J1017" s="312">
        <v>6147.6999999999998</v>
      </c>
      <c r="K1017" s="312">
        <f t="shared" si="180"/>
        <v>6147.6999999999998</v>
      </c>
      <c r="L1017" s="313">
        <v>267</v>
      </c>
      <c r="M1017" s="187">
        <f t="shared" si="178"/>
        <v>534857.16000000003</v>
      </c>
      <c r="N1017" s="187">
        <v>0</v>
      </c>
      <c r="O1017" s="187">
        <v>0</v>
      </c>
      <c r="P1017" s="187">
        <v>0</v>
      </c>
      <c r="Q1017" s="187">
        <f>'Таблица 3 '!C1009</f>
        <v>534857.16000000003</v>
      </c>
      <c r="R1017" s="187">
        <f t="shared" si="179"/>
        <v>534857.16000000003</v>
      </c>
      <c r="S1017" s="187">
        <v>0</v>
      </c>
      <c r="T1017" s="187" t="s">
        <v>39</v>
      </c>
      <c r="U1017" s="187" t="s">
        <v>39</v>
      </c>
      <c r="V1017" s="311">
        <v>2024</v>
      </c>
    </row>
    <row r="1018" s="294" customFormat="1" ht="57">
      <c r="A1018" s="122">
        <v>9</v>
      </c>
      <c r="B1018" s="50" t="s">
        <v>830</v>
      </c>
      <c r="C1018" s="33" t="s">
        <v>90</v>
      </c>
      <c r="D1018" s="122">
        <v>1971</v>
      </c>
      <c r="E1018" s="122" t="s">
        <v>40</v>
      </c>
      <c r="F1018" s="217" t="s">
        <v>383</v>
      </c>
      <c r="G1018" s="124">
        <v>5</v>
      </c>
      <c r="H1018" s="124">
        <v>5</v>
      </c>
      <c r="I1018" s="187">
        <v>4596.3999999999996</v>
      </c>
      <c r="J1018" s="187">
        <v>4483.0299999999997</v>
      </c>
      <c r="K1018" s="187">
        <v>4483.0299999999997</v>
      </c>
      <c r="L1018" s="314">
        <v>205</v>
      </c>
      <c r="M1018" s="187">
        <f t="shared" si="178"/>
        <v>534857.16000000003</v>
      </c>
      <c r="N1018" s="187">
        <v>0</v>
      </c>
      <c r="O1018" s="187">
        <v>0</v>
      </c>
      <c r="P1018" s="187">
        <v>0</v>
      </c>
      <c r="Q1018" s="187">
        <f>'Таблица 3 '!C1010</f>
        <v>534857.16000000003</v>
      </c>
      <c r="R1018" s="187">
        <f t="shared" si="179"/>
        <v>534857.16000000003</v>
      </c>
      <c r="S1018" s="187">
        <v>0</v>
      </c>
      <c r="T1018" s="187" t="s">
        <v>39</v>
      </c>
      <c r="U1018" s="187" t="s">
        <v>39</v>
      </c>
      <c r="V1018" s="311">
        <v>2024</v>
      </c>
    </row>
    <row r="1019" s="294" customFormat="1" ht="57">
      <c r="A1019" s="122">
        <v>10</v>
      </c>
      <c r="B1019" s="50" t="s">
        <v>831</v>
      </c>
      <c r="C1019" s="33" t="s">
        <v>90</v>
      </c>
      <c r="D1019" s="217">
        <v>1971</v>
      </c>
      <c r="E1019" s="122" t="s">
        <v>40</v>
      </c>
      <c r="F1019" s="217" t="s">
        <v>383</v>
      </c>
      <c r="G1019" s="106">
        <v>5</v>
      </c>
      <c r="H1019" s="106">
        <v>4</v>
      </c>
      <c r="I1019" s="312">
        <v>5476.8800000000001</v>
      </c>
      <c r="J1019" s="312">
        <v>3464.6599999999999</v>
      </c>
      <c r="K1019" s="312">
        <v>3506.3600000000001</v>
      </c>
      <c r="L1019" s="315">
        <v>160</v>
      </c>
      <c r="M1019" s="187">
        <f t="shared" si="178"/>
        <v>534857.16000000003</v>
      </c>
      <c r="N1019" s="187">
        <v>0</v>
      </c>
      <c r="O1019" s="187">
        <v>0</v>
      </c>
      <c r="P1019" s="187">
        <v>0</v>
      </c>
      <c r="Q1019" s="187">
        <f>'Таблица 3 '!C1011</f>
        <v>534857.16000000003</v>
      </c>
      <c r="R1019" s="187">
        <f t="shared" si="179"/>
        <v>534857.16000000003</v>
      </c>
      <c r="S1019" s="187">
        <v>0</v>
      </c>
      <c r="T1019" s="187" t="s">
        <v>39</v>
      </c>
      <c r="U1019" s="187" t="s">
        <v>39</v>
      </c>
      <c r="V1019" s="311">
        <v>2024</v>
      </c>
    </row>
    <row r="1020" s="294" customFormat="1" ht="57">
      <c r="A1020" s="122">
        <v>11</v>
      </c>
      <c r="B1020" s="50" t="s">
        <v>832</v>
      </c>
      <c r="C1020" s="33" t="s">
        <v>90</v>
      </c>
      <c r="D1020" s="217">
        <v>1971</v>
      </c>
      <c r="E1020" s="122" t="s">
        <v>40</v>
      </c>
      <c r="F1020" s="217" t="s">
        <v>383</v>
      </c>
      <c r="G1020" s="106">
        <v>5</v>
      </c>
      <c r="H1020" s="106">
        <v>4</v>
      </c>
      <c r="I1020" s="312">
        <v>5524.6899999999996</v>
      </c>
      <c r="J1020" s="312">
        <v>3512.9699999999998</v>
      </c>
      <c r="K1020" s="312">
        <f t="shared" si="180"/>
        <v>3512.9699999999998</v>
      </c>
      <c r="L1020" s="315">
        <v>166</v>
      </c>
      <c r="M1020" s="187">
        <f t="shared" si="178"/>
        <v>542338.79000000004</v>
      </c>
      <c r="N1020" s="187">
        <v>0</v>
      </c>
      <c r="O1020" s="187">
        <v>0</v>
      </c>
      <c r="P1020" s="187">
        <v>0</v>
      </c>
      <c r="Q1020" s="187">
        <f>'Таблица 3 '!C1012</f>
        <v>542338.79000000004</v>
      </c>
      <c r="R1020" s="187">
        <f t="shared" si="179"/>
        <v>542338.79000000004</v>
      </c>
      <c r="S1020" s="187">
        <v>0</v>
      </c>
      <c r="T1020" s="187" t="s">
        <v>39</v>
      </c>
      <c r="U1020" s="187" t="s">
        <v>39</v>
      </c>
      <c r="V1020" s="311">
        <v>2024</v>
      </c>
      <c r="W1020" s="294"/>
    </row>
    <row r="1021" s="294" customFormat="1" ht="57">
      <c r="A1021" s="122">
        <v>12</v>
      </c>
      <c r="B1021" s="316" t="s">
        <v>833</v>
      </c>
      <c r="C1021" s="33" t="s">
        <v>90</v>
      </c>
      <c r="D1021" s="217">
        <v>1988</v>
      </c>
      <c r="E1021" s="122" t="s">
        <v>40</v>
      </c>
      <c r="F1021" s="217" t="s">
        <v>319</v>
      </c>
      <c r="G1021" s="106">
        <v>5</v>
      </c>
      <c r="H1021" s="106">
        <v>2</v>
      </c>
      <c r="I1021" s="312">
        <v>1431.6500000000001</v>
      </c>
      <c r="J1021" s="312">
        <v>463.89999999999998</v>
      </c>
      <c r="K1021" s="312">
        <v>463.89999999999998</v>
      </c>
      <c r="L1021" s="313">
        <v>54</v>
      </c>
      <c r="M1021" s="187">
        <f t="shared" si="178"/>
        <v>994215.5</v>
      </c>
      <c r="N1021" s="187">
        <v>0</v>
      </c>
      <c r="O1021" s="187">
        <v>0</v>
      </c>
      <c r="P1021" s="187">
        <v>0</v>
      </c>
      <c r="Q1021" s="187">
        <f>'Таблица 3 '!C1013</f>
        <v>994215.5</v>
      </c>
      <c r="R1021" s="187">
        <f t="shared" si="179"/>
        <v>994215.5</v>
      </c>
      <c r="S1021" s="187">
        <v>0</v>
      </c>
      <c r="T1021" s="187" t="s">
        <v>39</v>
      </c>
      <c r="U1021" s="187" t="s">
        <v>39</v>
      </c>
      <c r="V1021" s="311">
        <v>2024</v>
      </c>
      <c r="W1021" s="294"/>
    </row>
    <row r="1022" s="294" customFormat="1" ht="57">
      <c r="A1022" s="122">
        <v>13</v>
      </c>
      <c r="B1022" s="317" t="s">
        <v>688</v>
      </c>
      <c r="C1022" s="33" t="s">
        <v>90</v>
      </c>
      <c r="D1022" s="122">
        <v>1982</v>
      </c>
      <c r="E1022" s="122" t="s">
        <v>40</v>
      </c>
      <c r="F1022" s="122" t="s">
        <v>44</v>
      </c>
      <c r="G1022" s="124">
        <v>9</v>
      </c>
      <c r="H1022" s="124">
        <v>2</v>
      </c>
      <c r="I1022" s="187">
        <v>3776.5700000000002</v>
      </c>
      <c r="J1022" s="187">
        <v>1857</v>
      </c>
      <c r="K1022" s="187">
        <v>1857</v>
      </c>
      <c r="L1022" s="314">
        <v>168</v>
      </c>
      <c r="M1022" s="187">
        <f t="shared" si="178"/>
        <v>1346613.52</v>
      </c>
      <c r="N1022" s="187">
        <v>0</v>
      </c>
      <c r="O1022" s="187">
        <v>0</v>
      </c>
      <c r="P1022" s="187">
        <v>0</v>
      </c>
      <c r="Q1022" s="187">
        <f>'Таблица 3 '!C1014</f>
        <v>1346613.52</v>
      </c>
      <c r="R1022" s="187">
        <f t="shared" si="179"/>
        <v>1346613.52</v>
      </c>
      <c r="S1022" s="187">
        <v>0</v>
      </c>
      <c r="T1022" s="187" t="s">
        <v>39</v>
      </c>
      <c r="U1022" s="187" t="s">
        <v>39</v>
      </c>
      <c r="V1022" s="311">
        <v>2024</v>
      </c>
      <c r="W1022" s="294"/>
    </row>
    <row r="1023" s="294" customFormat="1" ht="57">
      <c r="A1023" s="122">
        <v>14</v>
      </c>
      <c r="B1023" s="50" t="s">
        <v>834</v>
      </c>
      <c r="C1023" s="33" t="s">
        <v>90</v>
      </c>
      <c r="D1023" s="217">
        <v>1969</v>
      </c>
      <c r="E1023" s="122" t="s">
        <v>40</v>
      </c>
      <c r="F1023" s="217" t="s">
        <v>383</v>
      </c>
      <c r="G1023" s="106">
        <v>5</v>
      </c>
      <c r="H1023" s="106">
        <v>2</v>
      </c>
      <c r="I1023" s="312">
        <v>2833.77</v>
      </c>
      <c r="J1023" s="312">
        <v>1351.5</v>
      </c>
      <c r="K1023" s="312">
        <v>1351.5</v>
      </c>
      <c r="L1023" s="313">
        <v>247</v>
      </c>
      <c r="M1023" s="187">
        <f t="shared" si="178"/>
        <v>2479271.9700000002</v>
      </c>
      <c r="N1023" s="187">
        <v>0</v>
      </c>
      <c r="O1023" s="187">
        <v>0</v>
      </c>
      <c r="P1023" s="187">
        <v>0</v>
      </c>
      <c r="Q1023" s="187">
        <f>'Таблица 3 '!C1015</f>
        <v>2479271.9700000002</v>
      </c>
      <c r="R1023" s="187">
        <f t="shared" si="179"/>
        <v>2479271.9700000002</v>
      </c>
      <c r="S1023" s="187">
        <v>0</v>
      </c>
      <c r="T1023" s="187" t="s">
        <v>39</v>
      </c>
      <c r="U1023" s="187" t="s">
        <v>39</v>
      </c>
      <c r="V1023" s="311">
        <v>2024</v>
      </c>
      <c r="W1023" s="294"/>
    </row>
    <row r="1024" s="294" customFormat="1" ht="22.5" customHeight="1">
      <c r="A1024" s="249" t="s">
        <v>411</v>
      </c>
      <c r="B1024" s="249"/>
      <c r="C1024" s="26" t="s">
        <v>39</v>
      </c>
      <c r="D1024" s="26" t="s">
        <v>39</v>
      </c>
      <c r="E1024" s="27" t="s">
        <v>39</v>
      </c>
      <c r="F1024" s="26" t="s">
        <v>39</v>
      </c>
      <c r="G1024" s="28" t="s">
        <v>39</v>
      </c>
      <c r="H1024" s="28" t="s">
        <v>39</v>
      </c>
      <c r="I1024" s="146">
        <f>I1025+I1027</f>
        <v>6094.3000000000002</v>
      </c>
      <c r="J1024" s="146">
        <f>J1025+J1027</f>
        <v>4937.9000000000005</v>
      </c>
      <c r="K1024" s="146">
        <f>K1025+K1027</f>
        <v>4672.6000000000004</v>
      </c>
      <c r="L1024" s="147">
        <f>L1025+L1027</f>
        <v>209</v>
      </c>
      <c r="M1024" s="146">
        <f>SUM(M1025:M1028)</f>
        <v>-2057903.3999999994</v>
      </c>
      <c r="N1024" s="146">
        <f>SUM(N1025:N1028)</f>
        <v>0</v>
      </c>
      <c r="O1024" s="146">
        <f>SUM(O1025:O1028)</f>
        <v>0</v>
      </c>
      <c r="P1024" s="146">
        <f>SUM(P1025:P1028)</f>
        <v>0</v>
      </c>
      <c r="Q1024" s="146">
        <f>SUM(Q1025:Q1028)</f>
        <v>-2057903.3999999994</v>
      </c>
      <c r="R1024" s="146">
        <f>SUM(R1025:R1028)</f>
        <v>-2057903.3999999994</v>
      </c>
      <c r="S1024" s="146">
        <f>SUM(S1025:S1028)</f>
        <v>0</v>
      </c>
      <c r="T1024" s="146" t="s">
        <v>39</v>
      </c>
      <c r="U1024" s="146" t="s">
        <v>39</v>
      </c>
      <c r="V1024" s="318" t="s">
        <v>39</v>
      </c>
      <c r="W1024" s="31"/>
    </row>
    <row r="1025" s="294" customFormat="1" ht="42.75">
      <c r="A1025" s="33">
        <v>1</v>
      </c>
      <c r="B1025" s="86" t="s">
        <v>418</v>
      </c>
      <c r="C1025" s="122" t="s">
        <v>43</v>
      </c>
      <c r="D1025" s="122">
        <v>1960</v>
      </c>
      <c r="E1025" s="122" t="s">
        <v>40</v>
      </c>
      <c r="F1025" s="122" t="s">
        <v>44</v>
      </c>
      <c r="G1025" s="124">
        <v>2</v>
      </c>
      <c r="H1025" s="124">
        <v>2</v>
      </c>
      <c r="I1025" s="215">
        <v>652.29999999999995</v>
      </c>
      <c r="J1025" s="215">
        <v>652.29999999999995</v>
      </c>
      <c r="K1025" s="215">
        <v>587</v>
      </c>
      <c r="L1025" s="310">
        <v>38</v>
      </c>
      <c r="M1025" s="56">
        <f t="shared" ref="M1025:M1028" si="181">SUM(N1025:Q1025)</f>
        <v>-459594</v>
      </c>
      <c r="N1025" s="56">
        <v>0</v>
      </c>
      <c r="O1025" s="56">
        <v>0</v>
      </c>
      <c r="P1025" s="56">
        <v>0</v>
      </c>
      <c r="Q1025" s="56">
        <f>'Таблица 3 '!C1017</f>
        <v>-459594</v>
      </c>
      <c r="R1025" s="56">
        <f t="shared" ref="R1025:R1028" si="182">Q1025</f>
        <v>-459594</v>
      </c>
      <c r="S1025" s="56">
        <v>0</v>
      </c>
      <c r="T1025" s="146" t="s">
        <v>40</v>
      </c>
      <c r="U1025" s="146" t="s">
        <v>40</v>
      </c>
      <c r="V1025" s="319" t="s">
        <v>155</v>
      </c>
      <c r="W1025" s="60"/>
    </row>
    <row r="1026" s="294" customFormat="1" ht="42.75">
      <c r="A1026" s="33"/>
      <c r="B1026" s="86" t="s">
        <v>418</v>
      </c>
      <c r="C1026" s="122" t="s">
        <v>43</v>
      </c>
      <c r="D1026" s="122">
        <v>1960</v>
      </c>
      <c r="E1026" s="122" t="s">
        <v>40</v>
      </c>
      <c r="F1026" s="122" t="s">
        <v>44</v>
      </c>
      <c r="G1026" s="124">
        <v>2</v>
      </c>
      <c r="H1026" s="124">
        <v>2</v>
      </c>
      <c r="I1026" s="215">
        <v>652.29999999999995</v>
      </c>
      <c r="J1026" s="215">
        <v>652.29999999999995</v>
      </c>
      <c r="K1026" s="215">
        <v>587</v>
      </c>
      <c r="L1026" s="310">
        <v>38</v>
      </c>
      <c r="M1026" s="56">
        <f t="shared" si="181"/>
        <v>201775.20000000001</v>
      </c>
      <c r="N1026" s="56">
        <v>0</v>
      </c>
      <c r="O1026" s="56">
        <v>0</v>
      </c>
      <c r="P1026" s="56">
        <v>0</v>
      </c>
      <c r="Q1026" s="56">
        <f>'Таблица 3 '!C1018</f>
        <v>201775.20000000001</v>
      </c>
      <c r="R1026" s="56">
        <f t="shared" si="182"/>
        <v>201775.20000000001</v>
      </c>
      <c r="S1026" s="56">
        <v>0</v>
      </c>
      <c r="T1026" s="146" t="s">
        <v>40</v>
      </c>
      <c r="U1026" s="146" t="s">
        <v>40</v>
      </c>
      <c r="V1026" s="319" t="s">
        <v>155</v>
      </c>
      <c r="W1026" s="60"/>
    </row>
    <row r="1027" s="294" customFormat="1" ht="42.75">
      <c r="A1027" s="33">
        <v>2</v>
      </c>
      <c r="B1027" s="299" t="s">
        <v>835</v>
      </c>
      <c r="C1027" s="122" t="s">
        <v>43</v>
      </c>
      <c r="D1027" s="122">
        <v>1995</v>
      </c>
      <c r="E1027" s="122" t="s">
        <v>40</v>
      </c>
      <c r="F1027" s="122" t="s">
        <v>44</v>
      </c>
      <c r="G1027" s="124">
        <v>5</v>
      </c>
      <c r="H1027" s="124">
        <v>6</v>
      </c>
      <c r="I1027" s="215">
        <v>5442</v>
      </c>
      <c r="J1027" s="215">
        <v>4285.6000000000004</v>
      </c>
      <c r="K1027" s="215">
        <v>4085.5999999999999</v>
      </c>
      <c r="L1027" s="310">
        <v>171</v>
      </c>
      <c r="M1027" s="56">
        <f t="shared" si="181"/>
        <v>-7812895.1999999993</v>
      </c>
      <c r="N1027" s="56">
        <v>0</v>
      </c>
      <c r="O1027" s="56">
        <v>0</v>
      </c>
      <c r="P1027" s="56">
        <v>0</v>
      </c>
      <c r="Q1027" s="56">
        <f>'Таблица 3 '!C1019</f>
        <v>-7812895.1999999993</v>
      </c>
      <c r="R1027" s="56">
        <f t="shared" si="182"/>
        <v>-7812895.1999999993</v>
      </c>
      <c r="S1027" s="56">
        <v>0</v>
      </c>
      <c r="T1027" s="146" t="s">
        <v>40</v>
      </c>
      <c r="U1027" s="146" t="s">
        <v>40</v>
      </c>
      <c r="V1027" s="319" t="s">
        <v>155</v>
      </c>
      <c r="W1027" s="60"/>
    </row>
    <row r="1028" s="294" customFormat="1" ht="42.75">
      <c r="A1028" s="33"/>
      <c r="B1028" s="299" t="s">
        <v>835</v>
      </c>
      <c r="C1028" s="122" t="s">
        <v>43</v>
      </c>
      <c r="D1028" s="122">
        <v>1995</v>
      </c>
      <c r="E1028" s="122" t="s">
        <v>40</v>
      </c>
      <c r="F1028" s="122" t="s">
        <v>44</v>
      </c>
      <c r="G1028" s="124">
        <v>5</v>
      </c>
      <c r="H1028" s="124">
        <v>6</v>
      </c>
      <c r="I1028" s="215">
        <v>5442</v>
      </c>
      <c r="J1028" s="215">
        <v>4285.6000000000004</v>
      </c>
      <c r="K1028" s="215">
        <v>4085.5999999999999</v>
      </c>
      <c r="L1028" s="310">
        <v>171</v>
      </c>
      <c r="M1028" s="56">
        <f t="shared" si="181"/>
        <v>6012810.5999999996</v>
      </c>
      <c r="N1028" s="56">
        <v>0</v>
      </c>
      <c r="O1028" s="56">
        <v>0</v>
      </c>
      <c r="P1028" s="56">
        <v>0</v>
      </c>
      <c r="Q1028" s="56">
        <f>'Таблица 3 '!C1020</f>
        <v>6012810.5999999996</v>
      </c>
      <c r="R1028" s="56">
        <f t="shared" si="182"/>
        <v>6012810.5999999996</v>
      </c>
      <c r="S1028" s="56">
        <v>0</v>
      </c>
      <c r="T1028" s="146" t="s">
        <v>40</v>
      </c>
      <c r="U1028" s="146" t="s">
        <v>40</v>
      </c>
      <c r="V1028" s="319" t="s">
        <v>155</v>
      </c>
      <c r="W1028" s="60"/>
    </row>
    <row r="1029" s="294" customFormat="1" ht="22.5" customHeight="1">
      <c r="A1029" s="25" t="s">
        <v>435</v>
      </c>
      <c r="B1029" s="25"/>
      <c r="C1029" s="26" t="s">
        <v>39</v>
      </c>
      <c r="D1029" s="26" t="s">
        <v>39</v>
      </c>
      <c r="E1029" s="27" t="s">
        <v>39</v>
      </c>
      <c r="F1029" s="26" t="s">
        <v>39</v>
      </c>
      <c r="G1029" s="28" t="s">
        <v>39</v>
      </c>
      <c r="H1029" s="28" t="s">
        <v>39</v>
      </c>
      <c r="I1029" s="146">
        <f>I1030</f>
        <v>923</v>
      </c>
      <c r="J1029" s="146">
        <f>J1030</f>
        <v>906.89999999999998</v>
      </c>
      <c r="K1029" s="146">
        <f>K1030</f>
        <v>906.89999999999998</v>
      </c>
      <c r="L1029" s="147">
        <f>L1030</f>
        <v>51</v>
      </c>
      <c r="M1029" s="146">
        <f>SUM(M1030:M1031)</f>
        <v>-0.5</v>
      </c>
      <c r="N1029" s="146">
        <f>SUM(N1030:N1031)</f>
        <v>0</v>
      </c>
      <c r="O1029" s="146">
        <f>SUM(O1030:O1031)</f>
        <v>0</v>
      </c>
      <c r="P1029" s="146">
        <f>SUM(P1030:P1031)</f>
        <v>0</v>
      </c>
      <c r="Q1029" s="146">
        <f>SUM(Q1030:Q1031)</f>
        <v>-0.5</v>
      </c>
      <c r="R1029" s="146">
        <f>SUM(R1030:R1031)</f>
        <v>-0.5</v>
      </c>
      <c r="S1029" s="146">
        <f>SUM(S1030:S1031)</f>
        <v>0</v>
      </c>
      <c r="T1029" s="146" t="s">
        <v>39</v>
      </c>
      <c r="U1029" s="146" t="s">
        <v>39</v>
      </c>
      <c r="V1029" s="318" t="s">
        <v>39</v>
      </c>
      <c r="W1029" s="60"/>
    </row>
    <row r="1030" s="294" customFormat="1" ht="42.75">
      <c r="A1030" s="33">
        <v>1</v>
      </c>
      <c r="B1030" s="50" t="s">
        <v>700</v>
      </c>
      <c r="C1030" s="122" t="s">
        <v>43</v>
      </c>
      <c r="D1030" s="122" t="s">
        <v>145</v>
      </c>
      <c r="E1030" s="122" t="s">
        <v>40</v>
      </c>
      <c r="F1030" s="122" t="s">
        <v>77</v>
      </c>
      <c r="G1030" s="124">
        <v>2</v>
      </c>
      <c r="H1030" s="124">
        <v>3</v>
      </c>
      <c r="I1030" s="215">
        <v>923</v>
      </c>
      <c r="J1030" s="215">
        <v>906.89999999999998</v>
      </c>
      <c r="K1030" s="215">
        <v>906.89999999999998</v>
      </c>
      <c r="L1030" s="310">
        <v>51</v>
      </c>
      <c r="M1030" s="56">
        <f t="shared" ref="M1030:M1031" si="183">SUM(N1030:Q1030)</f>
        <v>-5867384.9000000004</v>
      </c>
      <c r="N1030" s="56">
        <v>0</v>
      </c>
      <c r="O1030" s="56">
        <v>0</v>
      </c>
      <c r="P1030" s="56">
        <v>0</v>
      </c>
      <c r="Q1030" s="56">
        <f>'Таблица 3 '!C1022</f>
        <v>-5867384.9000000004</v>
      </c>
      <c r="R1030" s="56">
        <f t="shared" ref="R1030:R1031" si="184">Q1030</f>
        <v>-5867384.9000000004</v>
      </c>
      <c r="S1030" s="56">
        <v>0</v>
      </c>
      <c r="T1030" s="146" t="s">
        <v>40</v>
      </c>
      <c r="U1030" s="146" t="s">
        <v>40</v>
      </c>
      <c r="V1030" s="319" t="s">
        <v>57</v>
      </c>
      <c r="W1030" s="60"/>
    </row>
    <row r="1031" s="294" customFormat="1" ht="42.75">
      <c r="A1031" s="33"/>
      <c r="B1031" s="50" t="s">
        <v>700</v>
      </c>
      <c r="C1031" s="122" t="s">
        <v>43</v>
      </c>
      <c r="D1031" s="122" t="s">
        <v>145</v>
      </c>
      <c r="E1031" s="122" t="s">
        <v>40</v>
      </c>
      <c r="F1031" s="122" t="s">
        <v>77</v>
      </c>
      <c r="G1031" s="124">
        <v>2</v>
      </c>
      <c r="H1031" s="124">
        <v>3</v>
      </c>
      <c r="I1031" s="215">
        <v>923</v>
      </c>
      <c r="J1031" s="215">
        <v>906.89999999999998</v>
      </c>
      <c r="K1031" s="215">
        <v>906.89999999999998</v>
      </c>
      <c r="L1031" s="310">
        <v>51</v>
      </c>
      <c r="M1031" s="56">
        <f t="shared" si="183"/>
        <v>5867384.4000000004</v>
      </c>
      <c r="N1031" s="56">
        <v>0</v>
      </c>
      <c r="O1031" s="56">
        <v>0</v>
      </c>
      <c r="P1031" s="56">
        <v>0</v>
      </c>
      <c r="Q1031" s="56">
        <f>'Таблица 3 '!C1023</f>
        <v>5867384.4000000004</v>
      </c>
      <c r="R1031" s="56">
        <f t="shared" si="184"/>
        <v>5867384.4000000004</v>
      </c>
      <c r="S1031" s="56">
        <v>0</v>
      </c>
      <c r="T1031" s="146" t="s">
        <v>40</v>
      </c>
      <c r="U1031" s="146" t="s">
        <v>40</v>
      </c>
      <c r="V1031" s="319" t="s">
        <v>57</v>
      </c>
      <c r="W1031" s="60"/>
      <c r="X1031" s="294"/>
    </row>
    <row r="1032" s="294" customFormat="1" ht="23.25" customHeight="1">
      <c r="A1032" s="249" t="s">
        <v>722</v>
      </c>
      <c r="B1032" s="249"/>
      <c r="C1032" s="26" t="s">
        <v>39</v>
      </c>
      <c r="D1032" s="28" t="s">
        <v>39</v>
      </c>
      <c r="E1032" s="66" t="s">
        <v>39</v>
      </c>
      <c r="F1032" s="26" t="s">
        <v>39</v>
      </c>
      <c r="G1032" s="28" t="s">
        <v>39</v>
      </c>
      <c r="H1032" s="28" t="s">
        <v>39</v>
      </c>
      <c r="I1032" s="64">
        <f>SUM(I1033:I1035)</f>
        <v>10265.779999999999</v>
      </c>
      <c r="J1032" s="64">
        <f>SUM(J1033:J1035)</f>
        <v>9601.6200000000008</v>
      </c>
      <c r="K1032" s="64">
        <f>SUM(K1033:K1035)</f>
        <v>9291.75</v>
      </c>
      <c r="L1032" s="65">
        <f>SUM(L1033:L1035)</f>
        <v>378</v>
      </c>
      <c r="M1032" s="64">
        <f>SUM(M1033:M1035)</f>
        <v>2239110.4399999999</v>
      </c>
      <c r="N1032" s="64">
        <f>SUM(N1033:N1035)</f>
        <v>0</v>
      </c>
      <c r="O1032" s="64">
        <f>SUM(O1033:O1035)</f>
        <v>0</v>
      </c>
      <c r="P1032" s="64">
        <f>SUM(P1033:P1035)</f>
        <v>0</v>
      </c>
      <c r="Q1032" s="64">
        <f>SUM(Q1033:Q1035)</f>
        <v>2239110.4399999999</v>
      </c>
      <c r="R1032" s="64">
        <f>SUM(R1033:R1035)</f>
        <v>2239110.4399999999</v>
      </c>
      <c r="S1032" s="64">
        <f>SUM(S1033:S1035)</f>
        <v>0</v>
      </c>
      <c r="T1032" s="64" t="s">
        <v>39</v>
      </c>
      <c r="U1032" s="64" t="s">
        <v>39</v>
      </c>
      <c r="V1032" s="76" t="s">
        <v>39</v>
      </c>
      <c r="W1032" s="31"/>
      <c r="X1032" s="294"/>
    </row>
    <row r="1033" s="294" customFormat="1" ht="57">
      <c r="A1033" s="33">
        <v>1</v>
      </c>
      <c r="B1033" s="50" t="s">
        <v>836</v>
      </c>
      <c r="C1033" s="217" t="s">
        <v>85</v>
      </c>
      <c r="D1033" s="217">
        <v>1953</v>
      </c>
      <c r="E1033" s="217">
        <v>2010</v>
      </c>
      <c r="F1033" s="217" t="s">
        <v>455</v>
      </c>
      <c r="G1033" s="106">
        <v>2</v>
      </c>
      <c r="H1033" s="106">
        <v>2</v>
      </c>
      <c r="I1033" s="320">
        <v>957.29999999999995</v>
      </c>
      <c r="J1033" s="320">
        <v>778.89999999999998</v>
      </c>
      <c r="K1033" s="320">
        <v>778.89999999999998</v>
      </c>
      <c r="L1033" s="321">
        <v>26</v>
      </c>
      <c r="M1033" s="37">
        <f t="shared" ref="M1033:M1035" si="185">SUM(N1033:Q1033)</f>
        <v>-342169.20000000001</v>
      </c>
      <c r="N1033" s="37">
        <v>0</v>
      </c>
      <c r="O1033" s="37">
        <v>0</v>
      </c>
      <c r="P1033" s="37">
        <v>0</v>
      </c>
      <c r="Q1033" s="37">
        <f>'Таблица 3 '!C1025</f>
        <v>-342169.20000000001</v>
      </c>
      <c r="R1033" s="37">
        <f t="shared" ref="R1033:R1035" si="186">Q1033</f>
        <v>-342169.20000000001</v>
      </c>
      <c r="S1033" s="37">
        <v>0</v>
      </c>
      <c r="T1033" s="64" t="s">
        <v>40</v>
      </c>
      <c r="U1033" s="64" t="s">
        <v>40</v>
      </c>
      <c r="V1033" s="41" t="s">
        <v>50</v>
      </c>
      <c r="W1033" s="60"/>
      <c r="X1033" s="294"/>
    </row>
    <row r="1034" s="294" customFormat="1" ht="57">
      <c r="A1034" s="33">
        <v>2</v>
      </c>
      <c r="B1034" s="50" t="s">
        <v>837</v>
      </c>
      <c r="C1034" s="217" t="s">
        <v>85</v>
      </c>
      <c r="D1034" s="217">
        <v>1980</v>
      </c>
      <c r="E1034" s="217" t="s">
        <v>39</v>
      </c>
      <c r="F1034" s="122" t="s">
        <v>44</v>
      </c>
      <c r="G1034" s="106">
        <v>5</v>
      </c>
      <c r="H1034" s="106">
        <v>4</v>
      </c>
      <c r="I1034" s="320">
        <v>3021.4000000000001</v>
      </c>
      <c r="J1034" s="320">
        <v>2767.0900000000001</v>
      </c>
      <c r="K1034" s="320">
        <v>2654.5999999999999</v>
      </c>
      <c r="L1034" s="321">
        <v>102</v>
      </c>
      <c r="M1034" s="37">
        <f t="shared" si="185"/>
        <v>455397.47999999998</v>
      </c>
      <c r="N1034" s="37">
        <v>0</v>
      </c>
      <c r="O1034" s="37">
        <v>0</v>
      </c>
      <c r="P1034" s="37">
        <v>0</v>
      </c>
      <c r="Q1034" s="37">
        <f>'Таблица 3 '!C1026</f>
        <v>455397.47999999998</v>
      </c>
      <c r="R1034" s="37">
        <f t="shared" si="186"/>
        <v>455397.47999999998</v>
      </c>
      <c r="S1034" s="37">
        <v>0</v>
      </c>
      <c r="T1034" s="64" t="s">
        <v>40</v>
      </c>
      <c r="U1034" s="64" t="s">
        <v>40</v>
      </c>
      <c r="V1034" s="41" t="s">
        <v>155</v>
      </c>
      <c r="W1034" s="60"/>
    </row>
    <row r="1035" s="294" customFormat="1" ht="57">
      <c r="A1035" s="33">
        <v>3</v>
      </c>
      <c r="B1035" s="50" t="s">
        <v>838</v>
      </c>
      <c r="C1035" s="217" t="s">
        <v>85</v>
      </c>
      <c r="D1035" s="217">
        <v>1975</v>
      </c>
      <c r="E1035" s="217" t="s">
        <v>39</v>
      </c>
      <c r="F1035" s="122" t="s">
        <v>44</v>
      </c>
      <c r="G1035" s="106">
        <v>5</v>
      </c>
      <c r="H1035" s="106">
        <v>8</v>
      </c>
      <c r="I1035" s="320">
        <v>6287.0799999999999</v>
      </c>
      <c r="J1035" s="320">
        <v>6055.6300000000001</v>
      </c>
      <c r="K1035" s="320">
        <v>5858.25</v>
      </c>
      <c r="L1035" s="321">
        <v>250</v>
      </c>
      <c r="M1035" s="37">
        <f t="shared" si="185"/>
        <v>2125882.1600000001</v>
      </c>
      <c r="N1035" s="37">
        <v>0</v>
      </c>
      <c r="O1035" s="37">
        <v>0</v>
      </c>
      <c r="P1035" s="37">
        <v>0</v>
      </c>
      <c r="Q1035" s="37">
        <f>'Таблица 3 '!C1027</f>
        <v>2125882.1600000001</v>
      </c>
      <c r="R1035" s="37">
        <f t="shared" si="186"/>
        <v>2125882.1600000001</v>
      </c>
      <c r="S1035" s="37">
        <v>0</v>
      </c>
      <c r="T1035" s="64" t="s">
        <v>40</v>
      </c>
      <c r="U1035" s="64" t="s">
        <v>40</v>
      </c>
      <c r="V1035" s="41" t="s">
        <v>155</v>
      </c>
      <c r="W1035" s="60"/>
      <c r="X1035" s="294"/>
    </row>
    <row r="1036" s="294" customFormat="1" ht="22.5" customHeight="1">
      <c r="A1036" s="296" t="s">
        <v>484</v>
      </c>
      <c r="B1036" s="296"/>
      <c r="C1036" s="306" t="s">
        <v>39</v>
      </c>
      <c r="D1036" s="306" t="s">
        <v>39</v>
      </c>
      <c r="E1036" s="306" t="s">
        <v>39</v>
      </c>
      <c r="F1036" s="306" t="s">
        <v>39</v>
      </c>
      <c r="G1036" s="307" t="s">
        <v>39</v>
      </c>
      <c r="H1036" s="307" t="s">
        <v>39</v>
      </c>
      <c r="I1036" s="322">
        <f>I1037</f>
        <v>631.5</v>
      </c>
      <c r="J1036" s="322">
        <f>J1037</f>
        <v>599.20000000000005</v>
      </c>
      <c r="K1036" s="322">
        <f>K1037</f>
        <v>599.20000000000005</v>
      </c>
      <c r="L1036" s="323">
        <f>L1037</f>
        <v>23</v>
      </c>
      <c r="M1036" s="322">
        <f>SUM(M1037:M1038)</f>
        <v>-157403.87999999989</v>
      </c>
      <c r="N1036" s="322">
        <f>SUM(N1037:N1038)</f>
        <v>0</v>
      </c>
      <c r="O1036" s="322">
        <f>SUM(O1037:O1038)</f>
        <v>0</v>
      </c>
      <c r="P1036" s="322">
        <f>SUM(P1037:P1038)</f>
        <v>0</v>
      </c>
      <c r="Q1036" s="322">
        <f>SUM(Q1037:Q1038)</f>
        <v>-157403.87999999989</v>
      </c>
      <c r="R1036" s="322">
        <f>SUM(R1037:R1038)</f>
        <v>-157403.87999999989</v>
      </c>
      <c r="S1036" s="322">
        <f>SUM(S1037:S1038)</f>
        <v>0</v>
      </c>
      <c r="T1036" s="324" t="s">
        <v>40</v>
      </c>
      <c r="U1036" s="324" t="s">
        <v>40</v>
      </c>
      <c r="V1036" s="325" t="s">
        <v>40</v>
      </c>
      <c r="W1036" s="300"/>
      <c r="X1036" s="294"/>
    </row>
    <row r="1037" s="294" customFormat="1" ht="42.75">
      <c r="A1037" s="122">
        <v>1</v>
      </c>
      <c r="B1037" s="299" t="s">
        <v>839</v>
      </c>
      <c r="C1037" s="122" t="s">
        <v>43</v>
      </c>
      <c r="D1037" s="122" t="s">
        <v>106</v>
      </c>
      <c r="E1037" s="122" t="s">
        <v>40</v>
      </c>
      <c r="F1037" s="122" t="s">
        <v>77</v>
      </c>
      <c r="G1037" s="124">
        <v>2</v>
      </c>
      <c r="H1037" s="124">
        <v>3</v>
      </c>
      <c r="I1037" s="139">
        <v>631.5</v>
      </c>
      <c r="J1037" s="139">
        <v>599.20000000000005</v>
      </c>
      <c r="K1037" s="139">
        <v>599.20000000000005</v>
      </c>
      <c r="L1037" s="140">
        <v>23</v>
      </c>
      <c r="M1037" s="139">
        <f t="shared" ref="M1037:M1038" si="187">SUM(N1037:Q1037)</f>
        <v>-4463037.4100000001</v>
      </c>
      <c r="N1037" s="139">
        <v>0</v>
      </c>
      <c r="O1037" s="139">
        <v>0</v>
      </c>
      <c r="P1037" s="139">
        <v>0</v>
      </c>
      <c r="Q1037" s="139">
        <f>'Таблица 3 '!C1029</f>
        <v>-4463037.4100000001</v>
      </c>
      <c r="R1037" s="139">
        <f t="shared" ref="R1037:R1038" si="188">Q1037</f>
        <v>-4463037.4100000001</v>
      </c>
      <c r="S1037" s="139">
        <v>0</v>
      </c>
      <c r="T1037" s="146" t="s">
        <v>40</v>
      </c>
      <c r="U1037" s="146" t="s">
        <v>40</v>
      </c>
      <c r="V1037" s="141">
        <v>2025</v>
      </c>
      <c r="W1037" s="300"/>
      <c r="X1037" s="294"/>
    </row>
    <row r="1038" s="294" customFormat="1" ht="42.75">
      <c r="A1038" s="122"/>
      <c r="B1038" s="299" t="s">
        <v>839</v>
      </c>
      <c r="C1038" s="122" t="s">
        <v>43</v>
      </c>
      <c r="D1038" s="122" t="s">
        <v>106</v>
      </c>
      <c r="E1038" s="122" t="s">
        <v>40</v>
      </c>
      <c r="F1038" s="122" t="s">
        <v>77</v>
      </c>
      <c r="G1038" s="124">
        <v>2</v>
      </c>
      <c r="H1038" s="124">
        <v>3</v>
      </c>
      <c r="I1038" s="139">
        <v>631.5</v>
      </c>
      <c r="J1038" s="139">
        <v>599.20000000000005</v>
      </c>
      <c r="K1038" s="139">
        <v>599.20000000000005</v>
      </c>
      <c r="L1038" s="140">
        <v>23</v>
      </c>
      <c r="M1038" s="139">
        <f t="shared" si="187"/>
        <v>4305633.5300000003</v>
      </c>
      <c r="N1038" s="139">
        <v>0</v>
      </c>
      <c r="O1038" s="139">
        <v>0</v>
      </c>
      <c r="P1038" s="139">
        <v>0</v>
      </c>
      <c r="Q1038" s="139">
        <f>'Таблица 3 '!C1030</f>
        <v>4305633.5300000003</v>
      </c>
      <c r="R1038" s="139">
        <f t="shared" si="188"/>
        <v>4305633.5300000003</v>
      </c>
      <c r="S1038" s="139">
        <v>0</v>
      </c>
      <c r="T1038" s="146" t="s">
        <v>40</v>
      </c>
      <c r="U1038" s="146" t="s">
        <v>40</v>
      </c>
      <c r="V1038" s="141">
        <v>2025</v>
      </c>
      <c r="W1038" s="300"/>
    </row>
    <row r="1039" s="294" customFormat="1" ht="27" customHeight="1">
      <c r="A1039" s="249" t="s">
        <v>506</v>
      </c>
      <c r="B1039" s="249"/>
      <c r="C1039" s="26" t="s">
        <v>39</v>
      </c>
      <c r="D1039" s="28" t="s">
        <v>39</v>
      </c>
      <c r="E1039" s="66" t="s">
        <v>39</v>
      </c>
      <c r="F1039" s="26" t="s">
        <v>39</v>
      </c>
      <c r="G1039" s="28" t="s">
        <v>39</v>
      </c>
      <c r="H1039" s="28" t="s">
        <v>39</v>
      </c>
      <c r="I1039" s="64">
        <f>SUM(I1040:I1042)</f>
        <v>5075.6000000000004</v>
      </c>
      <c r="J1039" s="64">
        <f>SUM(J1040:J1042)</f>
        <v>3691.6999999999998</v>
      </c>
      <c r="K1039" s="64">
        <f>SUM(K1040:K1042)</f>
        <v>3587</v>
      </c>
      <c r="L1039" s="65">
        <f>SUM(L1040:L1042)</f>
        <v>160</v>
      </c>
      <c r="M1039" s="64">
        <f>SUM(M1040:M1042)</f>
        <v>840000</v>
      </c>
      <c r="N1039" s="64">
        <f>SUM(N1040:N1042)</f>
        <v>0</v>
      </c>
      <c r="O1039" s="64">
        <f>SUM(O1040:O1042)</f>
        <v>0</v>
      </c>
      <c r="P1039" s="64">
        <f>SUM(P1040:P1042)</f>
        <v>0</v>
      </c>
      <c r="Q1039" s="64">
        <f>SUM(Q1040:Q1040)</f>
        <v>840000</v>
      </c>
      <c r="R1039" s="64">
        <f>SUM(R1040:R1042)</f>
        <v>840000</v>
      </c>
      <c r="S1039" s="64">
        <f>SUM(S1040:S1042)</f>
        <v>0</v>
      </c>
      <c r="T1039" s="64" t="s">
        <v>39</v>
      </c>
      <c r="U1039" s="64" t="s">
        <v>39</v>
      </c>
      <c r="V1039" s="76" t="s">
        <v>39</v>
      </c>
      <c r="W1039" s="31"/>
    </row>
    <row r="1040" s="294" customFormat="1" ht="57">
      <c r="A1040" s="33">
        <v>1</v>
      </c>
      <c r="B1040" s="52" t="s">
        <v>840</v>
      </c>
      <c r="C1040" s="217" t="s">
        <v>85</v>
      </c>
      <c r="D1040" s="217">
        <v>1980</v>
      </c>
      <c r="E1040" s="217" t="s">
        <v>39</v>
      </c>
      <c r="F1040" s="217" t="s">
        <v>383</v>
      </c>
      <c r="G1040" s="106">
        <v>5</v>
      </c>
      <c r="H1040" s="106">
        <v>5</v>
      </c>
      <c r="I1040" s="320">
        <v>5075.6000000000004</v>
      </c>
      <c r="J1040" s="320">
        <v>3691.6999999999998</v>
      </c>
      <c r="K1040" s="320">
        <v>3587</v>
      </c>
      <c r="L1040" s="321">
        <v>160</v>
      </c>
      <c r="M1040" s="37">
        <f>SUM(N1040:Q1040)</f>
        <v>840000</v>
      </c>
      <c r="N1040" s="37">
        <v>0</v>
      </c>
      <c r="O1040" s="37">
        <v>0</v>
      </c>
      <c r="P1040" s="37">
        <v>0</v>
      </c>
      <c r="Q1040" s="37">
        <f>'Таблица 3 '!C1032</f>
        <v>840000</v>
      </c>
      <c r="R1040" s="37">
        <f>Q1040</f>
        <v>840000</v>
      </c>
      <c r="S1040" s="37">
        <v>0</v>
      </c>
      <c r="T1040" s="64" t="s">
        <v>40</v>
      </c>
      <c r="U1040" s="64" t="s">
        <v>40</v>
      </c>
      <c r="V1040" s="41" t="s">
        <v>155</v>
      </c>
      <c r="W1040" s="60"/>
    </row>
    <row r="1041" s="294" customFormat="1">
      <c r="A1041" s="294"/>
      <c r="B1041" s="294"/>
      <c r="C1041" s="294"/>
      <c r="D1041" s="294"/>
      <c r="E1041" s="294"/>
      <c r="F1041" s="294"/>
      <c r="G1041" s="294"/>
      <c r="H1041" s="294"/>
      <c r="I1041" s="294"/>
      <c r="J1041" s="294"/>
      <c r="K1041" s="294"/>
      <c r="L1041" s="294"/>
      <c r="M1041" s="294"/>
      <c r="N1041" s="294"/>
      <c r="O1041" s="294"/>
      <c r="P1041" s="294"/>
      <c r="Q1041" s="294"/>
      <c r="R1041" s="294"/>
      <c r="S1041" s="294"/>
      <c r="T1041" s="294"/>
      <c r="U1041" s="294"/>
      <c r="V1041" s="294"/>
      <c r="W1041" s="294"/>
    </row>
    <row r="1042" s="294" customFormat="1">
      <c r="A1042" s="294"/>
      <c r="B1042" s="294"/>
      <c r="C1042" s="294"/>
      <c r="D1042" s="294"/>
      <c r="E1042" s="294"/>
      <c r="F1042" s="294"/>
      <c r="G1042" s="294"/>
      <c r="H1042" s="294"/>
      <c r="I1042" s="294"/>
      <c r="J1042" s="294"/>
      <c r="K1042" s="294"/>
      <c r="L1042" s="294"/>
      <c r="M1042" s="294"/>
      <c r="N1042" s="294"/>
      <c r="O1042" s="294"/>
      <c r="P1042" s="294"/>
      <c r="Q1042" s="294"/>
      <c r="R1042" s="294"/>
      <c r="S1042" s="294"/>
      <c r="T1042" s="294"/>
      <c r="U1042" s="294"/>
      <c r="V1042" s="294"/>
      <c r="W1042" s="294"/>
    </row>
    <row r="1043" s="294" customFormat="1">
      <c r="A1043" s="294"/>
      <c r="B1043" s="294"/>
      <c r="C1043" s="294"/>
      <c r="D1043" s="294"/>
      <c r="E1043" s="294"/>
      <c r="F1043" s="294"/>
      <c r="G1043" s="294"/>
      <c r="H1043" s="294"/>
      <c r="I1043" s="294"/>
      <c r="J1043" s="294"/>
      <c r="K1043" s="294"/>
      <c r="L1043" s="294"/>
      <c r="M1043" s="294"/>
      <c r="N1043" s="294"/>
      <c r="O1043" s="294"/>
      <c r="P1043" s="294"/>
      <c r="Q1043" s="294"/>
      <c r="R1043" s="294"/>
      <c r="S1043" s="294"/>
      <c r="T1043" s="294"/>
      <c r="U1043" s="294"/>
      <c r="V1043" s="294"/>
      <c r="W1043" s="294"/>
    </row>
    <row r="1044" s="294" customFormat="1">
      <c r="A1044" s="294"/>
      <c r="B1044" s="294"/>
      <c r="C1044" s="294"/>
      <c r="D1044" s="294"/>
      <c r="E1044" s="294"/>
      <c r="F1044" s="294"/>
      <c r="G1044" s="294"/>
      <c r="H1044" s="294"/>
      <c r="I1044" s="294"/>
      <c r="J1044" s="294"/>
      <c r="K1044" s="294"/>
      <c r="L1044" s="294"/>
      <c r="M1044" s="294"/>
      <c r="N1044" s="294"/>
      <c r="O1044" s="294"/>
      <c r="P1044" s="294"/>
      <c r="Q1044" s="294"/>
      <c r="R1044" s="294"/>
      <c r="S1044" s="294"/>
      <c r="T1044" s="294"/>
      <c r="U1044" s="294"/>
      <c r="V1044" s="294"/>
      <c r="W1044" s="294"/>
    </row>
    <row r="1045" s="294" customFormat="1">
      <c r="A1045" s="294"/>
      <c r="B1045" s="294"/>
      <c r="C1045" s="294"/>
      <c r="D1045" s="294"/>
      <c r="E1045" s="294"/>
      <c r="F1045" s="294"/>
      <c r="G1045" s="294"/>
      <c r="H1045" s="294"/>
      <c r="I1045" s="294"/>
      <c r="J1045" s="294"/>
      <c r="K1045" s="294"/>
      <c r="L1045" s="294"/>
      <c r="M1045" s="294"/>
      <c r="N1045" s="294"/>
      <c r="O1045" s="294"/>
      <c r="P1045" s="294"/>
      <c r="Q1045" s="294"/>
      <c r="R1045" s="294"/>
      <c r="S1045" s="294"/>
      <c r="T1045" s="294"/>
      <c r="U1045" s="294"/>
      <c r="V1045" s="294"/>
      <c r="W1045" s="294"/>
    </row>
    <row r="1046" s="294" customFormat="1">
      <c r="A1046" s="294"/>
      <c r="B1046" s="294"/>
      <c r="C1046" s="294"/>
      <c r="D1046" s="294"/>
      <c r="E1046" s="294"/>
      <c r="F1046" s="294"/>
      <c r="G1046" s="294"/>
      <c r="H1046" s="294"/>
      <c r="I1046" s="294"/>
      <c r="J1046" s="294"/>
      <c r="K1046" s="294"/>
      <c r="L1046" s="294"/>
      <c r="M1046" s="294"/>
      <c r="N1046" s="294"/>
      <c r="O1046" s="294"/>
      <c r="P1046" s="294"/>
      <c r="Q1046" s="294"/>
      <c r="R1046" s="294"/>
      <c r="S1046" s="294"/>
      <c r="T1046" s="294"/>
      <c r="U1046" s="294"/>
      <c r="V1046" s="294"/>
      <c r="W1046" s="294"/>
    </row>
    <row r="1047" s="294" customFormat="1">
      <c r="A1047" s="294"/>
      <c r="B1047" s="294"/>
      <c r="C1047" s="294"/>
      <c r="D1047" s="294"/>
      <c r="E1047" s="294"/>
      <c r="F1047" s="294"/>
      <c r="G1047" s="294"/>
      <c r="H1047" s="294"/>
      <c r="I1047" s="294"/>
      <c r="J1047" s="294"/>
      <c r="K1047" s="294"/>
      <c r="L1047" s="294"/>
      <c r="M1047" s="294"/>
      <c r="N1047" s="294"/>
      <c r="O1047" s="294"/>
      <c r="P1047" s="294"/>
      <c r="Q1047" s="294"/>
      <c r="R1047" s="294"/>
      <c r="S1047" s="294"/>
      <c r="T1047" s="294"/>
      <c r="U1047" s="294"/>
      <c r="V1047" s="294"/>
      <c r="W1047" s="294"/>
    </row>
    <row r="1048" s="294" customFormat="1">
      <c r="A1048" s="294"/>
      <c r="B1048" s="294"/>
      <c r="C1048" s="294"/>
      <c r="D1048" s="294"/>
      <c r="E1048" s="294"/>
      <c r="F1048" s="294"/>
      <c r="G1048" s="294"/>
      <c r="H1048" s="294"/>
      <c r="I1048" s="294"/>
      <c r="J1048" s="294"/>
      <c r="K1048" s="294"/>
      <c r="L1048" s="294"/>
      <c r="M1048" s="294"/>
      <c r="N1048" s="294"/>
      <c r="O1048" s="294"/>
      <c r="P1048" s="294"/>
      <c r="Q1048" s="294"/>
      <c r="R1048" s="294"/>
      <c r="S1048" s="294"/>
      <c r="T1048" s="294"/>
      <c r="U1048" s="294"/>
      <c r="V1048" s="294"/>
      <c r="W1048" s="294"/>
    </row>
    <row r="1049" s="294" customFormat="1">
      <c r="A1049" s="294"/>
      <c r="B1049" s="294"/>
      <c r="C1049" s="294"/>
      <c r="D1049" s="294"/>
      <c r="E1049" s="294"/>
      <c r="F1049" s="294"/>
      <c r="G1049" s="294"/>
      <c r="H1049" s="294"/>
      <c r="I1049" s="294"/>
      <c r="J1049" s="294"/>
      <c r="K1049" s="294"/>
      <c r="L1049" s="294"/>
      <c r="M1049" s="294"/>
      <c r="N1049" s="294"/>
      <c r="O1049" s="294"/>
      <c r="P1049" s="294"/>
      <c r="Q1049" s="294"/>
      <c r="R1049" s="294"/>
      <c r="S1049" s="294"/>
      <c r="T1049" s="294"/>
      <c r="U1049" s="294"/>
      <c r="V1049" s="294"/>
      <c r="W1049" s="294"/>
    </row>
    <row r="1050" s="294" customFormat="1">
      <c r="A1050" s="294"/>
      <c r="B1050" s="294"/>
      <c r="C1050" s="294"/>
      <c r="D1050" s="294"/>
      <c r="E1050" s="294"/>
      <c r="F1050" s="294"/>
      <c r="G1050" s="294"/>
      <c r="H1050" s="294"/>
      <c r="I1050" s="294"/>
      <c r="J1050" s="294"/>
      <c r="K1050" s="294"/>
      <c r="L1050" s="294"/>
      <c r="M1050" s="294"/>
      <c r="N1050" s="294"/>
      <c r="O1050" s="294"/>
      <c r="P1050" s="294"/>
      <c r="Q1050" s="294"/>
      <c r="R1050" s="294"/>
      <c r="S1050" s="294"/>
      <c r="T1050" s="294"/>
      <c r="U1050" s="294"/>
      <c r="V1050" s="294"/>
      <c r="W1050" s="294"/>
    </row>
    <row r="1051" s="294" customFormat="1">
      <c r="A1051" s="294"/>
      <c r="B1051" s="294"/>
      <c r="C1051" s="294"/>
      <c r="D1051" s="294"/>
      <c r="E1051" s="294"/>
      <c r="F1051" s="294"/>
      <c r="G1051" s="294"/>
      <c r="H1051" s="294"/>
      <c r="I1051" s="294"/>
      <c r="J1051" s="294"/>
      <c r="K1051" s="294"/>
      <c r="L1051" s="294"/>
      <c r="M1051" s="294"/>
      <c r="N1051" s="294"/>
      <c r="O1051" s="294"/>
      <c r="P1051" s="294"/>
      <c r="Q1051" s="294"/>
      <c r="R1051" s="294"/>
      <c r="S1051" s="294"/>
      <c r="T1051" s="294"/>
      <c r="U1051" s="294"/>
      <c r="V1051" s="294"/>
      <c r="W1051" s="294"/>
    </row>
    <row r="1052" s="294" customFormat="1">
      <c r="A1052" s="294"/>
      <c r="B1052" s="294"/>
      <c r="C1052" s="294"/>
      <c r="D1052" s="294"/>
      <c r="E1052" s="294"/>
      <c r="F1052" s="294"/>
      <c r="G1052" s="294"/>
      <c r="H1052" s="294"/>
      <c r="I1052" s="294"/>
      <c r="J1052" s="294"/>
      <c r="K1052" s="294"/>
      <c r="L1052" s="294"/>
      <c r="M1052" s="294"/>
      <c r="N1052" s="294"/>
      <c r="O1052" s="294"/>
      <c r="P1052" s="294"/>
      <c r="Q1052" s="294"/>
      <c r="R1052" s="294"/>
      <c r="S1052" s="294"/>
      <c r="T1052" s="294"/>
      <c r="U1052" s="294"/>
      <c r="V1052" s="294"/>
    </row>
    <row r="1053" s="294" customFormat="1">
      <c r="A1053" s="294"/>
      <c r="B1053" s="294"/>
      <c r="C1053" s="294"/>
      <c r="D1053" s="294"/>
      <c r="E1053" s="294"/>
      <c r="F1053" s="294"/>
      <c r="G1053" s="294"/>
      <c r="H1053" s="294"/>
      <c r="I1053" s="294"/>
      <c r="J1053" s="294"/>
      <c r="K1053" s="294"/>
      <c r="L1053" s="294"/>
      <c r="M1053" s="294"/>
      <c r="N1053" s="294"/>
      <c r="O1053" s="294"/>
      <c r="P1053" s="294"/>
      <c r="Q1053" s="294"/>
      <c r="R1053" s="294"/>
      <c r="S1053" s="294"/>
      <c r="T1053" s="294"/>
      <c r="U1053" s="294"/>
      <c r="V1053" s="294"/>
    </row>
    <row r="1054" s="294" customFormat="1">
      <c r="A1054" s="294"/>
      <c r="B1054" s="294"/>
      <c r="C1054" s="294"/>
      <c r="D1054" s="294"/>
      <c r="E1054" s="294"/>
      <c r="F1054" s="294"/>
      <c r="G1054" s="294"/>
      <c r="H1054" s="294"/>
      <c r="I1054" s="294"/>
      <c r="J1054" s="294"/>
      <c r="K1054" s="294"/>
      <c r="L1054" s="294"/>
      <c r="M1054" s="294"/>
      <c r="N1054" s="294"/>
      <c r="O1054" s="294"/>
      <c r="P1054" s="294"/>
      <c r="Q1054" s="294"/>
      <c r="R1054" s="294"/>
      <c r="S1054" s="294"/>
      <c r="T1054" s="294"/>
      <c r="U1054" s="294"/>
      <c r="V1054" s="294"/>
    </row>
    <row r="1055" s="294" customFormat="1">
      <c r="A1055" s="294"/>
      <c r="B1055" s="294"/>
      <c r="C1055" s="294"/>
      <c r="D1055" s="294"/>
      <c r="E1055" s="294"/>
      <c r="F1055" s="294"/>
      <c r="G1055" s="294"/>
      <c r="H1055" s="294"/>
      <c r="I1055" s="294"/>
      <c r="J1055" s="294"/>
      <c r="K1055" s="294"/>
      <c r="L1055" s="294"/>
      <c r="M1055" s="294"/>
      <c r="N1055" s="294"/>
      <c r="O1055" s="294"/>
      <c r="P1055" s="294"/>
      <c r="Q1055" s="294"/>
      <c r="R1055" s="294"/>
      <c r="S1055" s="294"/>
      <c r="T1055" s="294"/>
      <c r="U1055" s="294"/>
      <c r="V1055" s="294"/>
    </row>
    <row r="1056" s="294" customFormat="1">
      <c r="A1056" s="294"/>
      <c r="B1056" s="294"/>
      <c r="C1056" s="294"/>
      <c r="D1056" s="294"/>
      <c r="E1056" s="294"/>
      <c r="F1056" s="294"/>
      <c r="G1056" s="294"/>
      <c r="H1056" s="294"/>
      <c r="I1056" s="294"/>
      <c r="J1056" s="294"/>
      <c r="K1056" s="294"/>
      <c r="L1056" s="294"/>
      <c r="M1056" s="294"/>
      <c r="N1056" s="294"/>
      <c r="O1056" s="294"/>
      <c r="P1056" s="294"/>
      <c r="Q1056" s="294"/>
      <c r="R1056" s="294"/>
      <c r="S1056" s="294"/>
      <c r="T1056" s="294"/>
      <c r="U1056" s="294"/>
      <c r="V1056" s="294"/>
    </row>
    <row r="1057" s="294" customFormat="1">
      <c r="A1057" s="294"/>
      <c r="B1057" s="294"/>
      <c r="C1057" s="294"/>
      <c r="D1057" s="294"/>
      <c r="E1057" s="294"/>
      <c r="F1057" s="294"/>
      <c r="G1057" s="294"/>
      <c r="H1057" s="294"/>
      <c r="I1057" s="294"/>
      <c r="J1057" s="294"/>
      <c r="K1057" s="294"/>
      <c r="L1057" s="294"/>
      <c r="M1057" s="294"/>
      <c r="N1057" s="294"/>
      <c r="O1057" s="294"/>
      <c r="P1057" s="294"/>
      <c r="Q1057" s="294"/>
      <c r="R1057" s="294"/>
      <c r="S1057" s="294"/>
      <c r="T1057" s="294"/>
      <c r="U1057" s="294"/>
      <c r="V1057" s="294"/>
    </row>
    <row r="1058" s="294" customFormat="1">
      <c r="A1058" s="294"/>
      <c r="B1058" s="294"/>
      <c r="C1058" s="294"/>
      <c r="D1058" s="294"/>
      <c r="E1058" s="294"/>
      <c r="F1058" s="294"/>
      <c r="G1058" s="294"/>
      <c r="H1058" s="294"/>
      <c r="I1058" s="294"/>
      <c r="J1058" s="294"/>
      <c r="K1058" s="294"/>
      <c r="L1058" s="294"/>
      <c r="M1058" s="294"/>
      <c r="N1058" s="294"/>
      <c r="O1058" s="294"/>
      <c r="P1058" s="294"/>
      <c r="Q1058" s="294"/>
      <c r="R1058" s="294"/>
      <c r="S1058" s="294"/>
      <c r="T1058" s="294"/>
      <c r="U1058" s="294"/>
      <c r="V1058" s="294"/>
    </row>
    <row r="1059" s="294" customFormat="1">
      <c r="A1059" s="294"/>
      <c r="B1059" s="294"/>
      <c r="C1059" s="294"/>
      <c r="D1059" s="294"/>
      <c r="E1059" s="294"/>
      <c r="F1059" s="294"/>
      <c r="G1059" s="294"/>
      <c r="H1059" s="294"/>
      <c r="I1059" s="294"/>
      <c r="J1059" s="294"/>
      <c r="K1059" s="294"/>
      <c r="L1059" s="294"/>
      <c r="M1059" s="294"/>
      <c r="N1059" s="294"/>
      <c r="O1059" s="294"/>
      <c r="P1059" s="294"/>
      <c r="Q1059" s="294"/>
      <c r="R1059" s="294"/>
      <c r="S1059" s="294"/>
      <c r="T1059" s="294"/>
      <c r="U1059" s="294"/>
      <c r="V1059" s="294"/>
    </row>
    <row r="1060" s="294" customFormat="1">
      <c r="A1060" s="294"/>
      <c r="B1060" s="294"/>
      <c r="C1060" s="294"/>
      <c r="D1060" s="294"/>
      <c r="E1060" s="294"/>
      <c r="F1060" s="294"/>
      <c r="G1060" s="294"/>
      <c r="H1060" s="294"/>
      <c r="I1060" s="294"/>
      <c r="J1060" s="294"/>
      <c r="K1060" s="294"/>
      <c r="L1060" s="294"/>
      <c r="M1060" s="294"/>
      <c r="N1060" s="294"/>
      <c r="O1060" s="294"/>
      <c r="P1060" s="294"/>
      <c r="Q1060" s="294"/>
      <c r="R1060" s="294"/>
      <c r="S1060" s="294"/>
      <c r="T1060" s="294"/>
      <c r="U1060" s="294"/>
      <c r="V1060" s="294"/>
    </row>
    <row r="1061" s="294" customFormat="1">
      <c r="A1061" s="294"/>
      <c r="B1061" s="294"/>
      <c r="C1061" s="294"/>
      <c r="D1061" s="294"/>
      <c r="E1061" s="294"/>
      <c r="F1061" s="294"/>
      <c r="G1061" s="294"/>
      <c r="H1061" s="294"/>
      <c r="I1061" s="294"/>
      <c r="J1061" s="294"/>
      <c r="K1061" s="294"/>
      <c r="L1061" s="294"/>
      <c r="M1061" s="294"/>
      <c r="N1061" s="294"/>
      <c r="O1061" s="294"/>
      <c r="P1061" s="294"/>
      <c r="Q1061" s="294"/>
      <c r="R1061" s="294"/>
      <c r="S1061" s="294"/>
      <c r="T1061" s="294"/>
      <c r="U1061" s="294"/>
      <c r="V1061" s="294"/>
    </row>
    <row r="1062" s="294" customFormat="1">
      <c r="A1062" s="294"/>
      <c r="B1062" s="294"/>
      <c r="C1062" s="294"/>
      <c r="D1062" s="294"/>
      <c r="E1062" s="294"/>
      <c r="F1062" s="294"/>
      <c r="G1062" s="294"/>
      <c r="H1062" s="294"/>
      <c r="I1062" s="294"/>
      <c r="J1062" s="294"/>
      <c r="K1062" s="294"/>
      <c r="L1062" s="294"/>
      <c r="M1062" s="294"/>
      <c r="N1062" s="294"/>
      <c r="O1062" s="294"/>
      <c r="P1062" s="294"/>
      <c r="Q1062" s="294"/>
      <c r="R1062" s="294"/>
      <c r="S1062" s="294"/>
      <c r="T1062" s="294"/>
      <c r="U1062" s="294"/>
      <c r="V1062" s="294"/>
    </row>
    <row r="1063" s="294" customFormat="1">
      <c r="A1063" s="294"/>
      <c r="B1063" s="294"/>
      <c r="C1063" s="294"/>
      <c r="D1063" s="294"/>
      <c r="E1063" s="294"/>
      <c r="F1063" s="294"/>
      <c r="G1063" s="294"/>
      <c r="H1063" s="294"/>
      <c r="I1063" s="294"/>
      <c r="J1063" s="294"/>
      <c r="K1063" s="294"/>
      <c r="L1063" s="294"/>
      <c r="M1063" s="294"/>
      <c r="N1063" s="294"/>
      <c r="O1063" s="294"/>
      <c r="P1063" s="294"/>
      <c r="Q1063" s="294"/>
      <c r="R1063" s="294"/>
      <c r="S1063" s="294"/>
      <c r="T1063" s="294"/>
      <c r="U1063" s="294"/>
      <c r="V1063" s="294"/>
    </row>
    <row r="1064" s="294" customFormat="1">
      <c r="A1064" s="294"/>
      <c r="B1064" s="294"/>
      <c r="C1064" s="294"/>
      <c r="D1064" s="294"/>
      <c r="E1064" s="294"/>
      <c r="F1064" s="294"/>
      <c r="G1064" s="294"/>
      <c r="H1064" s="294"/>
      <c r="I1064" s="294"/>
      <c r="J1064" s="294"/>
      <c r="K1064" s="294"/>
      <c r="L1064" s="294"/>
      <c r="M1064" s="294"/>
      <c r="N1064" s="294"/>
      <c r="O1064" s="294"/>
      <c r="P1064" s="294"/>
      <c r="Q1064" s="294"/>
      <c r="R1064" s="294"/>
      <c r="S1064" s="294"/>
      <c r="T1064" s="294"/>
      <c r="U1064" s="294"/>
      <c r="V1064" s="294"/>
    </row>
    <row r="1065" s="294" customFormat="1">
      <c r="A1065" s="294"/>
      <c r="B1065" s="294"/>
      <c r="C1065" s="294"/>
      <c r="D1065" s="294"/>
      <c r="E1065" s="294"/>
      <c r="F1065" s="294"/>
      <c r="G1065" s="294"/>
      <c r="H1065" s="294"/>
      <c r="I1065" s="294"/>
      <c r="J1065" s="294"/>
      <c r="K1065" s="294"/>
      <c r="L1065" s="294"/>
      <c r="M1065" s="294"/>
      <c r="N1065" s="294"/>
      <c r="O1065" s="294"/>
      <c r="P1065" s="294"/>
      <c r="Q1065" s="294"/>
      <c r="R1065" s="294"/>
      <c r="S1065" s="294"/>
      <c r="T1065" s="294"/>
      <c r="U1065" s="294"/>
      <c r="V1065" s="294"/>
    </row>
    <row r="1066" s="294" customFormat="1">
      <c r="A1066" s="294"/>
      <c r="B1066" s="294"/>
      <c r="C1066" s="294"/>
      <c r="D1066" s="294"/>
      <c r="E1066" s="294"/>
      <c r="F1066" s="294"/>
      <c r="G1066" s="294"/>
      <c r="H1066" s="294"/>
      <c r="I1066" s="294"/>
      <c r="J1066" s="294"/>
      <c r="K1066" s="294"/>
      <c r="L1066" s="294"/>
      <c r="M1066" s="294"/>
      <c r="N1066" s="294"/>
      <c r="O1066" s="294"/>
      <c r="P1066" s="294"/>
      <c r="Q1066" s="294"/>
      <c r="R1066" s="294"/>
      <c r="S1066" s="294"/>
      <c r="T1066" s="294"/>
      <c r="U1066" s="294"/>
      <c r="V1066" s="294"/>
    </row>
    <row r="1067" s="294" customFormat="1">
      <c r="A1067" s="294"/>
      <c r="B1067" s="294"/>
      <c r="C1067" s="294"/>
      <c r="D1067" s="294"/>
      <c r="E1067" s="294"/>
      <c r="F1067" s="294"/>
      <c r="G1067" s="294"/>
      <c r="H1067" s="294"/>
      <c r="I1067" s="294"/>
      <c r="J1067" s="294"/>
      <c r="K1067" s="294"/>
      <c r="L1067" s="294"/>
      <c r="M1067" s="294"/>
      <c r="N1067" s="294"/>
      <c r="O1067" s="294"/>
      <c r="P1067" s="294"/>
      <c r="Q1067" s="294"/>
      <c r="R1067" s="294"/>
      <c r="S1067" s="294"/>
      <c r="T1067" s="294"/>
      <c r="U1067" s="294"/>
      <c r="V1067" s="294"/>
    </row>
    <row r="1068" s="294" customFormat="1">
      <c r="A1068" s="294"/>
      <c r="B1068" s="294"/>
      <c r="C1068" s="294"/>
      <c r="D1068" s="294"/>
      <c r="E1068" s="294"/>
      <c r="F1068" s="294"/>
      <c r="G1068" s="294"/>
      <c r="H1068" s="294"/>
      <c r="I1068" s="294"/>
      <c r="J1068" s="294"/>
      <c r="K1068" s="294"/>
      <c r="L1068" s="294"/>
      <c r="M1068" s="294"/>
      <c r="N1068" s="294"/>
      <c r="O1068" s="294"/>
      <c r="P1068" s="294"/>
      <c r="Q1068" s="294"/>
      <c r="R1068" s="294"/>
      <c r="S1068" s="294"/>
      <c r="T1068" s="294"/>
      <c r="U1068" s="294"/>
      <c r="V1068" s="294"/>
    </row>
    <row r="1069" s="294" customFormat="1">
      <c r="A1069" s="294"/>
      <c r="B1069" s="294"/>
      <c r="C1069" s="294"/>
      <c r="D1069" s="294"/>
      <c r="E1069" s="294"/>
      <c r="F1069" s="294"/>
      <c r="G1069" s="294"/>
      <c r="H1069" s="294"/>
      <c r="I1069" s="294"/>
      <c r="J1069" s="294"/>
      <c r="K1069" s="294"/>
      <c r="L1069" s="294"/>
      <c r="M1069" s="294"/>
      <c r="N1069" s="294"/>
      <c r="O1069" s="294"/>
      <c r="P1069" s="294"/>
      <c r="Q1069" s="294"/>
      <c r="R1069" s="294"/>
      <c r="S1069" s="294"/>
      <c r="T1069" s="294"/>
      <c r="U1069" s="294"/>
      <c r="V1069" s="294"/>
    </row>
    <row r="1070" s="294" customFormat="1">
      <c r="A1070" s="294"/>
      <c r="B1070" s="294"/>
      <c r="C1070" s="294"/>
      <c r="D1070" s="294"/>
      <c r="E1070" s="294"/>
      <c r="F1070" s="294"/>
      <c r="G1070" s="294"/>
      <c r="H1070" s="294"/>
      <c r="I1070" s="294"/>
      <c r="J1070" s="294"/>
      <c r="K1070" s="294"/>
      <c r="L1070" s="294"/>
      <c r="M1070" s="294"/>
      <c r="N1070" s="294"/>
      <c r="O1070" s="294"/>
      <c r="P1070" s="294"/>
      <c r="Q1070" s="294"/>
      <c r="R1070" s="294"/>
      <c r="S1070" s="294"/>
      <c r="T1070" s="294"/>
      <c r="U1070" s="294"/>
      <c r="V1070" s="294"/>
    </row>
    <row r="1071" s="294" customFormat="1">
      <c r="A1071" s="294"/>
      <c r="B1071" s="294"/>
      <c r="C1071" s="294"/>
      <c r="D1071" s="294"/>
      <c r="E1071" s="294"/>
      <c r="F1071" s="294"/>
      <c r="G1071" s="294"/>
      <c r="H1071" s="294"/>
      <c r="I1071" s="294"/>
      <c r="J1071" s="294"/>
      <c r="K1071" s="294"/>
      <c r="L1071" s="294"/>
      <c r="M1071" s="294"/>
      <c r="N1071" s="294"/>
      <c r="O1071" s="294"/>
      <c r="P1071" s="294"/>
      <c r="Q1071" s="294"/>
      <c r="R1071" s="294"/>
      <c r="S1071" s="294"/>
      <c r="T1071" s="294"/>
      <c r="U1071" s="294"/>
      <c r="V1071" s="294"/>
    </row>
    <row r="1072" s="294" customFormat="1">
      <c r="A1072" s="294"/>
      <c r="B1072" s="294"/>
      <c r="C1072" s="294"/>
      <c r="D1072" s="294"/>
      <c r="E1072" s="294"/>
      <c r="F1072" s="294"/>
      <c r="G1072" s="294"/>
      <c r="H1072" s="294"/>
      <c r="I1072" s="294"/>
      <c r="J1072" s="294"/>
      <c r="K1072" s="294"/>
      <c r="L1072" s="294"/>
      <c r="M1072" s="294"/>
      <c r="N1072" s="294"/>
      <c r="O1072" s="294"/>
      <c r="P1072" s="294"/>
      <c r="Q1072" s="294"/>
      <c r="R1072" s="294"/>
      <c r="S1072" s="294"/>
      <c r="T1072" s="294"/>
      <c r="U1072" s="294"/>
      <c r="V1072" s="294"/>
    </row>
    <row r="1073" s="294" customFormat="1">
      <c r="A1073" s="294"/>
      <c r="B1073" s="294"/>
      <c r="C1073" s="294"/>
      <c r="D1073" s="294"/>
      <c r="E1073" s="294"/>
      <c r="F1073" s="294"/>
      <c r="G1073" s="294"/>
      <c r="H1073" s="294"/>
      <c r="I1073" s="294"/>
      <c r="J1073" s="294"/>
      <c r="K1073" s="294"/>
      <c r="L1073" s="294"/>
      <c r="M1073" s="294"/>
      <c r="N1073" s="294"/>
      <c r="O1073" s="294"/>
      <c r="P1073" s="294"/>
      <c r="Q1073" s="294"/>
      <c r="R1073" s="294"/>
      <c r="S1073" s="294"/>
      <c r="T1073" s="294"/>
      <c r="U1073" s="294"/>
      <c r="V1073" s="294"/>
    </row>
    <row r="1074" s="294" customFormat="1">
      <c r="A1074" s="294"/>
      <c r="B1074" s="294"/>
      <c r="C1074" s="294"/>
      <c r="D1074" s="294"/>
      <c r="E1074" s="294"/>
      <c r="F1074" s="294"/>
      <c r="G1074" s="294"/>
      <c r="H1074" s="294"/>
      <c r="I1074" s="294"/>
      <c r="J1074" s="294"/>
      <c r="K1074" s="294"/>
      <c r="L1074" s="294"/>
      <c r="M1074" s="294"/>
      <c r="N1074" s="294"/>
      <c r="O1074" s="294"/>
      <c r="P1074" s="294"/>
      <c r="Q1074" s="294"/>
      <c r="R1074" s="294"/>
      <c r="S1074" s="294"/>
      <c r="T1074" s="294"/>
      <c r="U1074" s="294"/>
      <c r="V1074" s="294"/>
    </row>
    <row r="1075" s="294" customFormat="1">
      <c r="A1075" s="294"/>
      <c r="B1075" s="294"/>
      <c r="C1075" s="294"/>
      <c r="D1075" s="294"/>
      <c r="E1075" s="294"/>
      <c r="F1075" s="294"/>
      <c r="G1075" s="294"/>
      <c r="H1075" s="294"/>
      <c r="I1075" s="294"/>
      <c r="J1075" s="294"/>
      <c r="K1075" s="294"/>
      <c r="L1075" s="294"/>
      <c r="M1075" s="294"/>
      <c r="N1075" s="294"/>
      <c r="O1075" s="294"/>
      <c r="P1075" s="294"/>
      <c r="Q1075" s="294"/>
      <c r="R1075" s="294"/>
      <c r="S1075" s="294"/>
      <c r="T1075" s="294"/>
      <c r="U1075" s="294"/>
      <c r="V1075" s="294"/>
    </row>
    <row r="1076" s="294" customFormat="1">
      <c r="A1076" s="294"/>
      <c r="B1076" s="294"/>
      <c r="C1076" s="294"/>
      <c r="D1076" s="294"/>
      <c r="E1076" s="294"/>
      <c r="F1076" s="294"/>
      <c r="G1076" s="294"/>
      <c r="H1076" s="294"/>
      <c r="I1076" s="294"/>
      <c r="J1076" s="294"/>
      <c r="K1076" s="294"/>
      <c r="L1076" s="294"/>
      <c r="M1076" s="294"/>
      <c r="N1076" s="294"/>
      <c r="O1076" s="294"/>
      <c r="P1076" s="294"/>
      <c r="Q1076" s="294"/>
      <c r="R1076" s="294"/>
      <c r="S1076" s="294"/>
      <c r="T1076" s="294"/>
      <c r="U1076" s="294"/>
      <c r="V1076" s="294"/>
    </row>
    <row r="1077" s="294" customFormat="1">
      <c r="A1077" s="294"/>
      <c r="B1077" s="294"/>
      <c r="C1077" s="294"/>
      <c r="D1077" s="294"/>
      <c r="E1077" s="294"/>
      <c r="F1077" s="294"/>
      <c r="G1077" s="294"/>
      <c r="H1077" s="294"/>
      <c r="I1077" s="294"/>
      <c r="J1077" s="294"/>
      <c r="K1077" s="294"/>
      <c r="L1077" s="294"/>
      <c r="M1077" s="294"/>
      <c r="N1077" s="294"/>
      <c r="O1077" s="294"/>
      <c r="P1077" s="294"/>
      <c r="Q1077" s="294"/>
      <c r="R1077" s="294"/>
      <c r="S1077" s="294"/>
      <c r="T1077" s="294"/>
      <c r="U1077" s="294"/>
      <c r="V1077" s="294"/>
    </row>
    <row r="1078" s="294" customFormat="1">
      <c r="A1078" s="294"/>
      <c r="B1078" s="294"/>
      <c r="C1078" s="294"/>
      <c r="D1078" s="294"/>
      <c r="E1078" s="294"/>
      <c r="F1078" s="294"/>
      <c r="G1078" s="294"/>
      <c r="H1078" s="294"/>
      <c r="I1078" s="294"/>
      <c r="J1078" s="294"/>
      <c r="K1078" s="294"/>
      <c r="L1078" s="294"/>
      <c r="M1078" s="294"/>
      <c r="N1078" s="294"/>
      <c r="O1078" s="294"/>
      <c r="P1078" s="294"/>
      <c r="Q1078" s="294"/>
      <c r="R1078" s="294"/>
      <c r="S1078" s="294"/>
      <c r="T1078" s="294"/>
      <c r="U1078" s="294"/>
      <c r="V1078" s="294"/>
    </row>
    <row r="1079" s="294" customFormat="1">
      <c r="A1079" s="294"/>
      <c r="B1079" s="294"/>
      <c r="C1079" s="294"/>
      <c r="D1079" s="294"/>
      <c r="E1079" s="294"/>
      <c r="F1079" s="294"/>
      <c r="G1079" s="294"/>
      <c r="H1079" s="294"/>
      <c r="I1079" s="294"/>
      <c r="J1079" s="294"/>
      <c r="K1079" s="294"/>
      <c r="L1079" s="294"/>
      <c r="M1079" s="294"/>
      <c r="N1079" s="294"/>
      <c r="O1079" s="294"/>
      <c r="P1079" s="294"/>
      <c r="Q1079" s="294"/>
      <c r="R1079" s="294"/>
      <c r="S1079" s="294"/>
      <c r="T1079" s="294"/>
      <c r="U1079" s="294"/>
      <c r="V1079" s="294"/>
    </row>
    <row r="1080" s="294" customFormat="1">
      <c r="A1080" s="294"/>
      <c r="B1080" s="294"/>
      <c r="C1080" s="294"/>
      <c r="D1080" s="294"/>
      <c r="E1080" s="294"/>
      <c r="F1080" s="294"/>
      <c r="G1080" s="294"/>
      <c r="H1080" s="294"/>
      <c r="I1080" s="294"/>
      <c r="J1080" s="294"/>
      <c r="K1080" s="294"/>
      <c r="L1080" s="294"/>
      <c r="M1080" s="294"/>
      <c r="N1080" s="294"/>
      <c r="O1080" s="294"/>
      <c r="P1080" s="294"/>
      <c r="Q1080" s="294"/>
      <c r="R1080" s="294"/>
      <c r="S1080" s="294"/>
      <c r="T1080" s="294"/>
      <c r="U1080" s="294"/>
      <c r="V1080" s="294"/>
    </row>
    <row r="1081" s="294" customFormat="1">
      <c r="A1081" s="294"/>
      <c r="B1081" s="294"/>
      <c r="C1081" s="294"/>
      <c r="D1081" s="294"/>
      <c r="E1081" s="294"/>
      <c r="F1081" s="294"/>
      <c r="G1081" s="294"/>
      <c r="H1081" s="294"/>
      <c r="I1081" s="294"/>
      <c r="J1081" s="294"/>
      <c r="K1081" s="294"/>
      <c r="L1081" s="294"/>
      <c r="M1081" s="294"/>
      <c r="N1081" s="294"/>
      <c r="O1081" s="294"/>
      <c r="P1081" s="294"/>
      <c r="Q1081" s="294"/>
      <c r="R1081" s="294"/>
      <c r="S1081" s="294"/>
      <c r="T1081" s="294"/>
      <c r="U1081" s="294"/>
      <c r="V1081" s="294"/>
    </row>
    <row r="1082" s="294" customFormat="1">
      <c r="A1082" s="294"/>
      <c r="B1082" s="294"/>
      <c r="C1082" s="294"/>
      <c r="D1082" s="294"/>
      <c r="E1082" s="294"/>
      <c r="F1082" s="294"/>
      <c r="G1082" s="294"/>
      <c r="H1082" s="294"/>
      <c r="I1082" s="294"/>
      <c r="J1082" s="294"/>
      <c r="K1082" s="294"/>
      <c r="L1082" s="294"/>
      <c r="M1082" s="294"/>
      <c r="N1082" s="294"/>
      <c r="O1082" s="294"/>
      <c r="P1082" s="294"/>
      <c r="Q1082" s="294"/>
      <c r="R1082" s="294"/>
      <c r="S1082" s="294"/>
      <c r="T1082" s="294"/>
      <c r="U1082" s="294"/>
      <c r="V1082" s="294"/>
    </row>
    <row r="1083" s="294" customFormat="1">
      <c r="A1083" s="294"/>
      <c r="B1083" s="294"/>
      <c r="C1083" s="294"/>
      <c r="D1083" s="294"/>
      <c r="E1083" s="294"/>
      <c r="F1083" s="294"/>
      <c r="G1083" s="294"/>
      <c r="H1083" s="294"/>
      <c r="I1083" s="294"/>
      <c r="J1083" s="294"/>
      <c r="K1083" s="294"/>
      <c r="L1083" s="294"/>
      <c r="M1083" s="294"/>
      <c r="N1083" s="294"/>
      <c r="O1083" s="294"/>
      <c r="P1083" s="294"/>
      <c r="Q1083" s="294"/>
      <c r="R1083" s="294"/>
      <c r="S1083" s="294"/>
      <c r="T1083" s="294"/>
      <c r="U1083" s="294"/>
      <c r="V1083" s="294"/>
    </row>
    <row r="1084" ht="14.25"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</row>
    <row r="1085" ht="14.25"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</row>
    <row r="1086" ht="14.25"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</row>
    <row r="1087" ht="14.25"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</row>
    <row r="1088" ht="14.25"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</row>
    <row r="1089" ht="14.25"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</row>
    <row r="1090" ht="14.25"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</row>
    <row r="1091" ht="14.25"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</row>
    <row r="1092" ht="14.25"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</row>
    <row r="1093" ht="14.25"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</row>
    <row r="1094" ht="14.25"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</row>
    <row r="1095" ht="14.25"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</row>
    <row r="1096" ht="14.25"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</row>
    <row r="1097" ht="14.25"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</row>
    <row r="1098" ht="14.25"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</row>
    <row r="1099" ht="14.25"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</row>
    <row r="1100" ht="14.25"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</row>
    <row r="1101" ht="14.25"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</row>
    <row r="1102" ht="14.25"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</row>
    <row r="1103" ht="14.25"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</row>
    <row r="1104" ht="14.25"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</row>
    <row r="1105" ht="14.25"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</row>
    <row r="1106" ht="14.25"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</row>
    <row r="1107" ht="14.25"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</row>
    <row r="1108" ht="14.25"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</row>
    <row r="1109" ht="14.25"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</row>
    <row r="1110" ht="14.25"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</row>
    <row r="1111" ht="14.25"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</row>
    <row r="1112" ht="14.25"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</row>
    <row r="1113" ht="14.25"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</row>
    <row r="1114" ht="14.25"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</row>
    <row r="1115" ht="14.25"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</row>
    <row r="1116" ht="14.25"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</row>
    <row r="1117" ht="14.25"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</row>
    <row r="1118" ht="14.25"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</row>
    <row r="1119" ht="14.25"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</row>
    <row r="1120" ht="14.25"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</row>
    <row r="1121" ht="14.25"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</row>
    <row r="1122" ht="14.25"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</row>
    <row r="1123" ht="14.25"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</row>
    <row r="1124" ht="14.25"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</row>
    <row r="1125" ht="14.25"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</row>
    <row r="1126" ht="14.25"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</row>
    <row r="1127" ht="14.25"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</row>
    <row r="1128" ht="14.25"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</row>
    <row r="1129" ht="14.25"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</row>
    <row r="1130" ht="14.25"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</row>
    <row r="1131" ht="14.25"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</row>
    <row r="1132" ht="14.25"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</row>
    <row r="1133" ht="14.25"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</row>
    <row r="1134" ht="14.25"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</row>
    <row r="1135" ht="14.25"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</row>
    <row r="1136" ht="14.25"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</row>
    <row r="1137" ht="14.25"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</row>
    <row r="1138" ht="14.25"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</row>
    <row r="1139" ht="14.25"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</row>
    <row r="1140" ht="14.25">
      <c r="M1140" s="3"/>
      <c r="Q1140" s="3"/>
      <c r="R1140" s="3"/>
    </row>
    <row r="1141" ht="14.25"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</row>
    <row r="1142" ht="14.25"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</row>
    <row r="1143" ht="14.25">
      <c r="M1143" s="3"/>
      <c r="Q1143" s="3"/>
      <c r="R1143" s="3"/>
    </row>
  </sheetData>
  <mergeCells count="124">
    <mergeCell ref="R1:V1"/>
    <mergeCell ref="R3:V3"/>
    <mergeCell ref="R4:V4"/>
    <mergeCell ref="R5:V5"/>
    <mergeCell ref="R6:V6"/>
    <mergeCell ref="R7:V7"/>
    <mergeCell ref="R8:V8"/>
    <mergeCell ref="A11:V11"/>
    <mergeCell ref="A12:V12"/>
    <mergeCell ref="A13:V13"/>
    <mergeCell ref="A14:A17"/>
    <mergeCell ref="B14:B17"/>
    <mergeCell ref="C14:C17"/>
    <mergeCell ref="D14:E14"/>
    <mergeCell ref="F14:F17"/>
    <mergeCell ref="G14:G17"/>
    <mergeCell ref="H14:H17"/>
    <mergeCell ref="I14:I16"/>
    <mergeCell ref="J14:K14"/>
    <mergeCell ref="L14:L16"/>
    <mergeCell ref="M14:S14"/>
    <mergeCell ref="T14:T16"/>
    <mergeCell ref="U14:U16"/>
    <mergeCell ref="V14:V17"/>
    <mergeCell ref="D15:D17"/>
    <mergeCell ref="E15:E17"/>
    <mergeCell ref="J15:J16"/>
    <mergeCell ref="K15:K16"/>
    <mergeCell ref="M15:M16"/>
    <mergeCell ref="N15:S15"/>
    <mergeCell ref="A20:B20"/>
    <mergeCell ref="A21:B21"/>
    <mergeCell ref="A222:B222"/>
    <mergeCell ref="A227:B227"/>
    <mergeCell ref="A236:B236"/>
    <mergeCell ref="A242:B242"/>
    <mergeCell ref="A266:B266"/>
    <mergeCell ref="A268:B268"/>
    <mergeCell ref="A276:B276"/>
    <mergeCell ref="A279:B279"/>
    <mergeCell ref="A295:B295"/>
    <mergeCell ref="A312:B312"/>
    <mergeCell ref="A315:B315"/>
    <mergeCell ref="A318:B318"/>
    <mergeCell ref="A324:B324"/>
    <mergeCell ref="A338:B338"/>
    <mergeCell ref="A344:B344"/>
    <mergeCell ref="A359:B359"/>
    <mergeCell ref="A370:B370"/>
    <mergeCell ref="A380:B380"/>
    <mergeCell ref="A381:B381"/>
    <mergeCell ref="A383:B383"/>
    <mergeCell ref="A386:B386"/>
    <mergeCell ref="A389:B389"/>
    <mergeCell ref="A392:B392"/>
    <mergeCell ref="A398:B398"/>
    <mergeCell ref="A406:B406"/>
    <mergeCell ref="A411:B411"/>
    <mergeCell ref="A423:B423"/>
    <mergeCell ref="A424:B424"/>
    <mergeCell ref="A442:B442"/>
    <mergeCell ref="A460:B460"/>
    <mergeCell ref="A464:B464"/>
    <mergeCell ref="A468:B468"/>
    <mergeCell ref="A469:B469"/>
    <mergeCell ref="A641:B641"/>
    <mergeCell ref="A643:B643"/>
    <mergeCell ref="A647:B647"/>
    <mergeCell ref="A656:B656"/>
    <mergeCell ref="A671:B671"/>
    <mergeCell ref="A676:B676"/>
    <mergeCell ref="A683:B683"/>
    <mergeCell ref="A687:B687"/>
    <mergeCell ref="A690:B690"/>
    <mergeCell ref="A707:B707"/>
    <mergeCell ref="A711:B711"/>
    <mergeCell ref="A713:B713"/>
    <mergeCell ref="A716:B716"/>
    <mergeCell ref="A722:B722"/>
    <mergeCell ref="A730:B730"/>
    <mergeCell ref="A754:B754"/>
    <mergeCell ref="A761:B761"/>
    <mergeCell ref="A770:B770"/>
    <mergeCell ref="A775:B775"/>
    <mergeCell ref="A778:B778"/>
    <mergeCell ref="A780:B780"/>
    <mergeCell ref="A784:B784"/>
    <mergeCell ref="A793:B793"/>
    <mergeCell ref="A812:B812"/>
    <mergeCell ref="A814:B814"/>
    <mergeCell ref="A836:B836"/>
    <mergeCell ref="A837:B837"/>
    <mergeCell ref="A867:B867"/>
    <mergeCell ref="A869:B869"/>
    <mergeCell ref="A871:B871"/>
    <mergeCell ref="A881:B881"/>
    <mergeCell ref="A883:B883"/>
    <mergeCell ref="A892:B892"/>
    <mergeCell ref="A894:B894"/>
    <mergeCell ref="A900:B900"/>
    <mergeCell ref="A904:B904"/>
    <mergeCell ref="A909:B909"/>
    <mergeCell ref="A913:B913"/>
    <mergeCell ref="A916:B916"/>
    <mergeCell ref="A921:B921"/>
    <mergeCell ref="A925:B925"/>
    <mergeCell ref="A928:B928"/>
    <mergeCell ref="A934:B934"/>
    <mergeCell ref="A937:B937"/>
    <mergeCell ref="A952:B952"/>
    <mergeCell ref="A961:B961"/>
    <mergeCell ref="A962:V962"/>
    <mergeCell ref="A963:B963"/>
    <mergeCell ref="A964:B964"/>
    <mergeCell ref="A1000:B1000"/>
    <mergeCell ref="A1002:B1002"/>
    <mergeCell ref="A1004:B1004"/>
    <mergeCell ref="A1006:B1006"/>
    <mergeCell ref="A1009:B1009"/>
    <mergeCell ref="A1024:B1024"/>
    <mergeCell ref="A1029:B1029"/>
    <mergeCell ref="A1032:B1032"/>
    <mergeCell ref="A1036:B1036"/>
    <mergeCell ref="A1039:B1039"/>
  </mergeCells>
  <printOptions headings="0" gridLines="0"/>
  <pageMargins left="0.31496062992125984" right="0.11811023622047245" top="0.57874015748031493" bottom="0.33858267716535428" header="0.31496062992125984" footer="0.28000000000000003"/>
  <pageSetup paperSize="9" scale="45" firstPageNumber="3" fitToWidth="1" fitToHeight="1" pageOrder="downThenOver" orientation="landscape" usePrinterDefaults="1" blackAndWhite="0" draft="0" cellComments="none" useFirstPageNumber="1" errors="displayed" horizontalDpi="600" verticalDpi="600" copies="1"/>
  <headerFooter>
    <oddHeader>&amp;C&amp;"Times New Roman,Regular "&amp;20&amp;P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85" workbookViewId="0">
      <selection activeCell="I14" activeCellId="0" sqref="I14"/>
    </sheetView>
  </sheetViews>
  <sheetFormatPr defaultRowHeight="14.25"/>
  <cols>
    <col customWidth="1" min="1" max="1" style="3" width="6.33203125"/>
    <col customWidth="1" min="2" max="2" style="1" width="48"/>
    <col customWidth="1" min="3" max="3" style="1" width="13.44140625"/>
    <col customWidth="1" min="4" max="4" style="1" width="16.88671875"/>
    <col customWidth="1" min="5" max="6" style="1" width="10.6640625"/>
    <col customWidth="1" min="7" max="8" style="1" width="11.5546875"/>
    <col customWidth="1" min="9" max="9" style="1" width="10.6640625"/>
    <col customWidth="1" min="10" max="10" style="1" width="10.109375"/>
    <col customWidth="1" min="11" max="12" style="1" width="11.44140625"/>
    <col customWidth="1" min="13" max="13" style="1" width="18"/>
    <col customWidth="1" min="14" max="14" style="1" width="20.88671875"/>
    <col customWidth="1" min="15" max="15" style="6" width="21.88671875"/>
    <col customWidth="1" min="16" max="16" width="19.5546875"/>
  </cols>
  <sheetData>
    <row r="1" ht="8.25" customHeight="1">
      <c r="K1" s="1"/>
      <c r="L1" s="1"/>
      <c r="M1" s="1"/>
      <c r="N1" s="1"/>
    </row>
    <row r="2" ht="36" customHeight="1">
      <c r="A2" s="326" t="s">
        <v>841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</row>
    <row r="4" ht="51" customHeight="1">
      <c r="A4" s="327" t="s">
        <v>8</v>
      </c>
      <c r="B4" s="327" t="s">
        <v>842</v>
      </c>
      <c r="C4" s="327" t="s">
        <v>843</v>
      </c>
      <c r="D4" s="327" t="s">
        <v>844</v>
      </c>
      <c r="E4" s="327" t="s">
        <v>845</v>
      </c>
      <c r="F4" s="327"/>
      <c r="G4" s="327"/>
      <c r="H4" s="327"/>
      <c r="I4" s="327"/>
      <c r="J4" s="327" t="s">
        <v>18</v>
      </c>
      <c r="K4" s="327"/>
      <c r="L4" s="327"/>
      <c r="M4" s="327"/>
      <c r="N4" s="327"/>
    </row>
    <row r="5" ht="55.5" customHeight="1">
      <c r="A5" s="327"/>
      <c r="B5" s="327"/>
      <c r="C5" s="327"/>
      <c r="D5" s="327"/>
      <c r="E5" s="327" t="s">
        <v>846</v>
      </c>
      <c r="F5" s="327" t="s">
        <v>847</v>
      </c>
      <c r="G5" s="327" t="s">
        <v>848</v>
      </c>
      <c r="H5" s="327" t="s">
        <v>849</v>
      </c>
      <c r="I5" s="327" t="s">
        <v>850</v>
      </c>
      <c r="J5" s="327" t="s">
        <v>846</v>
      </c>
      <c r="K5" s="327" t="s">
        <v>847</v>
      </c>
      <c r="L5" s="327" t="s">
        <v>848</v>
      </c>
      <c r="M5" s="327" t="s">
        <v>849</v>
      </c>
      <c r="N5" s="327" t="s">
        <v>850</v>
      </c>
    </row>
    <row r="6">
      <c r="A6" s="327"/>
      <c r="B6" s="327"/>
      <c r="C6" s="327" t="s">
        <v>33</v>
      </c>
      <c r="D6" s="327" t="s">
        <v>34</v>
      </c>
      <c r="E6" s="327" t="s">
        <v>851</v>
      </c>
      <c r="F6" s="327" t="s">
        <v>851</v>
      </c>
      <c r="G6" s="327" t="s">
        <v>851</v>
      </c>
      <c r="H6" s="327" t="s">
        <v>851</v>
      </c>
      <c r="I6" s="327" t="s">
        <v>851</v>
      </c>
      <c r="J6" s="327" t="s">
        <v>35</v>
      </c>
      <c r="K6" s="327" t="s">
        <v>35</v>
      </c>
      <c r="L6" s="327" t="s">
        <v>35</v>
      </c>
      <c r="M6" s="327" t="s">
        <v>35</v>
      </c>
      <c r="N6" s="327" t="s">
        <v>35</v>
      </c>
    </row>
    <row r="7">
      <c r="A7" s="327">
        <v>1</v>
      </c>
      <c r="B7" s="327">
        <v>2</v>
      </c>
      <c r="C7" s="327">
        <v>3</v>
      </c>
      <c r="D7" s="327">
        <v>4</v>
      </c>
      <c r="E7" s="327">
        <v>5</v>
      </c>
      <c r="F7" s="327">
        <v>6</v>
      </c>
      <c r="G7" s="327">
        <v>7</v>
      </c>
      <c r="H7" s="327">
        <v>8</v>
      </c>
      <c r="I7" s="327">
        <v>9</v>
      </c>
      <c r="J7" s="327">
        <v>10</v>
      </c>
      <c r="K7" s="327">
        <v>11</v>
      </c>
      <c r="L7" s="327">
        <v>12</v>
      </c>
      <c r="M7" s="327">
        <v>13</v>
      </c>
      <c r="N7" s="327">
        <v>14</v>
      </c>
    </row>
    <row r="8" s="328" customFormat="1" ht="22.5" customHeight="1">
      <c r="A8" s="329"/>
      <c r="B8" s="330" t="s">
        <v>37</v>
      </c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2"/>
    </row>
    <row r="9" s="333" customFormat="1" ht="20.100000000000001" customHeight="1">
      <c r="A9" s="334"/>
      <c r="B9" s="335" t="s">
        <v>760</v>
      </c>
      <c r="C9" s="336">
        <f>SUM(C10:C28)+SUM(C32:C37)</f>
        <v>1314660.9100000001</v>
      </c>
      <c r="D9" s="337">
        <f>SUM(D10:D28)+SUM(D32:D37)</f>
        <v>40563</v>
      </c>
      <c r="E9" s="337">
        <f>SUM(E10:E28)+SUM(E32:E37)</f>
        <v>0</v>
      </c>
      <c r="F9" s="337">
        <f>SUM(F10:F28)+SUM(F32:F37)</f>
        <v>0</v>
      </c>
      <c r="G9" s="337">
        <f>SUM(G10:G28)+SUM(G32:G37)</f>
        <v>0</v>
      </c>
      <c r="H9" s="337">
        <f>SUM(H10:H28)+SUM(H32:H37)</f>
        <v>413</v>
      </c>
      <c r="I9" s="337">
        <f>SUM(I10:I28)+SUM(I32:I37)</f>
        <v>413</v>
      </c>
      <c r="J9" s="336">
        <f>SUM(J10:J28)+SUM(J32:J37)</f>
        <v>0</v>
      </c>
      <c r="K9" s="336">
        <f>SUM(K10:K28)+SUM(K32:K37)</f>
        <v>0</v>
      </c>
      <c r="L9" s="336">
        <f>SUM(L10:L28)+SUM(L32:L37)</f>
        <v>0</v>
      </c>
      <c r="M9" s="336">
        <f>SUM(M10:M28)+SUM(M32:M37)</f>
        <v>1485965787.3800006</v>
      </c>
      <c r="N9" s="336">
        <f>SUM(N10:N28)+SUM(N32:N37)</f>
        <v>1485965787.3800006</v>
      </c>
      <c r="O9" s="338"/>
    </row>
    <row r="10" s="294" customFormat="1" ht="22.5" customHeight="1">
      <c r="A10" s="175">
        <v>1</v>
      </c>
      <c r="B10" s="260" t="s">
        <v>852</v>
      </c>
      <c r="C10" s="339">
        <f>'Таблица 1'!I21</f>
        <v>800676.82000000007</v>
      </c>
      <c r="D10" s="340">
        <f>'Таблица 1'!L21</f>
        <v>24417</v>
      </c>
      <c r="E10" s="340">
        <v>0</v>
      </c>
      <c r="F10" s="340">
        <v>0</v>
      </c>
      <c r="G10" s="340">
        <v>0</v>
      </c>
      <c r="H10" s="340">
        <v>200</v>
      </c>
      <c r="I10" s="340">
        <f t="shared" ref="I10:I36" si="189">H10</f>
        <v>200</v>
      </c>
      <c r="J10" s="339">
        <v>0</v>
      </c>
      <c r="K10" s="339">
        <v>0</v>
      </c>
      <c r="L10" s="339">
        <v>0</v>
      </c>
      <c r="M10" s="339">
        <f>'Таблица 1'!M21</f>
        <v>888437309.85000038</v>
      </c>
      <c r="N10" s="339">
        <f t="shared" ref="N10:N36" si="190">M10</f>
        <v>888437309.85000038</v>
      </c>
      <c r="O10" s="294"/>
    </row>
    <row r="11" s="294" customFormat="1" ht="22.5" customHeight="1">
      <c r="A11" s="175">
        <v>2</v>
      </c>
      <c r="B11" s="260" t="s">
        <v>853</v>
      </c>
      <c r="C11" s="339">
        <f>'Таблица 1'!I222</f>
        <v>4229.6700000000001</v>
      </c>
      <c r="D11" s="340">
        <f>'Таблица 1'!L222</f>
        <v>129</v>
      </c>
      <c r="E11" s="340">
        <v>0</v>
      </c>
      <c r="F11" s="340">
        <v>0</v>
      </c>
      <c r="G11" s="340">
        <v>0</v>
      </c>
      <c r="H11" s="340">
        <v>4</v>
      </c>
      <c r="I11" s="340">
        <f t="shared" si="189"/>
        <v>4</v>
      </c>
      <c r="J11" s="339">
        <v>0</v>
      </c>
      <c r="K11" s="339">
        <v>0</v>
      </c>
      <c r="L11" s="339">
        <v>0</v>
      </c>
      <c r="M11" s="339">
        <f>'Таблица 1'!M222</f>
        <v>3857022.2100000004</v>
      </c>
      <c r="N11" s="339">
        <f t="shared" si="190"/>
        <v>3857022.2100000004</v>
      </c>
      <c r="O11" s="294"/>
    </row>
    <row r="12" s="294" customFormat="1" ht="22.5" customHeight="1">
      <c r="A12" s="175">
        <v>3</v>
      </c>
      <c r="B12" s="260" t="s">
        <v>854</v>
      </c>
      <c r="C12" s="339">
        <f>'Таблица 1'!I227</f>
        <v>42614</v>
      </c>
      <c r="D12" s="340">
        <f>'Таблица 1'!L227</f>
        <v>1576</v>
      </c>
      <c r="E12" s="340">
        <v>0</v>
      </c>
      <c r="F12" s="340">
        <v>0</v>
      </c>
      <c r="G12" s="340">
        <v>0</v>
      </c>
      <c r="H12" s="340">
        <v>8</v>
      </c>
      <c r="I12" s="340">
        <f t="shared" si="189"/>
        <v>8</v>
      </c>
      <c r="J12" s="339">
        <v>0</v>
      </c>
      <c r="K12" s="339">
        <v>0</v>
      </c>
      <c r="L12" s="339">
        <v>0</v>
      </c>
      <c r="M12" s="339">
        <f>'Таблица 1'!M227</f>
        <v>7365317.75</v>
      </c>
      <c r="N12" s="339">
        <f t="shared" si="190"/>
        <v>7365317.75</v>
      </c>
      <c r="O12" s="294"/>
    </row>
    <row r="13" s="294" customFormat="1" ht="22.5" customHeight="1">
      <c r="A13" s="175">
        <v>4</v>
      </c>
      <c r="B13" s="260" t="s">
        <v>855</v>
      </c>
      <c r="C13" s="339">
        <f>'Таблица 1'!I236</f>
        <v>3296.4000000000005</v>
      </c>
      <c r="D13" s="340">
        <f>'Таблица 1'!L236</f>
        <v>103</v>
      </c>
      <c r="E13" s="340">
        <v>0</v>
      </c>
      <c r="F13" s="340">
        <v>0</v>
      </c>
      <c r="G13" s="340">
        <v>0</v>
      </c>
      <c r="H13" s="340">
        <v>5</v>
      </c>
      <c r="I13" s="340">
        <f t="shared" si="189"/>
        <v>5</v>
      </c>
      <c r="J13" s="339">
        <v>0</v>
      </c>
      <c r="K13" s="339">
        <v>0</v>
      </c>
      <c r="L13" s="339">
        <v>0</v>
      </c>
      <c r="M13" s="339">
        <f>'Таблица 1'!M236</f>
        <v>9014672.9400000013</v>
      </c>
      <c r="N13" s="339">
        <f t="shared" si="190"/>
        <v>9014672.9400000013</v>
      </c>
      <c r="O13" s="294"/>
    </row>
    <row r="14" s="294" customFormat="1" ht="22.5" customHeight="1">
      <c r="A14" s="175">
        <v>5</v>
      </c>
      <c r="B14" s="260" t="s">
        <v>856</v>
      </c>
      <c r="C14" s="339">
        <f>'Таблица 1'!I242</f>
        <v>45731.290000000001</v>
      </c>
      <c r="D14" s="340">
        <f>'Таблица 1'!L242</f>
        <v>1522</v>
      </c>
      <c r="E14" s="340">
        <v>0</v>
      </c>
      <c r="F14" s="340">
        <v>0</v>
      </c>
      <c r="G14" s="340">
        <v>0</v>
      </c>
      <c r="H14" s="340">
        <v>23</v>
      </c>
      <c r="I14" s="340">
        <f t="shared" si="189"/>
        <v>23</v>
      </c>
      <c r="J14" s="339">
        <v>0</v>
      </c>
      <c r="K14" s="339">
        <v>0</v>
      </c>
      <c r="L14" s="339">
        <v>0</v>
      </c>
      <c r="M14" s="339">
        <f>'Таблица 1'!M242</f>
        <v>64534463.560000002</v>
      </c>
      <c r="N14" s="339">
        <f t="shared" si="190"/>
        <v>64534463.560000002</v>
      </c>
      <c r="O14" s="294"/>
    </row>
    <row r="15" s="294" customFormat="1" ht="22.5" customHeight="1">
      <c r="A15" s="175">
        <v>6</v>
      </c>
      <c r="B15" s="260" t="s">
        <v>857</v>
      </c>
      <c r="C15" s="339">
        <f>'Таблица 1'!I266</f>
        <v>555.10000000000002</v>
      </c>
      <c r="D15" s="340">
        <f>'Таблица 1'!L266</f>
        <v>24</v>
      </c>
      <c r="E15" s="340">
        <v>0</v>
      </c>
      <c r="F15" s="340">
        <v>0</v>
      </c>
      <c r="G15" s="340">
        <v>0</v>
      </c>
      <c r="H15" s="340">
        <v>1</v>
      </c>
      <c r="I15" s="340">
        <f t="shared" si="189"/>
        <v>1</v>
      </c>
      <c r="J15" s="339">
        <v>0</v>
      </c>
      <c r="K15" s="339">
        <v>0</v>
      </c>
      <c r="L15" s="339">
        <v>0</v>
      </c>
      <c r="M15" s="339">
        <f>'Таблица 1'!M266</f>
        <v>200729.89999999999</v>
      </c>
      <c r="N15" s="339">
        <f t="shared" si="190"/>
        <v>200729.89999999999</v>
      </c>
      <c r="O15" s="294"/>
    </row>
    <row r="16" s="294" customFormat="1" ht="20.25" customHeight="1">
      <c r="A16" s="175">
        <v>7</v>
      </c>
      <c r="B16" s="260" t="s">
        <v>858</v>
      </c>
      <c r="C16" s="339">
        <f>'Таблица 1'!I268</f>
        <v>14777.299999999999</v>
      </c>
      <c r="D16" s="340">
        <f>'Таблица 1'!L268</f>
        <v>414</v>
      </c>
      <c r="E16" s="340">
        <v>0</v>
      </c>
      <c r="F16" s="340">
        <v>0</v>
      </c>
      <c r="G16" s="340">
        <v>0</v>
      </c>
      <c r="H16" s="340">
        <v>7</v>
      </c>
      <c r="I16" s="340">
        <f t="shared" si="189"/>
        <v>7</v>
      </c>
      <c r="J16" s="339">
        <v>0</v>
      </c>
      <c r="K16" s="339">
        <v>0</v>
      </c>
      <c r="L16" s="339">
        <v>0</v>
      </c>
      <c r="M16" s="339">
        <f>'Таблица 1'!M268</f>
        <v>15274966.289999999</v>
      </c>
      <c r="N16" s="339">
        <f t="shared" si="190"/>
        <v>15274966.289999999</v>
      </c>
      <c r="O16" s="294"/>
    </row>
    <row r="17" s="294" customFormat="1" ht="22.199999999999999" customHeight="1">
      <c r="A17" s="175">
        <v>8</v>
      </c>
      <c r="B17" s="260" t="s">
        <v>859</v>
      </c>
      <c r="C17" s="339">
        <f>'Таблица 1'!I276</f>
        <v>5936.5</v>
      </c>
      <c r="D17" s="340">
        <f>'Таблица 1'!L276</f>
        <v>224</v>
      </c>
      <c r="E17" s="340">
        <v>0</v>
      </c>
      <c r="F17" s="340">
        <v>0</v>
      </c>
      <c r="G17" s="340">
        <v>0</v>
      </c>
      <c r="H17" s="340">
        <v>2</v>
      </c>
      <c r="I17" s="340">
        <f t="shared" si="189"/>
        <v>2</v>
      </c>
      <c r="J17" s="339">
        <v>0</v>
      </c>
      <c r="K17" s="339">
        <v>0</v>
      </c>
      <c r="L17" s="339">
        <v>0</v>
      </c>
      <c r="M17" s="339">
        <f>'Таблица 1'!M276</f>
        <v>1025320.6000000001</v>
      </c>
      <c r="N17" s="339">
        <f t="shared" si="190"/>
        <v>1025320.6000000001</v>
      </c>
      <c r="O17" s="294"/>
    </row>
    <row r="18" s="294" customFormat="1" ht="22.199999999999999" customHeight="1">
      <c r="A18" s="175">
        <v>9</v>
      </c>
      <c r="B18" s="260" t="s">
        <v>860</v>
      </c>
      <c r="C18" s="339">
        <f>'Таблица 1'!I279</f>
        <v>28248</v>
      </c>
      <c r="D18" s="340">
        <f>'Таблица 1'!L279</f>
        <v>785</v>
      </c>
      <c r="E18" s="340">
        <v>0</v>
      </c>
      <c r="F18" s="340">
        <v>0</v>
      </c>
      <c r="G18" s="340">
        <v>0</v>
      </c>
      <c r="H18" s="340">
        <v>15</v>
      </c>
      <c r="I18" s="340">
        <f t="shared" si="189"/>
        <v>15</v>
      </c>
      <c r="J18" s="339">
        <v>0</v>
      </c>
      <c r="K18" s="339">
        <v>0</v>
      </c>
      <c r="L18" s="339">
        <v>0</v>
      </c>
      <c r="M18" s="339">
        <f>'Таблица 1'!M279</f>
        <v>43937088.140000001</v>
      </c>
      <c r="N18" s="339">
        <f t="shared" si="190"/>
        <v>43937088.140000001</v>
      </c>
      <c r="O18" s="294"/>
    </row>
    <row r="19" s="294" customFormat="1" ht="22.199999999999999" customHeight="1">
      <c r="A19" s="175">
        <v>10</v>
      </c>
      <c r="B19" s="260" t="s">
        <v>861</v>
      </c>
      <c r="C19" s="339">
        <f>'Таблица 1'!I295</f>
        <v>83437.169999999998</v>
      </c>
      <c r="D19" s="340">
        <f>'Таблица 1'!L295</f>
        <v>2086</v>
      </c>
      <c r="E19" s="340">
        <v>0</v>
      </c>
      <c r="F19" s="340">
        <v>0</v>
      </c>
      <c r="G19" s="340">
        <v>0</v>
      </c>
      <c r="H19" s="341">
        <v>16</v>
      </c>
      <c r="I19" s="340">
        <f t="shared" si="189"/>
        <v>16</v>
      </c>
      <c r="J19" s="339">
        <v>0</v>
      </c>
      <c r="K19" s="339">
        <v>0</v>
      </c>
      <c r="L19" s="339">
        <v>0</v>
      </c>
      <c r="M19" s="339">
        <f>'Таблица 1'!M295</f>
        <v>15563709.579999996</v>
      </c>
      <c r="N19" s="339">
        <f t="shared" si="190"/>
        <v>15563709.579999996</v>
      </c>
      <c r="O19" s="294"/>
    </row>
    <row r="20" s="294" customFormat="1" ht="22.5" customHeight="1">
      <c r="A20" s="175">
        <v>11</v>
      </c>
      <c r="B20" s="260" t="s">
        <v>862</v>
      </c>
      <c r="C20" s="339">
        <f>'Таблица 1'!I312</f>
        <v>2077.5900000000001</v>
      </c>
      <c r="D20" s="340">
        <f>'Таблица 1'!L312</f>
        <v>57</v>
      </c>
      <c r="E20" s="340">
        <v>0</v>
      </c>
      <c r="F20" s="340">
        <v>0</v>
      </c>
      <c r="G20" s="340">
        <v>0</v>
      </c>
      <c r="H20" s="340">
        <v>2</v>
      </c>
      <c r="I20" s="340">
        <f t="shared" si="189"/>
        <v>2</v>
      </c>
      <c r="J20" s="339">
        <v>0</v>
      </c>
      <c r="K20" s="339">
        <v>0</v>
      </c>
      <c r="L20" s="339">
        <v>0</v>
      </c>
      <c r="M20" s="339">
        <f>'Таблица 1'!M312</f>
        <v>2246914.9700000002</v>
      </c>
      <c r="N20" s="339">
        <f t="shared" si="190"/>
        <v>2246914.9700000002</v>
      </c>
      <c r="O20" s="294"/>
    </row>
    <row r="21" s="294" customFormat="1" ht="22.5" customHeight="1">
      <c r="A21" s="175">
        <v>12</v>
      </c>
      <c r="B21" s="260" t="s">
        <v>863</v>
      </c>
      <c r="C21" s="339">
        <f>'Таблица 1'!I315</f>
        <v>2507.5999999999999</v>
      </c>
      <c r="D21" s="340">
        <f>'Таблица 1'!L315</f>
        <v>62</v>
      </c>
      <c r="E21" s="340">
        <v>0</v>
      </c>
      <c r="F21" s="340">
        <v>0</v>
      </c>
      <c r="G21" s="340">
        <v>0</v>
      </c>
      <c r="H21" s="340">
        <v>2</v>
      </c>
      <c r="I21" s="340">
        <f t="shared" si="189"/>
        <v>2</v>
      </c>
      <c r="J21" s="339">
        <v>0</v>
      </c>
      <c r="K21" s="339">
        <v>0</v>
      </c>
      <c r="L21" s="339">
        <v>0</v>
      </c>
      <c r="M21" s="339">
        <f>'Таблица 1'!M315</f>
        <v>1575708.7</v>
      </c>
      <c r="N21" s="339">
        <f t="shared" si="190"/>
        <v>1575708.7</v>
      </c>
      <c r="O21" s="294"/>
    </row>
    <row r="22" s="294" customFormat="1" ht="22.199999999999999" customHeight="1">
      <c r="A22" s="175">
        <v>13</v>
      </c>
      <c r="B22" s="260" t="s">
        <v>864</v>
      </c>
      <c r="C22" s="339">
        <f>'Таблица 1'!I318</f>
        <v>14553.200000000001</v>
      </c>
      <c r="D22" s="340">
        <f>'Таблица 1'!L318</f>
        <v>200</v>
      </c>
      <c r="E22" s="340">
        <v>0</v>
      </c>
      <c r="F22" s="340">
        <v>0</v>
      </c>
      <c r="G22" s="340">
        <v>0</v>
      </c>
      <c r="H22" s="340">
        <v>5</v>
      </c>
      <c r="I22" s="340">
        <f t="shared" si="189"/>
        <v>5</v>
      </c>
      <c r="J22" s="339">
        <v>0</v>
      </c>
      <c r="K22" s="339">
        <v>0</v>
      </c>
      <c r="L22" s="339">
        <v>0</v>
      </c>
      <c r="M22" s="339">
        <f>'Таблица 1'!M318</f>
        <v>70642855.790000007</v>
      </c>
      <c r="N22" s="339">
        <f t="shared" si="190"/>
        <v>70642855.790000007</v>
      </c>
      <c r="O22" s="294"/>
    </row>
    <row r="23" s="294" customFormat="1" ht="22.199999999999999" customHeight="1">
      <c r="A23" s="175">
        <v>14</v>
      </c>
      <c r="B23" s="260" t="s">
        <v>865</v>
      </c>
      <c r="C23" s="339">
        <f>'Таблица 1'!I324</f>
        <v>39328.300000000003</v>
      </c>
      <c r="D23" s="340">
        <f>'Таблица 1'!L324</f>
        <v>1564</v>
      </c>
      <c r="E23" s="340">
        <v>0</v>
      </c>
      <c r="F23" s="340">
        <v>0</v>
      </c>
      <c r="G23" s="340">
        <v>0</v>
      </c>
      <c r="H23" s="340">
        <v>13</v>
      </c>
      <c r="I23" s="340">
        <f t="shared" si="189"/>
        <v>13</v>
      </c>
      <c r="J23" s="339">
        <v>0</v>
      </c>
      <c r="K23" s="339">
        <v>0</v>
      </c>
      <c r="L23" s="339">
        <v>0</v>
      </c>
      <c r="M23" s="339">
        <f>'Таблица 1'!M324</f>
        <v>47136180.99000001</v>
      </c>
      <c r="N23" s="339">
        <f t="shared" si="190"/>
        <v>47136180.99000001</v>
      </c>
      <c r="O23" s="294"/>
    </row>
    <row r="24" s="294" customFormat="1" ht="22.5" customHeight="1">
      <c r="A24" s="175">
        <v>15</v>
      </c>
      <c r="B24" s="260" t="s">
        <v>866</v>
      </c>
      <c r="C24" s="339">
        <f>'Таблица 1'!I338</f>
        <v>14979.040000000001</v>
      </c>
      <c r="D24" s="340">
        <f>'Таблица 1'!L338</f>
        <v>576</v>
      </c>
      <c r="E24" s="340">
        <v>0</v>
      </c>
      <c r="F24" s="340">
        <v>0</v>
      </c>
      <c r="G24" s="340">
        <v>0</v>
      </c>
      <c r="H24" s="340">
        <v>5</v>
      </c>
      <c r="I24" s="340">
        <f t="shared" si="189"/>
        <v>5</v>
      </c>
      <c r="J24" s="339">
        <v>0</v>
      </c>
      <c r="K24" s="339">
        <v>0</v>
      </c>
      <c r="L24" s="339">
        <v>0</v>
      </c>
      <c r="M24" s="339">
        <f>'Таблица 1'!M338</f>
        <v>9147092.0600000005</v>
      </c>
      <c r="N24" s="339">
        <f t="shared" si="190"/>
        <v>9147092.0600000005</v>
      </c>
      <c r="O24" s="294"/>
    </row>
    <row r="25" s="294" customFormat="1" ht="22.5" customHeight="1">
      <c r="A25" s="175">
        <v>16</v>
      </c>
      <c r="B25" s="260" t="s">
        <v>867</v>
      </c>
      <c r="C25" s="339">
        <f>'Таблица 1'!I344</f>
        <v>59411.900000000009</v>
      </c>
      <c r="D25" s="340">
        <f>'Таблица 1'!L344</f>
        <v>1866</v>
      </c>
      <c r="E25" s="340">
        <v>0</v>
      </c>
      <c r="F25" s="340">
        <v>0</v>
      </c>
      <c r="G25" s="340">
        <v>0</v>
      </c>
      <c r="H25" s="340">
        <v>14</v>
      </c>
      <c r="I25" s="340">
        <f t="shared" si="189"/>
        <v>14</v>
      </c>
      <c r="J25" s="339">
        <v>0</v>
      </c>
      <c r="K25" s="339">
        <v>0</v>
      </c>
      <c r="L25" s="339">
        <v>0</v>
      </c>
      <c r="M25" s="339">
        <f>'Таблица 1'!M344</f>
        <v>52497090.729999997</v>
      </c>
      <c r="N25" s="339">
        <f t="shared" si="190"/>
        <v>52497090.729999997</v>
      </c>
      <c r="O25" s="294"/>
    </row>
    <row r="26" s="294" customFormat="1" ht="22.5" customHeight="1">
      <c r="A26" s="175">
        <v>17</v>
      </c>
      <c r="B26" s="260" t="s">
        <v>868</v>
      </c>
      <c r="C26" s="339">
        <f>'Таблица 1'!I359</f>
        <v>23559.41</v>
      </c>
      <c r="D26" s="340">
        <f>'Таблица 1'!L359</f>
        <v>572</v>
      </c>
      <c r="E26" s="340">
        <v>0</v>
      </c>
      <c r="F26" s="340">
        <v>0</v>
      </c>
      <c r="G26" s="340">
        <v>0</v>
      </c>
      <c r="H26" s="340">
        <v>10</v>
      </c>
      <c r="I26" s="340">
        <f t="shared" si="189"/>
        <v>10</v>
      </c>
      <c r="J26" s="339">
        <v>0</v>
      </c>
      <c r="K26" s="339">
        <v>0</v>
      </c>
      <c r="L26" s="339">
        <v>0</v>
      </c>
      <c r="M26" s="339">
        <f>'Таблица 1'!M359</f>
        <v>50131385.139999993</v>
      </c>
      <c r="N26" s="339">
        <f t="shared" si="190"/>
        <v>50131385.139999993</v>
      </c>
      <c r="O26" s="294"/>
    </row>
    <row r="27" s="294" customFormat="1" ht="22.5" customHeight="1">
      <c r="A27" s="175">
        <v>18</v>
      </c>
      <c r="B27" s="260" t="s">
        <v>869</v>
      </c>
      <c r="C27" s="339">
        <f>'Таблица 1'!I370</f>
        <v>7035.5499999999993</v>
      </c>
      <c r="D27" s="340">
        <f>'Таблица 1'!L370</f>
        <v>234</v>
      </c>
      <c r="E27" s="340">
        <v>0</v>
      </c>
      <c r="F27" s="340">
        <v>0</v>
      </c>
      <c r="G27" s="340">
        <v>0</v>
      </c>
      <c r="H27" s="340">
        <v>9</v>
      </c>
      <c r="I27" s="340">
        <f t="shared" si="189"/>
        <v>9</v>
      </c>
      <c r="J27" s="339">
        <v>0</v>
      </c>
      <c r="K27" s="339">
        <v>0</v>
      </c>
      <c r="L27" s="339">
        <v>0</v>
      </c>
      <c r="M27" s="339">
        <f>'Таблица 1'!M370</f>
        <v>14154042</v>
      </c>
      <c r="N27" s="339">
        <f t="shared" si="190"/>
        <v>14154042</v>
      </c>
      <c r="O27" s="294"/>
    </row>
    <row r="28" s="54" customFormat="1" ht="29.399999999999999" customHeight="1">
      <c r="A28" s="175">
        <v>19</v>
      </c>
      <c r="B28" s="342" t="s">
        <v>870</v>
      </c>
      <c r="C28" s="343">
        <f>SUM(C29:C31)</f>
        <v>8247.1000000000004</v>
      </c>
      <c r="D28" s="341">
        <f>SUM(D29:D31)</f>
        <v>272</v>
      </c>
      <c r="E28" s="341">
        <f>SUM(E29:E31)</f>
        <v>0</v>
      </c>
      <c r="F28" s="341">
        <f>SUM(F29:F31)</f>
        <v>0</v>
      </c>
      <c r="G28" s="341">
        <f>SUM(G29:G31)</f>
        <v>0</v>
      </c>
      <c r="H28" s="341">
        <f>SUM(H29:H31)</f>
        <v>5</v>
      </c>
      <c r="I28" s="341">
        <f>SUM(I29:I31)</f>
        <v>5</v>
      </c>
      <c r="J28" s="343">
        <f>SUM(J29:J31)</f>
        <v>0</v>
      </c>
      <c r="K28" s="343">
        <f>SUM(K29:K31)</f>
        <v>0</v>
      </c>
      <c r="L28" s="343">
        <f>SUM(L29:L31)</f>
        <v>0</v>
      </c>
      <c r="M28" s="343">
        <f>SUM(M29:M31)</f>
        <v>5138679.2799999993</v>
      </c>
      <c r="N28" s="343">
        <f>SUM(N29:N31)</f>
        <v>5138679.2799999993</v>
      </c>
      <c r="O28" s="54"/>
    </row>
    <row r="29" s="54" customFormat="1" ht="22.5" customHeight="1">
      <c r="A29" s="344"/>
      <c r="B29" s="342" t="s">
        <v>871</v>
      </c>
      <c r="C29" s="343">
        <f>'Таблица 1'!I381</f>
        <v>4824</v>
      </c>
      <c r="D29" s="341">
        <f>'Таблица 1'!L381</f>
        <v>158</v>
      </c>
      <c r="E29" s="341">
        <v>0</v>
      </c>
      <c r="F29" s="341">
        <v>0</v>
      </c>
      <c r="G29" s="341">
        <v>0</v>
      </c>
      <c r="H29" s="341">
        <v>1</v>
      </c>
      <c r="I29" s="341">
        <f t="shared" ref="I29:I31" si="191">H29</f>
        <v>1</v>
      </c>
      <c r="J29" s="343">
        <v>0</v>
      </c>
      <c r="K29" s="343">
        <v>0</v>
      </c>
      <c r="L29" s="343">
        <v>0</v>
      </c>
      <c r="M29" s="343">
        <f>'Таблица 1'!M381</f>
        <v>1938929.04</v>
      </c>
      <c r="N29" s="343">
        <f t="shared" ref="N29:N31" si="192">M29</f>
        <v>1938929.04</v>
      </c>
      <c r="O29" s="54"/>
    </row>
    <row r="30" s="54" customFormat="1" ht="22.5" customHeight="1">
      <c r="A30" s="344"/>
      <c r="B30" s="342" t="s">
        <v>872</v>
      </c>
      <c r="C30" s="343">
        <f>'Таблица 1'!I383</f>
        <v>1963.7</v>
      </c>
      <c r="D30" s="341">
        <f>'Таблица 1'!L383</f>
        <v>50</v>
      </c>
      <c r="E30" s="341">
        <v>0</v>
      </c>
      <c r="F30" s="341">
        <v>0</v>
      </c>
      <c r="G30" s="341">
        <v>0</v>
      </c>
      <c r="H30" s="341">
        <v>2</v>
      </c>
      <c r="I30" s="341">
        <f t="shared" si="191"/>
        <v>2</v>
      </c>
      <c r="J30" s="343">
        <v>0</v>
      </c>
      <c r="K30" s="343">
        <v>0</v>
      </c>
      <c r="L30" s="343">
        <v>0</v>
      </c>
      <c r="M30" s="343">
        <f>'Таблица 1'!M383</f>
        <v>1696097.6499999999</v>
      </c>
      <c r="N30" s="343">
        <f t="shared" si="192"/>
        <v>1696097.6499999999</v>
      </c>
      <c r="O30" s="54"/>
    </row>
    <row r="31" s="54" customFormat="1" ht="22.5" customHeight="1">
      <c r="A31" s="344"/>
      <c r="B31" s="342" t="s">
        <v>873</v>
      </c>
      <c r="C31" s="343">
        <f>'Таблица 1'!I386</f>
        <v>1459.4000000000001</v>
      </c>
      <c r="D31" s="341">
        <f>'Таблица 1'!L386</f>
        <v>64</v>
      </c>
      <c r="E31" s="341">
        <v>0</v>
      </c>
      <c r="F31" s="341">
        <v>0</v>
      </c>
      <c r="G31" s="341">
        <v>0</v>
      </c>
      <c r="H31" s="341">
        <v>2</v>
      </c>
      <c r="I31" s="341">
        <f t="shared" si="191"/>
        <v>2</v>
      </c>
      <c r="J31" s="343">
        <v>0</v>
      </c>
      <c r="K31" s="343">
        <v>0</v>
      </c>
      <c r="L31" s="343">
        <v>0</v>
      </c>
      <c r="M31" s="343">
        <f>'Таблица 1'!M386</f>
        <v>1503652.5899999999</v>
      </c>
      <c r="N31" s="343">
        <f t="shared" si="192"/>
        <v>1503652.5899999999</v>
      </c>
      <c r="O31" s="54"/>
    </row>
    <row r="32" s="54" customFormat="1" ht="22.5" customHeight="1">
      <c r="A32" s="344">
        <v>20</v>
      </c>
      <c r="B32" s="342" t="s">
        <v>874</v>
      </c>
      <c r="C32" s="343">
        <f>'Таблица 1'!I389</f>
        <v>2895.3899999999999</v>
      </c>
      <c r="D32" s="341">
        <f>'Таблица 1'!L389</f>
        <v>83</v>
      </c>
      <c r="E32" s="341">
        <v>0</v>
      </c>
      <c r="F32" s="341">
        <v>0</v>
      </c>
      <c r="G32" s="341">
        <v>0</v>
      </c>
      <c r="H32" s="341">
        <v>2</v>
      </c>
      <c r="I32" s="341">
        <f t="shared" si="189"/>
        <v>2</v>
      </c>
      <c r="J32" s="343">
        <v>0</v>
      </c>
      <c r="K32" s="343">
        <v>0</v>
      </c>
      <c r="L32" s="343">
        <v>0</v>
      </c>
      <c r="M32" s="343">
        <f>'Таблица 1'!M389</f>
        <v>1845810.1700000002</v>
      </c>
      <c r="N32" s="343">
        <f t="shared" si="190"/>
        <v>1845810.1700000002</v>
      </c>
      <c r="O32" s="54"/>
    </row>
    <row r="33" s="54" customFormat="1" ht="22.5" customHeight="1">
      <c r="A33" s="344">
        <v>21</v>
      </c>
      <c r="B33" s="342" t="s">
        <v>875</v>
      </c>
      <c r="C33" s="343">
        <f>'Таблица 1'!I392</f>
        <v>5352.2999999999993</v>
      </c>
      <c r="D33" s="341">
        <f>'Таблица 1'!L392</f>
        <v>198</v>
      </c>
      <c r="E33" s="341">
        <v>0</v>
      </c>
      <c r="F33" s="341">
        <v>0</v>
      </c>
      <c r="G33" s="341">
        <v>0</v>
      </c>
      <c r="H33" s="341">
        <v>5</v>
      </c>
      <c r="I33" s="341">
        <f t="shared" si="189"/>
        <v>5</v>
      </c>
      <c r="J33" s="343">
        <v>0</v>
      </c>
      <c r="K33" s="343">
        <v>0</v>
      </c>
      <c r="L33" s="343">
        <v>0</v>
      </c>
      <c r="M33" s="343">
        <f>'Таблица 1'!M392</f>
        <v>7888827.0300000003</v>
      </c>
      <c r="N33" s="343">
        <f t="shared" si="190"/>
        <v>7888827.0300000003</v>
      </c>
      <c r="O33" s="54"/>
    </row>
    <row r="34" s="54" customFormat="1" ht="22.5" customHeight="1">
      <c r="A34" s="344">
        <v>22</v>
      </c>
      <c r="B34" s="342" t="s">
        <v>876</v>
      </c>
      <c r="C34" s="343">
        <f>'Таблица 1'!I398</f>
        <v>9279.5200000000004</v>
      </c>
      <c r="D34" s="341">
        <f>'Таблица 1'!L398</f>
        <v>287</v>
      </c>
      <c r="E34" s="341">
        <v>0</v>
      </c>
      <c r="F34" s="341">
        <v>0</v>
      </c>
      <c r="G34" s="341">
        <v>0</v>
      </c>
      <c r="H34" s="341">
        <v>6</v>
      </c>
      <c r="I34" s="341">
        <f t="shared" si="189"/>
        <v>6</v>
      </c>
      <c r="J34" s="343">
        <v>0</v>
      </c>
      <c r="K34" s="343">
        <v>0</v>
      </c>
      <c r="L34" s="343">
        <v>0</v>
      </c>
      <c r="M34" s="343">
        <f>'Таблица 1'!M398</f>
        <v>28605241.139999997</v>
      </c>
      <c r="N34" s="343">
        <f t="shared" si="190"/>
        <v>28605241.139999997</v>
      </c>
      <c r="O34" s="54"/>
    </row>
    <row r="35" s="54" customFormat="1" ht="22.5" customHeight="1">
      <c r="A35" s="344">
        <v>23</v>
      </c>
      <c r="B35" s="342" t="s">
        <v>877</v>
      </c>
      <c r="C35" s="158">
        <f>'Таблица 1'!I406</f>
        <v>4318.8000000000002</v>
      </c>
      <c r="D35" s="341">
        <f>'Таблица 1'!L406</f>
        <v>144</v>
      </c>
      <c r="E35" s="345">
        <v>0</v>
      </c>
      <c r="F35" s="341">
        <v>0</v>
      </c>
      <c r="G35" s="345">
        <v>0</v>
      </c>
      <c r="H35" s="341">
        <v>4</v>
      </c>
      <c r="I35" s="345">
        <f t="shared" si="189"/>
        <v>4</v>
      </c>
      <c r="J35" s="343">
        <v>0</v>
      </c>
      <c r="K35" s="158">
        <v>0</v>
      </c>
      <c r="L35" s="343">
        <v>0</v>
      </c>
      <c r="M35" s="158">
        <f>'Таблица 1'!M406</f>
        <v>21689586.439999998</v>
      </c>
      <c r="N35" s="343">
        <f t="shared" si="190"/>
        <v>21689586.439999998</v>
      </c>
      <c r="O35" s="54"/>
    </row>
    <row r="36" s="54" customFormat="1" ht="22.5" customHeight="1">
      <c r="A36" s="344">
        <v>24</v>
      </c>
      <c r="B36" s="342" t="s">
        <v>878</v>
      </c>
      <c r="C36" s="343">
        <f>'Таблица 1'!I411</f>
        <v>31911.299999999999</v>
      </c>
      <c r="D36" s="341">
        <f>'Таблица 1'!L411</f>
        <v>847</v>
      </c>
      <c r="E36" s="341">
        <v>0</v>
      </c>
      <c r="F36" s="341">
        <v>0</v>
      </c>
      <c r="G36" s="341">
        <v>0</v>
      </c>
      <c r="H36" s="341">
        <v>11</v>
      </c>
      <c r="I36" s="341">
        <f t="shared" si="189"/>
        <v>11</v>
      </c>
      <c r="J36" s="343">
        <v>0</v>
      </c>
      <c r="K36" s="343">
        <v>0</v>
      </c>
      <c r="L36" s="343">
        <v>0</v>
      </c>
      <c r="M36" s="343">
        <f>'Таблица 1'!M411</f>
        <v>54513546.969999991</v>
      </c>
      <c r="N36" s="343">
        <f t="shared" si="190"/>
        <v>54513546.969999991</v>
      </c>
      <c r="O36" s="54"/>
    </row>
    <row r="37" s="54" customFormat="1" ht="33.600000000000001" customHeight="1">
      <c r="A37" s="344">
        <v>25</v>
      </c>
      <c r="B37" s="342" t="s">
        <v>879</v>
      </c>
      <c r="C37" s="343">
        <f>SUM(C38:C41)</f>
        <v>59701.660000000011</v>
      </c>
      <c r="D37" s="341">
        <f>SUM(D38:D41)</f>
        <v>2321</v>
      </c>
      <c r="E37" s="341">
        <f t="shared" ref="E37:E40" si="193">SUM(E38:E41)</f>
        <v>0</v>
      </c>
      <c r="F37" s="341">
        <f t="shared" ref="F37:F40" si="194">SUM(F38:F41)</f>
        <v>0</v>
      </c>
      <c r="G37" s="341">
        <f t="shared" ref="G37:G40" si="195">SUM(G38:G41)</f>
        <v>0</v>
      </c>
      <c r="H37" s="341">
        <f>SUM(H38:H41)</f>
        <v>39</v>
      </c>
      <c r="I37" s="341">
        <f>SUM(I38:I41)</f>
        <v>39</v>
      </c>
      <c r="J37" s="343">
        <f t="shared" ref="J37:J40" si="196">SUM(J38:J41)</f>
        <v>0</v>
      </c>
      <c r="K37" s="343">
        <f t="shared" ref="K37:K40" si="197">SUM(K38:K41)</f>
        <v>0</v>
      </c>
      <c r="L37" s="343">
        <f t="shared" ref="L37:L40" si="198">SUM(L38:L41)</f>
        <v>0</v>
      </c>
      <c r="M37" s="343">
        <f>SUM(M38:M41)</f>
        <v>69542225.150000006</v>
      </c>
      <c r="N37" s="343">
        <f>SUM(N38:N41)</f>
        <v>69542225.150000006</v>
      </c>
      <c r="O37" s="54"/>
    </row>
    <row r="38" s="54" customFormat="1" ht="22.5" customHeight="1">
      <c r="A38" s="344"/>
      <c r="B38" s="342" t="s">
        <v>880</v>
      </c>
      <c r="C38" s="343">
        <f>'Таблица 1'!I424</f>
        <v>32944.700000000004</v>
      </c>
      <c r="D38" s="341">
        <f>'Таблица 1'!L424</f>
        <v>1289</v>
      </c>
      <c r="E38" s="341">
        <f t="shared" si="193"/>
        <v>0</v>
      </c>
      <c r="F38" s="341">
        <f t="shared" si="194"/>
        <v>0</v>
      </c>
      <c r="G38" s="341">
        <f t="shared" si="195"/>
        <v>0</v>
      </c>
      <c r="H38" s="341">
        <v>17</v>
      </c>
      <c r="I38" s="341">
        <f t="shared" ref="I38:I41" si="199">H38</f>
        <v>17</v>
      </c>
      <c r="J38" s="343">
        <f t="shared" si="196"/>
        <v>0</v>
      </c>
      <c r="K38" s="343">
        <f t="shared" si="197"/>
        <v>0</v>
      </c>
      <c r="L38" s="343">
        <f t="shared" si="198"/>
        <v>0</v>
      </c>
      <c r="M38" s="343">
        <f>'Таблица 1'!M424</f>
        <v>21333310.550000004</v>
      </c>
      <c r="N38" s="343">
        <f t="shared" ref="N38:N41" si="200">M38</f>
        <v>21333310.550000004</v>
      </c>
      <c r="O38" s="54"/>
    </row>
    <row r="39" s="54" customFormat="1" ht="22.5" customHeight="1">
      <c r="A39" s="344"/>
      <c r="B39" s="342" t="s">
        <v>881</v>
      </c>
      <c r="C39" s="343">
        <f>'Таблица 1'!I442</f>
        <v>23170.700000000001</v>
      </c>
      <c r="D39" s="341">
        <f>'Таблица 1'!L442</f>
        <v>905</v>
      </c>
      <c r="E39" s="341">
        <f t="shared" si="193"/>
        <v>0</v>
      </c>
      <c r="F39" s="341">
        <f t="shared" si="194"/>
        <v>0</v>
      </c>
      <c r="G39" s="341">
        <f t="shared" si="195"/>
        <v>0</v>
      </c>
      <c r="H39" s="341">
        <v>17</v>
      </c>
      <c r="I39" s="341">
        <f t="shared" si="199"/>
        <v>17</v>
      </c>
      <c r="J39" s="343">
        <f t="shared" si="196"/>
        <v>0</v>
      </c>
      <c r="K39" s="343">
        <f t="shared" si="197"/>
        <v>0</v>
      </c>
      <c r="L39" s="343">
        <f t="shared" si="198"/>
        <v>0</v>
      </c>
      <c r="M39" s="343">
        <f>'Таблица 1'!M442</f>
        <v>39254210.200000003</v>
      </c>
      <c r="N39" s="343">
        <f t="shared" si="200"/>
        <v>39254210.200000003</v>
      </c>
      <c r="O39" s="54"/>
    </row>
    <row r="40" s="54" customFormat="1" ht="22.5" customHeight="1">
      <c r="A40" s="344"/>
      <c r="B40" s="342" t="s">
        <v>882</v>
      </c>
      <c r="C40" s="343">
        <f>'Таблица 1'!I460</f>
        <v>1529.26</v>
      </c>
      <c r="D40" s="341">
        <f>'Таблица 1'!L460</f>
        <v>72</v>
      </c>
      <c r="E40" s="341">
        <f t="shared" si="193"/>
        <v>0</v>
      </c>
      <c r="F40" s="341">
        <f t="shared" si="194"/>
        <v>0</v>
      </c>
      <c r="G40" s="341">
        <f t="shared" si="195"/>
        <v>0</v>
      </c>
      <c r="H40" s="341">
        <v>3</v>
      </c>
      <c r="I40" s="341">
        <f t="shared" si="199"/>
        <v>3</v>
      </c>
      <c r="J40" s="343">
        <f t="shared" si="196"/>
        <v>0</v>
      </c>
      <c r="K40" s="343">
        <f t="shared" si="197"/>
        <v>0</v>
      </c>
      <c r="L40" s="343">
        <f t="shared" si="198"/>
        <v>0</v>
      </c>
      <c r="M40" s="343">
        <f>'Таблица 1'!M460</f>
        <v>5523218.6899999995</v>
      </c>
      <c r="N40" s="343">
        <f t="shared" si="200"/>
        <v>5523218.6899999995</v>
      </c>
      <c r="O40" s="54"/>
    </row>
    <row r="41" s="54" customFormat="1" ht="22.5" customHeight="1">
      <c r="A41" s="344"/>
      <c r="B41" s="342" t="s">
        <v>883</v>
      </c>
      <c r="C41" s="343">
        <f>'Таблица 1'!I464</f>
        <v>2057</v>
      </c>
      <c r="D41" s="341">
        <f>'Таблица 1'!L464</f>
        <v>55</v>
      </c>
      <c r="E41" s="341">
        <f>SUM(E42:E44)</f>
        <v>0</v>
      </c>
      <c r="F41" s="341">
        <f>SUM(F42:F44)</f>
        <v>0</v>
      </c>
      <c r="G41" s="341">
        <f>SUM(G42:G44)</f>
        <v>0</v>
      </c>
      <c r="H41" s="341">
        <v>2</v>
      </c>
      <c r="I41" s="341">
        <f t="shared" si="199"/>
        <v>2</v>
      </c>
      <c r="J41" s="343">
        <f>SUM(J42:J44)</f>
        <v>0</v>
      </c>
      <c r="K41" s="343">
        <f>SUM(K42:K44)</f>
        <v>0</v>
      </c>
      <c r="L41" s="343">
        <f>SUM(L42:L44)</f>
        <v>0</v>
      </c>
      <c r="M41" s="343">
        <f>'Таблица 1'!M464</f>
        <v>3431485.71</v>
      </c>
      <c r="N41" s="343">
        <f t="shared" si="200"/>
        <v>3431485.71</v>
      </c>
      <c r="O41" s="54"/>
    </row>
    <row r="42" s="346" customFormat="1" ht="21" customHeight="1">
      <c r="A42" s="347"/>
      <c r="B42" s="330" t="s">
        <v>884</v>
      </c>
      <c r="C42" s="348"/>
      <c r="D42" s="349"/>
      <c r="E42" s="349"/>
      <c r="F42" s="349"/>
      <c r="G42" s="349"/>
      <c r="H42" s="349"/>
      <c r="I42" s="349"/>
      <c r="J42" s="348"/>
      <c r="K42" s="348"/>
      <c r="L42" s="348"/>
      <c r="M42" s="348"/>
      <c r="N42" s="348"/>
      <c r="O42" s="346"/>
    </row>
    <row r="43" s="350" customFormat="1" ht="24.75" customHeight="1">
      <c r="A43" s="351"/>
      <c r="B43" s="352" t="s">
        <v>760</v>
      </c>
      <c r="C43" s="353">
        <f>SUM(C44:C69)</f>
        <v>1051757.1099999996</v>
      </c>
      <c r="D43" s="354">
        <f>SUM(D44:D69)</f>
        <v>30687</v>
      </c>
      <c r="E43" s="354">
        <f>SUM(E44:E69)</f>
        <v>0</v>
      </c>
      <c r="F43" s="354">
        <f>SUM(F44:F69)</f>
        <v>0</v>
      </c>
      <c r="G43" s="354">
        <f>SUM(G44:G69)</f>
        <v>0</v>
      </c>
      <c r="H43" s="354">
        <f>SUM(H44:H69)</f>
        <v>340</v>
      </c>
      <c r="I43" s="354">
        <f>SUM(I44:I69)</f>
        <v>340</v>
      </c>
      <c r="J43" s="353">
        <f>SUM(J44:J69)</f>
        <v>0</v>
      </c>
      <c r="K43" s="353">
        <f>SUM(K44:K69)</f>
        <v>0</v>
      </c>
      <c r="L43" s="353">
        <f>SUM(L44:L69)</f>
        <v>0</v>
      </c>
      <c r="M43" s="353">
        <f>SUM(M44:M69)</f>
        <v>3260765516.5</v>
      </c>
      <c r="N43" s="353">
        <f>SUM(N44:N69)</f>
        <v>3260765516.5</v>
      </c>
      <c r="O43" s="350"/>
    </row>
    <row r="44" s="294" customFormat="1" ht="22.5" customHeight="1">
      <c r="A44" s="175">
        <v>1</v>
      </c>
      <c r="B44" s="260" t="s">
        <v>852</v>
      </c>
      <c r="C44" s="339">
        <f>'Таблица 1'!I469</f>
        <v>696978.03999999992</v>
      </c>
      <c r="D44" s="340">
        <f>'Таблица 1'!L469</f>
        <v>19926</v>
      </c>
      <c r="E44" s="340">
        <v>0</v>
      </c>
      <c r="F44" s="340">
        <v>0</v>
      </c>
      <c r="G44" s="340">
        <v>0</v>
      </c>
      <c r="H44" s="340">
        <v>171</v>
      </c>
      <c r="I44" s="340">
        <f t="shared" ref="I44:I69" si="201">H44</f>
        <v>171</v>
      </c>
      <c r="J44" s="339">
        <v>0</v>
      </c>
      <c r="K44" s="339">
        <v>0</v>
      </c>
      <c r="L44" s="339">
        <v>0</v>
      </c>
      <c r="M44" s="339">
        <f>'Таблица 1'!M469</f>
        <v>2011567326.3200004</v>
      </c>
      <c r="N44" s="339">
        <f t="shared" ref="N44:N69" si="202">M44</f>
        <v>2011567326.3200004</v>
      </c>
      <c r="O44" s="294"/>
    </row>
    <row r="45" s="294" customFormat="1" ht="22.5" customHeight="1">
      <c r="A45" s="175">
        <v>2</v>
      </c>
      <c r="B45" s="260" t="s">
        <v>853</v>
      </c>
      <c r="C45" s="213">
        <f>'Таблица 1'!I641</f>
        <v>1106.2</v>
      </c>
      <c r="D45" s="340">
        <f>'Таблица 1'!L641</f>
        <v>33</v>
      </c>
      <c r="E45" s="355">
        <v>0</v>
      </c>
      <c r="F45" s="340">
        <v>0</v>
      </c>
      <c r="G45" s="355">
        <v>0</v>
      </c>
      <c r="H45" s="340">
        <v>1</v>
      </c>
      <c r="I45" s="355">
        <f t="shared" si="201"/>
        <v>1</v>
      </c>
      <c r="J45" s="339">
        <v>0</v>
      </c>
      <c r="K45" s="213">
        <v>0</v>
      </c>
      <c r="L45" s="339">
        <v>0</v>
      </c>
      <c r="M45" s="213">
        <f>'Таблица 1'!M641</f>
        <v>4801450.8500000006</v>
      </c>
      <c r="N45" s="339">
        <f t="shared" si="202"/>
        <v>4801450.8500000006</v>
      </c>
      <c r="O45" s="294"/>
    </row>
    <row r="46" s="294" customFormat="1" ht="22.5" customHeight="1">
      <c r="A46" s="175">
        <v>3</v>
      </c>
      <c r="B46" s="260" t="s">
        <v>854</v>
      </c>
      <c r="C46" s="339">
        <f>'Таблица 1'!I643</f>
        <v>11786</v>
      </c>
      <c r="D46" s="340">
        <f>'Таблица 1'!L643</f>
        <v>417</v>
      </c>
      <c r="E46" s="340">
        <v>0</v>
      </c>
      <c r="F46" s="340">
        <v>0</v>
      </c>
      <c r="G46" s="340">
        <v>0</v>
      </c>
      <c r="H46" s="340">
        <v>3</v>
      </c>
      <c r="I46" s="340">
        <f t="shared" si="201"/>
        <v>3</v>
      </c>
      <c r="J46" s="339">
        <v>0</v>
      </c>
      <c r="K46" s="339">
        <v>0</v>
      </c>
      <c r="L46" s="339">
        <v>0</v>
      </c>
      <c r="M46" s="339">
        <f>'Таблица 1'!M643</f>
        <v>26413494.32</v>
      </c>
      <c r="N46" s="339">
        <f t="shared" si="202"/>
        <v>26413494.32</v>
      </c>
      <c r="O46" s="294"/>
    </row>
    <row r="47" s="294" customFormat="1" ht="22.5" customHeight="1">
      <c r="A47" s="175">
        <v>4</v>
      </c>
      <c r="B47" s="260" t="s">
        <v>855</v>
      </c>
      <c r="C47" s="339">
        <f>'Таблица 1'!I647</f>
        <v>8795.7799999999988</v>
      </c>
      <c r="D47" s="340">
        <f>'Таблица 1'!L647</f>
        <v>305</v>
      </c>
      <c r="E47" s="340">
        <v>0</v>
      </c>
      <c r="F47" s="340">
        <v>0</v>
      </c>
      <c r="G47" s="340">
        <v>0</v>
      </c>
      <c r="H47" s="340">
        <v>8</v>
      </c>
      <c r="I47" s="340">
        <f t="shared" si="201"/>
        <v>8</v>
      </c>
      <c r="J47" s="339">
        <v>0</v>
      </c>
      <c r="K47" s="339">
        <v>0</v>
      </c>
      <c r="L47" s="339">
        <v>0</v>
      </c>
      <c r="M47" s="339">
        <f>'Таблица 1'!M647</f>
        <v>32293446.030000001</v>
      </c>
      <c r="N47" s="339">
        <f t="shared" si="202"/>
        <v>32293446.030000001</v>
      </c>
      <c r="O47" s="294"/>
    </row>
    <row r="48" s="294" customFormat="1" ht="25.800000000000001" customHeight="1">
      <c r="A48" s="175">
        <v>5</v>
      </c>
      <c r="B48" s="260" t="s">
        <v>885</v>
      </c>
      <c r="C48" s="339">
        <f>'Таблица 1'!I656</f>
        <v>30319.500000000004</v>
      </c>
      <c r="D48" s="340">
        <f>'Таблица 1'!L656</f>
        <v>1119</v>
      </c>
      <c r="E48" s="340">
        <v>0</v>
      </c>
      <c r="F48" s="340">
        <v>0</v>
      </c>
      <c r="G48" s="340">
        <v>0</v>
      </c>
      <c r="H48" s="340">
        <v>14</v>
      </c>
      <c r="I48" s="340">
        <f t="shared" si="201"/>
        <v>14</v>
      </c>
      <c r="J48" s="339">
        <v>0</v>
      </c>
      <c r="K48" s="339">
        <v>0</v>
      </c>
      <c r="L48" s="339">
        <v>0</v>
      </c>
      <c r="M48" s="339">
        <f>'Таблица 1'!M656</f>
        <v>46314136.319999993</v>
      </c>
      <c r="N48" s="339">
        <f t="shared" si="202"/>
        <v>46314136.319999993</v>
      </c>
      <c r="O48" s="294"/>
    </row>
    <row r="49" s="294" customFormat="1" ht="22.5" customHeight="1">
      <c r="A49" s="175">
        <v>6</v>
      </c>
      <c r="B49" s="260" t="s">
        <v>857</v>
      </c>
      <c r="C49" s="339">
        <f>'Таблица 1'!I671</f>
        <v>4083.0999999999999</v>
      </c>
      <c r="D49" s="340">
        <f>'Таблица 1'!L671</f>
        <v>138</v>
      </c>
      <c r="E49" s="340">
        <v>0</v>
      </c>
      <c r="F49" s="340">
        <v>0</v>
      </c>
      <c r="G49" s="340">
        <v>0</v>
      </c>
      <c r="H49" s="340">
        <v>4</v>
      </c>
      <c r="I49" s="340">
        <f t="shared" si="201"/>
        <v>4</v>
      </c>
      <c r="J49" s="339">
        <v>0</v>
      </c>
      <c r="K49" s="339">
        <v>0</v>
      </c>
      <c r="L49" s="339">
        <v>0</v>
      </c>
      <c r="M49" s="339">
        <f>'Таблица 1'!M671</f>
        <v>24627490.689999998</v>
      </c>
      <c r="N49" s="339">
        <f t="shared" si="202"/>
        <v>24627490.689999998</v>
      </c>
      <c r="O49" s="294"/>
    </row>
    <row r="50" s="294" customFormat="1" ht="22.5" customHeight="1">
      <c r="A50" s="175">
        <v>7</v>
      </c>
      <c r="B50" s="260" t="s">
        <v>858</v>
      </c>
      <c r="C50" s="339">
        <f>'Таблица 1'!I676</f>
        <v>16337.700000000001</v>
      </c>
      <c r="D50" s="340">
        <f>'Таблица 1'!L676</f>
        <v>464</v>
      </c>
      <c r="E50" s="340">
        <v>0</v>
      </c>
      <c r="F50" s="340">
        <v>0</v>
      </c>
      <c r="G50" s="340">
        <v>0</v>
      </c>
      <c r="H50" s="340">
        <v>6</v>
      </c>
      <c r="I50" s="340">
        <f t="shared" si="201"/>
        <v>6</v>
      </c>
      <c r="J50" s="339">
        <v>0</v>
      </c>
      <c r="K50" s="339">
        <v>0</v>
      </c>
      <c r="L50" s="339">
        <v>0</v>
      </c>
      <c r="M50" s="339">
        <f>'Таблица 1'!M676</f>
        <v>49733577.299999997</v>
      </c>
      <c r="N50" s="339">
        <f t="shared" si="202"/>
        <v>49733577.299999997</v>
      </c>
      <c r="O50" s="294"/>
    </row>
    <row r="51" s="294" customFormat="1" ht="22.5" customHeight="1">
      <c r="A51" s="175">
        <v>8</v>
      </c>
      <c r="B51" s="260" t="s">
        <v>859</v>
      </c>
      <c r="C51" s="339">
        <f>'Таблица 1'!I683</f>
        <v>4592.7999999999993</v>
      </c>
      <c r="D51" s="340">
        <f>'Таблица 1'!L683</f>
        <v>142</v>
      </c>
      <c r="E51" s="340">
        <v>0</v>
      </c>
      <c r="F51" s="340">
        <v>0</v>
      </c>
      <c r="G51" s="340">
        <v>0</v>
      </c>
      <c r="H51" s="340">
        <v>3</v>
      </c>
      <c r="I51" s="340">
        <f t="shared" si="201"/>
        <v>3</v>
      </c>
      <c r="J51" s="339">
        <v>0</v>
      </c>
      <c r="K51" s="339">
        <v>0</v>
      </c>
      <c r="L51" s="339">
        <v>0</v>
      </c>
      <c r="M51" s="339">
        <f>'Таблица 1'!M683</f>
        <v>15570337.899999999</v>
      </c>
      <c r="N51" s="339">
        <f t="shared" si="202"/>
        <v>15570337.899999999</v>
      </c>
      <c r="O51" s="294"/>
    </row>
    <row r="52" s="294" customFormat="1" ht="22.5" customHeight="1">
      <c r="A52" s="175">
        <v>9</v>
      </c>
      <c r="B52" s="260" t="s">
        <v>886</v>
      </c>
      <c r="C52" s="339">
        <f>'Таблица 1'!I687</f>
        <v>1148.3</v>
      </c>
      <c r="D52" s="340">
        <f>'Таблица 1'!L687</f>
        <v>60</v>
      </c>
      <c r="E52" s="340">
        <v>0</v>
      </c>
      <c r="F52" s="340">
        <v>0</v>
      </c>
      <c r="G52" s="340">
        <v>0</v>
      </c>
      <c r="H52" s="340">
        <v>2</v>
      </c>
      <c r="I52" s="340">
        <f t="shared" si="201"/>
        <v>2</v>
      </c>
      <c r="J52" s="339">
        <v>0</v>
      </c>
      <c r="K52" s="339">
        <v>0</v>
      </c>
      <c r="L52" s="339">
        <v>0</v>
      </c>
      <c r="M52" s="339">
        <f>'Таблица 1'!M687</f>
        <v>1522073.6799999999</v>
      </c>
      <c r="N52" s="339">
        <f t="shared" si="202"/>
        <v>1522073.6799999999</v>
      </c>
      <c r="O52" s="294"/>
    </row>
    <row r="53" s="294" customFormat="1" ht="22.5" customHeight="1">
      <c r="A53" s="175">
        <v>10</v>
      </c>
      <c r="B53" s="260" t="s">
        <v>860</v>
      </c>
      <c r="C53" s="339">
        <f>'Таблица 1'!I690</f>
        <v>46817.610000000001</v>
      </c>
      <c r="D53" s="340">
        <f>'Таблица 1'!L690</f>
        <v>1227</v>
      </c>
      <c r="E53" s="340">
        <v>0</v>
      </c>
      <c r="F53" s="340">
        <v>0</v>
      </c>
      <c r="G53" s="340">
        <v>0</v>
      </c>
      <c r="H53" s="340">
        <v>16</v>
      </c>
      <c r="I53" s="340">
        <f t="shared" si="201"/>
        <v>16</v>
      </c>
      <c r="J53" s="339">
        <v>0</v>
      </c>
      <c r="K53" s="339">
        <v>0</v>
      </c>
      <c r="L53" s="339">
        <v>0</v>
      </c>
      <c r="M53" s="339">
        <f>'Таблица 1'!M690</f>
        <v>145870366.36999997</v>
      </c>
      <c r="N53" s="339">
        <f t="shared" si="202"/>
        <v>145870366.36999997</v>
      </c>
      <c r="O53" s="294"/>
    </row>
    <row r="54" s="294" customFormat="1" ht="22.5" customHeight="1">
      <c r="A54" s="175">
        <v>11</v>
      </c>
      <c r="B54" s="260" t="s">
        <v>861</v>
      </c>
      <c r="C54" s="339">
        <f>'Таблица 1'!I707</f>
        <v>8941.380000000001</v>
      </c>
      <c r="D54" s="340">
        <f>'Таблица 1'!L707</f>
        <v>377</v>
      </c>
      <c r="E54" s="340">
        <v>0</v>
      </c>
      <c r="F54" s="340">
        <v>0</v>
      </c>
      <c r="G54" s="340">
        <v>0</v>
      </c>
      <c r="H54" s="341">
        <v>3</v>
      </c>
      <c r="I54" s="340">
        <f t="shared" si="201"/>
        <v>3</v>
      </c>
      <c r="J54" s="339">
        <v>0</v>
      </c>
      <c r="K54" s="339">
        <v>0</v>
      </c>
      <c r="L54" s="339">
        <v>0</v>
      </c>
      <c r="M54" s="339">
        <f>'Таблица 1'!M707</f>
        <v>14479098.100000001</v>
      </c>
      <c r="N54" s="339">
        <f t="shared" si="202"/>
        <v>14479098.100000001</v>
      </c>
      <c r="O54" s="302"/>
    </row>
    <row r="55" s="294" customFormat="1" ht="22.5" customHeight="1">
      <c r="A55" s="175">
        <v>12</v>
      </c>
      <c r="B55" s="260" t="s">
        <v>862</v>
      </c>
      <c r="C55" s="339">
        <f>'Таблица 1'!I711</f>
        <v>404.35000000000002</v>
      </c>
      <c r="D55" s="340">
        <f>'Таблица 1'!L711</f>
        <v>21</v>
      </c>
      <c r="E55" s="340">
        <v>0</v>
      </c>
      <c r="F55" s="340">
        <v>0</v>
      </c>
      <c r="G55" s="340">
        <v>0</v>
      </c>
      <c r="H55" s="341">
        <v>1</v>
      </c>
      <c r="I55" s="340">
        <f t="shared" si="201"/>
        <v>1</v>
      </c>
      <c r="J55" s="339">
        <v>0</v>
      </c>
      <c r="K55" s="339">
        <v>0</v>
      </c>
      <c r="L55" s="339">
        <v>0</v>
      </c>
      <c r="M55" s="339">
        <f>'Таблица 1'!M711</f>
        <v>265594</v>
      </c>
      <c r="N55" s="339">
        <f t="shared" si="202"/>
        <v>265594</v>
      </c>
      <c r="O55" s="302"/>
    </row>
    <row r="56" s="294" customFormat="1" ht="22.5" customHeight="1">
      <c r="A56" s="175">
        <v>13</v>
      </c>
      <c r="B56" s="260" t="s">
        <v>864</v>
      </c>
      <c r="C56" s="213">
        <f>'Таблица 1'!I713</f>
        <v>6046</v>
      </c>
      <c r="D56" s="340">
        <f>'Таблица 1'!L713</f>
        <v>50</v>
      </c>
      <c r="E56" s="355">
        <v>0</v>
      </c>
      <c r="F56" s="340">
        <v>0</v>
      </c>
      <c r="G56" s="355">
        <v>0</v>
      </c>
      <c r="H56" s="340">
        <v>2</v>
      </c>
      <c r="I56" s="355">
        <f t="shared" si="201"/>
        <v>2</v>
      </c>
      <c r="J56" s="339">
        <v>0</v>
      </c>
      <c r="K56" s="213">
        <v>0</v>
      </c>
      <c r="L56" s="339">
        <v>0</v>
      </c>
      <c r="M56" s="213">
        <f>'Таблица 1'!M713</f>
        <v>15146125.710000001</v>
      </c>
      <c r="N56" s="339">
        <f t="shared" si="202"/>
        <v>15146125.710000001</v>
      </c>
      <c r="O56" s="294"/>
    </row>
    <row r="57" s="294" customFormat="1" ht="22.5" customHeight="1">
      <c r="A57" s="175">
        <v>14</v>
      </c>
      <c r="B57" s="260" t="s">
        <v>865</v>
      </c>
      <c r="C57" s="339">
        <f>'Таблица 1'!I716</f>
        <v>11510.499999999998</v>
      </c>
      <c r="D57" s="340">
        <f>'Таблица 1'!L716</f>
        <v>411</v>
      </c>
      <c r="E57" s="340">
        <v>0</v>
      </c>
      <c r="F57" s="340">
        <v>0</v>
      </c>
      <c r="G57" s="340">
        <v>0</v>
      </c>
      <c r="H57" s="340">
        <v>5</v>
      </c>
      <c r="I57" s="340">
        <f t="shared" si="201"/>
        <v>5</v>
      </c>
      <c r="J57" s="339">
        <v>0</v>
      </c>
      <c r="K57" s="339">
        <v>0</v>
      </c>
      <c r="L57" s="339">
        <v>0</v>
      </c>
      <c r="M57" s="339">
        <f>'Таблица 1'!M716</f>
        <v>41868457.459999993</v>
      </c>
      <c r="N57" s="339">
        <f t="shared" si="202"/>
        <v>41868457.459999993</v>
      </c>
      <c r="O57" s="294"/>
    </row>
    <row r="58" s="294" customFormat="1" ht="24" customHeight="1">
      <c r="A58" s="175">
        <v>15</v>
      </c>
      <c r="B58" s="260" t="s">
        <v>887</v>
      </c>
      <c r="C58" s="339">
        <f>'Таблица 1'!I722</f>
        <v>20425.709999999999</v>
      </c>
      <c r="D58" s="340">
        <f>'Таблица 1'!L722</f>
        <v>732</v>
      </c>
      <c r="E58" s="340">
        <v>0</v>
      </c>
      <c r="F58" s="340">
        <v>0</v>
      </c>
      <c r="G58" s="340">
        <v>0</v>
      </c>
      <c r="H58" s="340">
        <v>7</v>
      </c>
      <c r="I58" s="340">
        <f t="shared" si="201"/>
        <v>7</v>
      </c>
      <c r="J58" s="339">
        <v>0</v>
      </c>
      <c r="K58" s="339">
        <v>0</v>
      </c>
      <c r="L58" s="339">
        <v>0</v>
      </c>
      <c r="M58" s="339">
        <f>'Таблица 1'!M722</f>
        <v>69476166.739999995</v>
      </c>
      <c r="N58" s="339">
        <f t="shared" si="202"/>
        <v>69476166.739999995</v>
      </c>
      <c r="O58" s="294"/>
    </row>
    <row r="59" s="294" customFormat="1" ht="22.5" customHeight="1">
      <c r="A59" s="175">
        <v>16</v>
      </c>
      <c r="B59" s="260" t="s">
        <v>867</v>
      </c>
      <c r="C59" s="339">
        <f>'Таблица 1'!I730</f>
        <v>67707.860000000015</v>
      </c>
      <c r="D59" s="340">
        <f>'Таблица 1'!L730</f>
        <v>2032</v>
      </c>
      <c r="E59" s="340">
        <v>0</v>
      </c>
      <c r="F59" s="340">
        <v>0</v>
      </c>
      <c r="G59" s="340">
        <v>0</v>
      </c>
      <c r="H59" s="340">
        <v>23</v>
      </c>
      <c r="I59" s="340">
        <f t="shared" si="201"/>
        <v>23</v>
      </c>
      <c r="J59" s="339">
        <v>0</v>
      </c>
      <c r="K59" s="339">
        <v>0</v>
      </c>
      <c r="L59" s="339">
        <v>0</v>
      </c>
      <c r="M59" s="339">
        <f>'Таблица 1'!M730</f>
        <v>303435228.97999996</v>
      </c>
      <c r="N59" s="339">
        <f t="shared" si="202"/>
        <v>303435228.97999996</v>
      </c>
      <c r="O59" s="294"/>
    </row>
    <row r="60" s="294" customFormat="1" ht="22.5" customHeight="1">
      <c r="A60" s="175">
        <v>17</v>
      </c>
      <c r="B60" s="260" t="s">
        <v>868</v>
      </c>
      <c r="C60" s="213">
        <f>'Таблица 1'!I754</f>
        <v>14114.200000000001</v>
      </c>
      <c r="D60" s="340">
        <f>'Таблица 1'!L754</f>
        <v>317</v>
      </c>
      <c r="E60" s="355">
        <v>0</v>
      </c>
      <c r="F60" s="340">
        <v>0</v>
      </c>
      <c r="G60" s="355">
        <v>0</v>
      </c>
      <c r="H60" s="340">
        <v>6</v>
      </c>
      <c r="I60" s="355">
        <f t="shared" si="201"/>
        <v>6</v>
      </c>
      <c r="J60" s="339">
        <v>0</v>
      </c>
      <c r="K60" s="213">
        <v>0</v>
      </c>
      <c r="L60" s="339">
        <v>0</v>
      </c>
      <c r="M60" s="213">
        <f>'Таблица 1'!M754</f>
        <v>35065782.099999994</v>
      </c>
      <c r="N60" s="339">
        <f t="shared" si="202"/>
        <v>35065782.099999994</v>
      </c>
      <c r="O60" s="302"/>
    </row>
    <row r="61" s="294" customFormat="1" ht="22.5" customHeight="1">
      <c r="A61" s="175">
        <v>18</v>
      </c>
      <c r="B61" s="260" t="s">
        <v>869</v>
      </c>
      <c r="C61" s="339">
        <f>'Таблица 1'!I761</f>
        <v>5384.3900000000003</v>
      </c>
      <c r="D61" s="340">
        <f>'Таблица 1'!L761</f>
        <v>142</v>
      </c>
      <c r="E61" s="340">
        <v>0</v>
      </c>
      <c r="F61" s="340">
        <v>0</v>
      </c>
      <c r="G61" s="340">
        <v>0</v>
      </c>
      <c r="H61" s="340">
        <v>8</v>
      </c>
      <c r="I61" s="340">
        <f t="shared" si="201"/>
        <v>8</v>
      </c>
      <c r="J61" s="339">
        <v>0</v>
      </c>
      <c r="K61" s="339">
        <v>0</v>
      </c>
      <c r="L61" s="339">
        <v>0</v>
      </c>
      <c r="M61" s="339">
        <f>'Таблица 1'!M761</f>
        <v>26669184.099999998</v>
      </c>
      <c r="N61" s="339">
        <f t="shared" si="202"/>
        <v>26669184.099999998</v>
      </c>
      <c r="O61" s="294"/>
    </row>
    <row r="62" s="294" customFormat="1" ht="22.5" customHeight="1">
      <c r="A62" s="175">
        <v>19</v>
      </c>
      <c r="B62" s="260" t="s">
        <v>888</v>
      </c>
      <c r="C62" s="356">
        <f>'Таблица 1'!I770</f>
        <v>3126.5999999999999</v>
      </c>
      <c r="D62" s="357">
        <f>'Таблица 1'!L770</f>
        <v>91</v>
      </c>
      <c r="E62" s="357">
        <v>0</v>
      </c>
      <c r="F62" s="357">
        <v>0</v>
      </c>
      <c r="G62" s="357">
        <v>0</v>
      </c>
      <c r="H62" s="357">
        <v>4</v>
      </c>
      <c r="I62" s="357">
        <f t="shared" si="201"/>
        <v>4</v>
      </c>
      <c r="J62" s="356">
        <v>0</v>
      </c>
      <c r="K62" s="356">
        <v>0</v>
      </c>
      <c r="L62" s="356">
        <v>0</v>
      </c>
      <c r="M62" s="356">
        <f>'Таблица 1'!M770</f>
        <v>7923893.6899999995</v>
      </c>
      <c r="N62" s="356">
        <f t="shared" si="202"/>
        <v>7923893.6899999995</v>
      </c>
      <c r="O62" s="294"/>
    </row>
    <row r="63" s="294" customFormat="1" ht="22.5" customHeight="1">
      <c r="A63" s="175">
        <v>20</v>
      </c>
      <c r="B63" s="358" t="s">
        <v>874</v>
      </c>
      <c r="C63" s="359">
        <f>'Таблица 1'!I775</f>
        <v>3132.6099999999997</v>
      </c>
      <c r="D63" s="360">
        <f>'Таблица 1'!L775</f>
        <v>126</v>
      </c>
      <c r="E63" s="360">
        <v>0</v>
      </c>
      <c r="F63" s="360">
        <v>0</v>
      </c>
      <c r="G63" s="360">
        <v>0</v>
      </c>
      <c r="H63" s="360">
        <v>2</v>
      </c>
      <c r="I63" s="360">
        <f t="shared" si="201"/>
        <v>2</v>
      </c>
      <c r="J63" s="359">
        <v>0</v>
      </c>
      <c r="K63" s="359">
        <v>0</v>
      </c>
      <c r="L63" s="359">
        <v>0</v>
      </c>
      <c r="M63" s="359">
        <f>'Таблица 1'!M775</f>
        <v>13882208.83</v>
      </c>
      <c r="N63" s="359">
        <f t="shared" si="202"/>
        <v>13882208.83</v>
      </c>
      <c r="O63" s="302"/>
    </row>
    <row r="64" s="294" customFormat="1" ht="22.5" customHeight="1">
      <c r="A64" s="175">
        <v>21</v>
      </c>
      <c r="B64" s="342" t="s">
        <v>875</v>
      </c>
      <c r="C64" s="343">
        <f>'Таблица 1'!I778</f>
        <v>1741.0999999999999</v>
      </c>
      <c r="D64" s="341">
        <f>'Таблица 1'!L778</f>
        <v>39</v>
      </c>
      <c r="E64" s="341">
        <v>0</v>
      </c>
      <c r="F64" s="341">
        <v>0</v>
      </c>
      <c r="G64" s="341">
        <v>0</v>
      </c>
      <c r="H64" s="341">
        <v>1</v>
      </c>
      <c r="I64" s="341">
        <f t="shared" si="201"/>
        <v>1</v>
      </c>
      <c r="J64" s="343">
        <v>0</v>
      </c>
      <c r="K64" s="343">
        <v>0</v>
      </c>
      <c r="L64" s="343">
        <v>0</v>
      </c>
      <c r="M64" s="343">
        <f>'Таблица 1'!M778</f>
        <v>14216901.33</v>
      </c>
      <c r="N64" s="343">
        <f t="shared" si="202"/>
        <v>14216901.33</v>
      </c>
      <c r="O64" s="110"/>
    </row>
    <row r="65" s="294" customFormat="1" ht="22.5" customHeight="1">
      <c r="A65" s="175">
        <v>22</v>
      </c>
      <c r="B65" s="358" t="s">
        <v>876</v>
      </c>
      <c r="C65" s="361">
        <f>'Таблица 1'!I780</f>
        <v>10702.9</v>
      </c>
      <c r="D65" s="362">
        <f>'Таблица 1'!L780</f>
        <v>257</v>
      </c>
      <c r="E65" s="362">
        <v>0</v>
      </c>
      <c r="F65" s="362">
        <v>0</v>
      </c>
      <c r="G65" s="362">
        <v>0</v>
      </c>
      <c r="H65" s="362">
        <v>3</v>
      </c>
      <c r="I65" s="362">
        <f t="shared" si="201"/>
        <v>3</v>
      </c>
      <c r="J65" s="361">
        <v>0</v>
      </c>
      <c r="K65" s="361">
        <v>0</v>
      </c>
      <c r="L65" s="361">
        <v>0</v>
      </c>
      <c r="M65" s="361">
        <f>'Таблица 1'!M780</f>
        <v>48332777.939999998</v>
      </c>
      <c r="N65" s="361">
        <f t="shared" si="202"/>
        <v>48332777.939999998</v>
      </c>
      <c r="O65" s="302"/>
    </row>
    <row r="66" s="294" customFormat="1" ht="22.5" customHeight="1">
      <c r="A66" s="175">
        <v>23</v>
      </c>
      <c r="B66" s="260" t="s">
        <v>877</v>
      </c>
      <c r="C66" s="363">
        <f>'Таблица 1'!I784</f>
        <v>10202.700000000001</v>
      </c>
      <c r="D66" s="364">
        <f>'Таблица 1'!L784</f>
        <v>451</v>
      </c>
      <c r="E66" s="364">
        <v>0</v>
      </c>
      <c r="F66" s="364">
        <v>0</v>
      </c>
      <c r="G66" s="364">
        <v>0</v>
      </c>
      <c r="H66" s="364">
        <v>8</v>
      </c>
      <c r="I66" s="364">
        <f t="shared" si="201"/>
        <v>8</v>
      </c>
      <c r="J66" s="363">
        <v>0</v>
      </c>
      <c r="K66" s="363">
        <v>0</v>
      </c>
      <c r="L66" s="363">
        <v>0</v>
      </c>
      <c r="M66" s="363">
        <f>'Таблица 1'!M784</f>
        <v>64213883.300000004</v>
      </c>
      <c r="N66" s="363">
        <f t="shared" si="202"/>
        <v>64213883.300000004</v>
      </c>
      <c r="O66" s="294"/>
    </row>
    <row r="67" s="294" customFormat="1" ht="22.5" customHeight="1">
      <c r="A67" s="175">
        <v>24</v>
      </c>
      <c r="B67" s="260" t="s">
        <v>878</v>
      </c>
      <c r="C67" s="339">
        <f>'Таблица 1'!I793</f>
        <v>43090.820000000007</v>
      </c>
      <c r="D67" s="340">
        <f>'Таблица 1'!L793</f>
        <v>805</v>
      </c>
      <c r="E67" s="340">
        <v>0</v>
      </c>
      <c r="F67" s="340">
        <v>0</v>
      </c>
      <c r="G67" s="340">
        <v>0</v>
      </c>
      <c r="H67" s="340">
        <v>18</v>
      </c>
      <c r="I67" s="340">
        <f t="shared" si="201"/>
        <v>18</v>
      </c>
      <c r="J67" s="339">
        <v>0</v>
      </c>
      <c r="K67" s="339">
        <v>0</v>
      </c>
      <c r="L67" s="339">
        <v>0</v>
      </c>
      <c r="M67" s="339">
        <f>'Таблица 1'!M793</f>
        <v>153489370.90000001</v>
      </c>
      <c r="N67" s="339">
        <f t="shared" si="202"/>
        <v>153489370.90000001</v>
      </c>
      <c r="O67" s="294"/>
    </row>
    <row r="68" s="294" customFormat="1" ht="22.5" customHeight="1">
      <c r="A68" s="175">
        <v>25</v>
      </c>
      <c r="B68" s="260" t="s">
        <v>889</v>
      </c>
      <c r="C68" s="213">
        <f>'Таблица 1'!I812</f>
        <v>1156.4000000000001</v>
      </c>
      <c r="D68" s="340">
        <f>'Таблица 1'!L812</f>
        <v>26</v>
      </c>
      <c r="E68" s="355">
        <v>0</v>
      </c>
      <c r="F68" s="340">
        <v>0</v>
      </c>
      <c r="G68" s="355">
        <v>0</v>
      </c>
      <c r="H68" s="340">
        <v>1</v>
      </c>
      <c r="I68" s="355">
        <f t="shared" si="201"/>
        <v>1</v>
      </c>
      <c r="J68" s="339">
        <v>0</v>
      </c>
      <c r="K68" s="213">
        <v>0</v>
      </c>
      <c r="L68" s="339">
        <v>0</v>
      </c>
      <c r="M68" s="213">
        <f>'Таблица 1'!M812</f>
        <v>7386044.8600000003</v>
      </c>
      <c r="N68" s="339">
        <f t="shared" si="202"/>
        <v>7386044.8600000003</v>
      </c>
      <c r="O68" s="302"/>
    </row>
    <row r="69" s="294" customFormat="1" ht="24.75" customHeight="1">
      <c r="A69" s="175">
        <v>26</v>
      </c>
      <c r="B69" s="260" t="s">
        <v>890</v>
      </c>
      <c r="C69" s="339">
        <f>'Таблица 1'!I814</f>
        <v>22104.559999999998</v>
      </c>
      <c r="D69" s="340">
        <f>'Таблица 1'!L814</f>
        <v>979</v>
      </c>
      <c r="E69" s="340">
        <v>0</v>
      </c>
      <c r="F69" s="340">
        <v>0</v>
      </c>
      <c r="G69" s="340">
        <v>0</v>
      </c>
      <c r="H69" s="341">
        <v>20</v>
      </c>
      <c r="I69" s="340">
        <f t="shared" si="201"/>
        <v>20</v>
      </c>
      <c r="J69" s="339">
        <v>0</v>
      </c>
      <c r="K69" s="339">
        <v>0</v>
      </c>
      <c r="L69" s="339">
        <v>0</v>
      </c>
      <c r="M69" s="339">
        <f>'Таблица 1'!M814</f>
        <v>86201098.680000022</v>
      </c>
      <c r="N69" s="339">
        <f t="shared" si="202"/>
        <v>86201098.680000022</v>
      </c>
      <c r="O69" s="294"/>
    </row>
    <row r="70" s="346" customFormat="1" ht="22.5" customHeight="1">
      <c r="A70" s="347"/>
      <c r="B70" s="330" t="s">
        <v>759</v>
      </c>
      <c r="C70" s="348"/>
      <c r="D70" s="349"/>
      <c r="E70" s="349"/>
      <c r="F70" s="349"/>
      <c r="G70" s="349"/>
      <c r="H70" s="349"/>
      <c r="I70" s="349"/>
      <c r="J70" s="348"/>
      <c r="K70" s="348"/>
      <c r="L70" s="348"/>
      <c r="M70" s="348"/>
      <c r="N70" s="348"/>
      <c r="O70" s="346"/>
    </row>
    <row r="71" s="365" customFormat="1" ht="26.25" customHeight="1">
      <c r="A71" s="366"/>
      <c r="B71" s="367" t="s">
        <v>760</v>
      </c>
      <c r="C71" s="368">
        <f>SUM(C72:C90)</f>
        <v>266649.47999999998</v>
      </c>
      <c r="D71" s="369">
        <f>SUM(D72:D90)</f>
        <v>8184</v>
      </c>
      <c r="E71" s="369">
        <f>SUM(E72:E90)</f>
        <v>0</v>
      </c>
      <c r="F71" s="369">
        <f>SUM(F72:F90)</f>
        <v>0</v>
      </c>
      <c r="G71" s="369">
        <f>SUM(G72:G90)</f>
        <v>0</v>
      </c>
      <c r="H71" s="369">
        <f>SUM(H72:H90)</f>
        <v>104</v>
      </c>
      <c r="I71" s="369">
        <f>SUM(I72:I90)</f>
        <v>104</v>
      </c>
      <c r="J71" s="368">
        <f>SUM(J72:J90)</f>
        <v>0</v>
      </c>
      <c r="K71" s="368">
        <f>SUM(K72:K90)</f>
        <v>0</v>
      </c>
      <c r="L71" s="368">
        <f>SUM(L72:L90)</f>
        <v>0</v>
      </c>
      <c r="M71" s="368">
        <f>SUM(M72:M90)</f>
        <v>767876529.72000003</v>
      </c>
      <c r="N71" s="368">
        <f>SUM(N72:N90)</f>
        <v>767876529.72000003</v>
      </c>
      <c r="O71" s="365"/>
    </row>
    <row r="72" s="294" customFormat="1" ht="22.5" customHeight="1">
      <c r="A72" s="175">
        <v>1</v>
      </c>
      <c r="B72" s="260" t="s">
        <v>852</v>
      </c>
      <c r="C72" s="339">
        <f>'Таблица 1'!I837</f>
        <v>110593.02999999998</v>
      </c>
      <c r="D72" s="340">
        <f>'Таблица 1'!L837</f>
        <v>3615</v>
      </c>
      <c r="E72" s="340">
        <v>0</v>
      </c>
      <c r="F72" s="340">
        <v>0</v>
      </c>
      <c r="G72" s="340">
        <v>0</v>
      </c>
      <c r="H72" s="340">
        <v>29</v>
      </c>
      <c r="I72" s="340">
        <f t="shared" ref="I72:I90" si="203">H72</f>
        <v>29</v>
      </c>
      <c r="J72" s="339">
        <v>0</v>
      </c>
      <c r="K72" s="339">
        <v>0</v>
      </c>
      <c r="L72" s="339">
        <v>0</v>
      </c>
      <c r="M72" s="339">
        <f>'Таблица 1'!M837</f>
        <v>280240018.03000003</v>
      </c>
      <c r="N72" s="339">
        <f t="shared" ref="N72:N90" si="204">M72</f>
        <v>280240018.03000003</v>
      </c>
      <c r="O72" s="294"/>
    </row>
    <row r="73" s="370" customFormat="1" ht="22.5" customHeight="1">
      <c r="A73" s="175">
        <v>2</v>
      </c>
      <c r="B73" s="260" t="s">
        <v>854</v>
      </c>
      <c r="C73" s="213">
        <f>'Таблица 1'!I867</f>
        <v>774.58000000000004</v>
      </c>
      <c r="D73" s="340">
        <f>'Таблица 1'!L867</f>
        <v>34</v>
      </c>
      <c r="E73" s="355">
        <v>0</v>
      </c>
      <c r="F73" s="340">
        <v>0</v>
      </c>
      <c r="G73" s="355">
        <v>0</v>
      </c>
      <c r="H73" s="340">
        <v>1</v>
      </c>
      <c r="I73" s="355">
        <f t="shared" si="203"/>
        <v>1</v>
      </c>
      <c r="J73" s="339">
        <v>0</v>
      </c>
      <c r="K73" s="213">
        <v>0</v>
      </c>
      <c r="L73" s="339">
        <v>0</v>
      </c>
      <c r="M73" s="213">
        <f>'Таблица 1'!M867</f>
        <v>365117.09999999998</v>
      </c>
      <c r="N73" s="339">
        <f t="shared" si="204"/>
        <v>365117.09999999998</v>
      </c>
      <c r="O73" s="370"/>
    </row>
    <row r="74" s="294" customFormat="1" ht="22.5" customHeight="1">
      <c r="A74" s="175">
        <v>3</v>
      </c>
      <c r="B74" s="260" t="s">
        <v>855</v>
      </c>
      <c r="C74" s="339">
        <f>'Таблица 1'!I869</f>
        <v>1570.8599999999999</v>
      </c>
      <c r="D74" s="340">
        <f>'Таблица 1'!L869</f>
        <v>58</v>
      </c>
      <c r="E74" s="340">
        <v>0</v>
      </c>
      <c r="F74" s="340">
        <v>0</v>
      </c>
      <c r="G74" s="340">
        <v>0</v>
      </c>
      <c r="H74" s="340">
        <v>1</v>
      </c>
      <c r="I74" s="340">
        <f t="shared" si="203"/>
        <v>1</v>
      </c>
      <c r="J74" s="339">
        <v>0</v>
      </c>
      <c r="K74" s="339">
        <v>0</v>
      </c>
      <c r="L74" s="339">
        <v>0</v>
      </c>
      <c r="M74" s="339">
        <f>'Таблица 1'!M869</f>
        <v>14015314.959999999</v>
      </c>
      <c r="N74" s="339">
        <f t="shared" si="204"/>
        <v>14015314.959999999</v>
      </c>
      <c r="O74" s="294"/>
    </row>
    <row r="75" s="294" customFormat="1" ht="22.5" customHeight="1">
      <c r="A75" s="175">
        <v>4</v>
      </c>
      <c r="B75" s="260" t="s">
        <v>856</v>
      </c>
      <c r="C75" s="339">
        <f>'Таблица 1'!I871</f>
        <v>22778.799999999999</v>
      </c>
      <c r="D75" s="340">
        <f>'Таблица 1'!L871</f>
        <v>883</v>
      </c>
      <c r="E75" s="340">
        <v>0</v>
      </c>
      <c r="F75" s="340">
        <v>0</v>
      </c>
      <c r="G75" s="340">
        <v>0</v>
      </c>
      <c r="H75" s="340">
        <v>9</v>
      </c>
      <c r="I75" s="340">
        <f t="shared" si="203"/>
        <v>9</v>
      </c>
      <c r="J75" s="339">
        <v>0</v>
      </c>
      <c r="K75" s="339">
        <v>0</v>
      </c>
      <c r="L75" s="339">
        <v>0</v>
      </c>
      <c r="M75" s="339">
        <f>'Таблица 1'!M871</f>
        <v>32024712.330000002</v>
      </c>
      <c r="N75" s="339">
        <f t="shared" si="204"/>
        <v>32024712.330000002</v>
      </c>
      <c r="O75" s="294"/>
    </row>
    <row r="76" s="294" customFormat="1" ht="22.5" customHeight="1">
      <c r="A76" s="175">
        <v>5</v>
      </c>
      <c r="B76" s="260" t="s">
        <v>857</v>
      </c>
      <c r="C76" s="339">
        <f>'Таблица 1'!I881</f>
        <v>767</v>
      </c>
      <c r="D76" s="340">
        <f>'Таблица 1'!L881</f>
        <v>45</v>
      </c>
      <c r="E76" s="340">
        <v>0</v>
      </c>
      <c r="F76" s="340">
        <v>0</v>
      </c>
      <c r="G76" s="340">
        <v>0</v>
      </c>
      <c r="H76" s="340">
        <v>1</v>
      </c>
      <c r="I76" s="340">
        <f t="shared" si="203"/>
        <v>1</v>
      </c>
      <c r="J76" s="339">
        <v>0</v>
      </c>
      <c r="K76" s="339">
        <v>0</v>
      </c>
      <c r="L76" s="339">
        <v>0</v>
      </c>
      <c r="M76" s="339">
        <f>'Таблица 1'!M881</f>
        <v>6418309.8899999997</v>
      </c>
      <c r="N76" s="339">
        <f t="shared" si="204"/>
        <v>6418309.8899999997</v>
      </c>
      <c r="O76" s="294"/>
    </row>
    <row r="77" s="294" customFormat="1" ht="22.5" customHeight="1">
      <c r="A77" s="175">
        <v>6</v>
      </c>
      <c r="B77" s="260" t="s">
        <v>859</v>
      </c>
      <c r="C77" s="339">
        <f>'Таблица 1'!I883</f>
        <v>28034.299999999999</v>
      </c>
      <c r="D77" s="340">
        <f>'Таблица 1'!L883</f>
        <v>652</v>
      </c>
      <c r="E77" s="340">
        <v>0</v>
      </c>
      <c r="F77" s="340">
        <v>0</v>
      </c>
      <c r="G77" s="340">
        <v>0</v>
      </c>
      <c r="H77" s="340">
        <v>8</v>
      </c>
      <c r="I77" s="340">
        <f t="shared" si="203"/>
        <v>8</v>
      </c>
      <c r="J77" s="339">
        <v>0</v>
      </c>
      <c r="K77" s="339">
        <v>0</v>
      </c>
      <c r="L77" s="339">
        <v>0</v>
      </c>
      <c r="M77" s="339">
        <f>'Таблица 1'!M883</f>
        <v>82973909.859999999</v>
      </c>
      <c r="N77" s="339">
        <f t="shared" si="204"/>
        <v>82973909.859999999</v>
      </c>
      <c r="O77" s="294"/>
    </row>
    <row r="78" s="302" customFormat="1" ht="22.5" customHeight="1">
      <c r="A78" s="175">
        <v>7</v>
      </c>
      <c r="B78" s="260" t="s">
        <v>886</v>
      </c>
      <c r="C78" s="213">
        <f>'Таблица 1'!I892</f>
        <v>402</v>
      </c>
      <c r="D78" s="340">
        <f>'Таблица 1'!L892</f>
        <v>18</v>
      </c>
      <c r="E78" s="355">
        <v>0</v>
      </c>
      <c r="F78" s="340">
        <v>0</v>
      </c>
      <c r="G78" s="355">
        <v>0</v>
      </c>
      <c r="H78" s="340">
        <v>1</v>
      </c>
      <c r="I78" s="355">
        <f t="shared" si="203"/>
        <v>1</v>
      </c>
      <c r="J78" s="339">
        <v>0</v>
      </c>
      <c r="K78" s="213">
        <v>0</v>
      </c>
      <c r="L78" s="339">
        <v>0</v>
      </c>
      <c r="M78" s="213">
        <f>'Таблица 1'!M892</f>
        <v>671818.54999999993</v>
      </c>
      <c r="N78" s="339">
        <f t="shared" si="204"/>
        <v>671818.54999999993</v>
      </c>
      <c r="O78" s="302"/>
    </row>
    <row r="79" s="294" customFormat="1" ht="22.5" customHeight="1">
      <c r="A79" s="175">
        <v>8</v>
      </c>
      <c r="B79" s="260" t="s">
        <v>860</v>
      </c>
      <c r="C79" s="339">
        <f>'Таблица 1'!I894</f>
        <v>8374.0799999999999</v>
      </c>
      <c r="D79" s="340">
        <f>'Таблица 1'!L894</f>
        <v>200</v>
      </c>
      <c r="E79" s="340">
        <v>0</v>
      </c>
      <c r="F79" s="340">
        <v>0</v>
      </c>
      <c r="G79" s="340">
        <v>0</v>
      </c>
      <c r="H79" s="340">
        <v>5</v>
      </c>
      <c r="I79" s="340">
        <f t="shared" si="203"/>
        <v>5</v>
      </c>
      <c r="J79" s="339">
        <v>0</v>
      </c>
      <c r="K79" s="339">
        <v>0</v>
      </c>
      <c r="L79" s="339">
        <v>0</v>
      </c>
      <c r="M79" s="339">
        <f>'Таблица 1'!M894</f>
        <v>21229739.600000001</v>
      </c>
      <c r="N79" s="339">
        <f t="shared" si="204"/>
        <v>21229739.600000001</v>
      </c>
      <c r="O79" s="294"/>
    </row>
    <row r="80" s="294" customFormat="1" ht="22.5" customHeight="1">
      <c r="A80" s="175">
        <v>9</v>
      </c>
      <c r="B80" s="260" t="s">
        <v>865</v>
      </c>
      <c r="C80" s="339">
        <f>'Таблица 1'!I900</f>
        <v>4950.0999999999995</v>
      </c>
      <c r="D80" s="340">
        <f>'Таблица 1'!L900</f>
        <v>190</v>
      </c>
      <c r="E80" s="340">
        <v>0</v>
      </c>
      <c r="F80" s="340">
        <v>0</v>
      </c>
      <c r="G80" s="340">
        <v>0</v>
      </c>
      <c r="H80" s="340">
        <v>3</v>
      </c>
      <c r="I80" s="340">
        <f t="shared" si="203"/>
        <v>3</v>
      </c>
      <c r="J80" s="339">
        <v>0</v>
      </c>
      <c r="K80" s="339">
        <v>0</v>
      </c>
      <c r="L80" s="339">
        <v>0</v>
      </c>
      <c r="M80" s="339">
        <f>'Таблица 1'!M900</f>
        <v>21796582.989999998</v>
      </c>
      <c r="N80" s="339">
        <f t="shared" si="204"/>
        <v>21796582.989999998</v>
      </c>
      <c r="O80" s="294"/>
    </row>
    <row r="81" s="294" customFormat="1" ht="21.75" customHeight="1">
      <c r="A81" s="175">
        <v>10</v>
      </c>
      <c r="B81" s="260" t="s">
        <v>887</v>
      </c>
      <c r="C81" s="339">
        <f>'Таблица 1'!I904</f>
        <v>4823.7000000000007</v>
      </c>
      <c r="D81" s="340">
        <f>'Таблица 1'!L904</f>
        <v>129</v>
      </c>
      <c r="E81" s="340">
        <v>0</v>
      </c>
      <c r="F81" s="340">
        <v>0</v>
      </c>
      <c r="G81" s="340">
        <v>0</v>
      </c>
      <c r="H81" s="340">
        <v>4</v>
      </c>
      <c r="I81" s="340">
        <f t="shared" si="203"/>
        <v>4</v>
      </c>
      <c r="J81" s="339">
        <v>0</v>
      </c>
      <c r="K81" s="339">
        <v>0</v>
      </c>
      <c r="L81" s="339">
        <v>0</v>
      </c>
      <c r="M81" s="339">
        <f>'Таблица 1'!M904</f>
        <v>23241981.200000003</v>
      </c>
      <c r="N81" s="339">
        <f t="shared" si="204"/>
        <v>23241981.200000003</v>
      </c>
      <c r="O81" s="294"/>
    </row>
    <row r="82" s="294" customFormat="1" ht="22.5" customHeight="1">
      <c r="A82" s="175">
        <v>11</v>
      </c>
      <c r="B82" s="260" t="s">
        <v>891</v>
      </c>
      <c r="C82" s="339">
        <f>'Таблица 1'!I909</f>
        <v>9193.7000000000007</v>
      </c>
      <c r="D82" s="340">
        <f>'Таблица 1'!L909</f>
        <v>297</v>
      </c>
      <c r="E82" s="340">
        <v>0</v>
      </c>
      <c r="F82" s="340">
        <v>0</v>
      </c>
      <c r="G82" s="371">
        <v>0</v>
      </c>
      <c r="H82" s="371">
        <v>3</v>
      </c>
      <c r="I82" s="371">
        <f t="shared" si="203"/>
        <v>3</v>
      </c>
      <c r="J82" s="339">
        <v>0</v>
      </c>
      <c r="K82" s="339">
        <v>0</v>
      </c>
      <c r="L82" s="339">
        <v>0</v>
      </c>
      <c r="M82" s="339">
        <f>'Таблица 1'!M909</f>
        <v>27271196</v>
      </c>
      <c r="N82" s="339">
        <f t="shared" si="204"/>
        <v>27271196</v>
      </c>
      <c r="O82" s="294"/>
    </row>
    <row r="83" s="294" customFormat="1" ht="22.5" customHeight="1">
      <c r="A83" s="175">
        <v>12</v>
      </c>
      <c r="B83" s="260" t="s">
        <v>868</v>
      </c>
      <c r="C83" s="339">
        <f>'Таблица 1'!I913</f>
        <v>1715</v>
      </c>
      <c r="D83" s="340">
        <f>'Таблица 1'!L913</f>
        <v>30</v>
      </c>
      <c r="E83" s="340">
        <v>0</v>
      </c>
      <c r="F83" s="340">
        <v>0</v>
      </c>
      <c r="G83" s="371">
        <v>0</v>
      </c>
      <c r="H83" s="371">
        <v>2</v>
      </c>
      <c r="I83" s="371">
        <f t="shared" si="203"/>
        <v>2</v>
      </c>
      <c r="J83" s="339">
        <v>0</v>
      </c>
      <c r="K83" s="339">
        <v>0</v>
      </c>
      <c r="L83" s="339">
        <v>0</v>
      </c>
      <c r="M83" s="339">
        <f>'Таблица 1'!M913</f>
        <v>6516536.5699999994</v>
      </c>
      <c r="N83" s="339">
        <f t="shared" si="204"/>
        <v>6516536.5699999994</v>
      </c>
      <c r="O83" s="294"/>
    </row>
    <row r="84" s="294" customFormat="1" ht="22.5" customHeight="1">
      <c r="A84" s="175">
        <v>13</v>
      </c>
      <c r="B84" s="260" t="s">
        <v>869</v>
      </c>
      <c r="C84" s="339">
        <f>'Таблица 1'!I916</f>
        <v>2974.8900000000003</v>
      </c>
      <c r="D84" s="340">
        <f>'Таблица 1'!L916</f>
        <v>76</v>
      </c>
      <c r="E84" s="340">
        <v>0</v>
      </c>
      <c r="F84" s="340">
        <v>0</v>
      </c>
      <c r="G84" s="340">
        <v>0</v>
      </c>
      <c r="H84" s="340">
        <v>4</v>
      </c>
      <c r="I84" s="340">
        <f t="shared" si="203"/>
        <v>4</v>
      </c>
      <c r="J84" s="339">
        <v>0</v>
      </c>
      <c r="K84" s="339">
        <v>0</v>
      </c>
      <c r="L84" s="339">
        <v>0</v>
      </c>
      <c r="M84" s="339">
        <f>'Таблица 1'!M916</f>
        <v>21365651.73</v>
      </c>
      <c r="N84" s="339">
        <f t="shared" si="204"/>
        <v>21365651.73</v>
      </c>
      <c r="O84" s="294"/>
    </row>
    <row r="85" s="294" customFormat="1" ht="22.5" customHeight="1">
      <c r="A85" s="175">
        <v>14</v>
      </c>
      <c r="B85" s="260" t="s">
        <v>888</v>
      </c>
      <c r="C85" s="339">
        <f>'Таблица 1'!I921</f>
        <v>2476</v>
      </c>
      <c r="D85" s="340">
        <f>'Таблица 1'!L921</f>
        <v>62</v>
      </c>
      <c r="E85" s="340">
        <v>0</v>
      </c>
      <c r="F85" s="340">
        <v>0</v>
      </c>
      <c r="G85" s="340">
        <v>0</v>
      </c>
      <c r="H85" s="340">
        <v>3</v>
      </c>
      <c r="I85" s="340">
        <f t="shared" si="203"/>
        <v>3</v>
      </c>
      <c r="J85" s="339">
        <v>0</v>
      </c>
      <c r="K85" s="339">
        <v>0</v>
      </c>
      <c r="L85" s="339">
        <v>0</v>
      </c>
      <c r="M85" s="339">
        <f>'Таблица 1'!M921</f>
        <v>12270982.609999999</v>
      </c>
      <c r="N85" s="339">
        <f t="shared" si="204"/>
        <v>12270982.609999999</v>
      </c>
      <c r="O85" s="294"/>
    </row>
    <row r="86" s="294" customFormat="1" ht="22.5" customHeight="1">
      <c r="A86" s="175">
        <v>15</v>
      </c>
      <c r="B86" s="260" t="s">
        <v>874</v>
      </c>
      <c r="C86" s="213">
        <f>'Таблица 1'!I925</f>
        <v>5781.2200000000003</v>
      </c>
      <c r="D86" s="340">
        <f>'Таблица 1'!L925</f>
        <v>261</v>
      </c>
      <c r="E86" s="355">
        <v>0</v>
      </c>
      <c r="F86" s="340">
        <v>0</v>
      </c>
      <c r="G86" s="355">
        <v>0</v>
      </c>
      <c r="H86" s="340">
        <v>2</v>
      </c>
      <c r="I86" s="355">
        <f t="shared" si="203"/>
        <v>2</v>
      </c>
      <c r="J86" s="339">
        <v>0</v>
      </c>
      <c r="K86" s="213">
        <v>0</v>
      </c>
      <c r="L86" s="339">
        <v>0</v>
      </c>
      <c r="M86" s="213">
        <f>'Таблица 1'!M925</f>
        <v>531188</v>
      </c>
      <c r="N86" s="339">
        <f t="shared" si="204"/>
        <v>531188</v>
      </c>
      <c r="O86" s="294"/>
    </row>
    <row r="87" s="294" customFormat="1" ht="22.5" customHeight="1">
      <c r="A87" s="175">
        <v>16</v>
      </c>
      <c r="B87" s="260" t="s">
        <v>876</v>
      </c>
      <c r="C87" s="339">
        <f>'Таблица 1'!I928</f>
        <v>10950.799999999999</v>
      </c>
      <c r="D87" s="340">
        <f>'Таблица 1'!L928</f>
        <v>241</v>
      </c>
      <c r="E87" s="340">
        <v>0</v>
      </c>
      <c r="F87" s="340">
        <v>0</v>
      </c>
      <c r="G87" s="340">
        <v>0</v>
      </c>
      <c r="H87" s="340">
        <v>5</v>
      </c>
      <c r="I87" s="340">
        <f t="shared" si="203"/>
        <v>5</v>
      </c>
      <c r="J87" s="339">
        <v>0</v>
      </c>
      <c r="K87" s="339">
        <v>0</v>
      </c>
      <c r="L87" s="339">
        <v>0</v>
      </c>
      <c r="M87" s="339">
        <f>'Таблица 1'!M928</f>
        <v>40900714.379999995</v>
      </c>
      <c r="N87" s="339">
        <f t="shared" si="204"/>
        <v>40900714.379999995</v>
      </c>
      <c r="O87" s="294"/>
    </row>
    <row r="88" s="294" customFormat="1" ht="22.5" customHeight="1">
      <c r="A88" s="175">
        <v>17</v>
      </c>
      <c r="B88" s="260" t="s">
        <v>877</v>
      </c>
      <c r="C88" s="213">
        <f>'Таблица 1'!I934</f>
        <v>1755</v>
      </c>
      <c r="D88" s="340">
        <f>'Таблица 1'!L934</f>
        <v>74</v>
      </c>
      <c r="E88" s="355">
        <v>0</v>
      </c>
      <c r="F88" s="340">
        <v>0</v>
      </c>
      <c r="G88" s="355">
        <v>0</v>
      </c>
      <c r="H88" s="340">
        <v>2</v>
      </c>
      <c r="I88" s="355">
        <f t="shared" si="203"/>
        <v>2</v>
      </c>
      <c r="J88" s="339">
        <v>0</v>
      </c>
      <c r="K88" s="213">
        <v>0</v>
      </c>
      <c r="L88" s="339">
        <v>0</v>
      </c>
      <c r="M88" s="213">
        <f>'Таблица 1'!M934</f>
        <v>8917767.8000000007</v>
      </c>
      <c r="N88" s="339">
        <f t="shared" si="204"/>
        <v>8917767.8000000007</v>
      </c>
      <c r="O88" s="294"/>
    </row>
    <row r="89" s="294" customFormat="1" ht="22.5" customHeight="1">
      <c r="A89" s="175">
        <v>18</v>
      </c>
      <c r="B89" s="260" t="s">
        <v>878</v>
      </c>
      <c r="C89" s="339">
        <f>'Таблица 1'!I937</f>
        <v>34397.419999999998</v>
      </c>
      <c r="D89" s="340">
        <f>'Таблица 1'!L937</f>
        <v>660</v>
      </c>
      <c r="E89" s="340">
        <v>0</v>
      </c>
      <c r="F89" s="340">
        <v>0</v>
      </c>
      <c r="G89" s="340">
        <v>0</v>
      </c>
      <c r="H89" s="340">
        <v>14</v>
      </c>
      <c r="I89" s="340">
        <f t="shared" si="203"/>
        <v>14</v>
      </c>
      <c r="J89" s="339">
        <v>0</v>
      </c>
      <c r="K89" s="339">
        <v>0</v>
      </c>
      <c r="L89" s="339">
        <v>0</v>
      </c>
      <c r="M89" s="339">
        <f>'Таблица 1'!M937</f>
        <v>127631734.08000001</v>
      </c>
      <c r="N89" s="339">
        <f t="shared" si="204"/>
        <v>127631734.08000001</v>
      </c>
      <c r="O89" s="294"/>
    </row>
    <row r="90" s="294" customFormat="1" ht="22.5" customHeight="1">
      <c r="A90" s="175">
        <v>19</v>
      </c>
      <c r="B90" s="260" t="s">
        <v>890</v>
      </c>
      <c r="C90" s="339">
        <f>'Таблица 1'!I952</f>
        <v>14337.000000000002</v>
      </c>
      <c r="D90" s="340">
        <f>'Таблица 1'!L952</f>
        <v>659</v>
      </c>
      <c r="E90" s="340">
        <v>0</v>
      </c>
      <c r="F90" s="340">
        <v>0</v>
      </c>
      <c r="G90" s="340">
        <v>0</v>
      </c>
      <c r="H90" s="341">
        <v>7</v>
      </c>
      <c r="I90" s="340">
        <f t="shared" si="203"/>
        <v>7</v>
      </c>
      <c r="J90" s="339">
        <v>0</v>
      </c>
      <c r="K90" s="339">
        <v>0</v>
      </c>
      <c r="L90" s="339">
        <v>0</v>
      </c>
      <c r="M90" s="339">
        <f>'Таблица 1'!M952</f>
        <v>39493254.040000007</v>
      </c>
      <c r="N90" s="339">
        <f t="shared" si="204"/>
        <v>39493254.040000007</v>
      </c>
      <c r="O90" s="294"/>
    </row>
    <row r="91" s="294" customFormat="1" ht="27" customHeight="1">
      <c r="A91" s="123"/>
      <c r="B91" s="372"/>
      <c r="C91" s="213"/>
      <c r="D91" s="355"/>
      <c r="E91" s="355"/>
      <c r="F91" s="355"/>
      <c r="G91" s="355"/>
      <c r="H91" s="355"/>
      <c r="I91" s="355"/>
      <c r="J91" s="213"/>
      <c r="K91" s="213"/>
      <c r="L91" s="213"/>
      <c r="M91" s="213"/>
      <c r="N91" s="213"/>
      <c r="O91" s="294"/>
    </row>
    <row r="92" ht="27" customHeight="1">
      <c r="A92" s="373" t="s">
        <v>797</v>
      </c>
      <c r="B92" s="373"/>
      <c r="C92" s="374"/>
      <c r="D92" s="374"/>
      <c r="E92" s="374"/>
      <c r="F92" s="374"/>
      <c r="G92" s="374"/>
      <c r="H92" s="374"/>
      <c r="I92" s="374"/>
      <c r="J92" s="374"/>
      <c r="K92" s="374"/>
      <c r="L92" s="374"/>
      <c r="M92" s="374"/>
      <c r="N92" s="374"/>
      <c r="O92" s="375"/>
    </row>
    <row r="93" ht="33" customHeight="1">
      <c r="A93" s="376" t="s">
        <v>798</v>
      </c>
      <c r="B93" s="376"/>
      <c r="C93" s="376"/>
      <c r="D93" s="376"/>
      <c r="E93" s="376"/>
      <c r="F93" s="376"/>
      <c r="G93" s="376"/>
      <c r="H93" s="376"/>
      <c r="I93" s="376"/>
      <c r="J93" s="376"/>
      <c r="K93" s="376"/>
      <c r="L93" s="376"/>
      <c r="M93" s="376"/>
      <c r="N93" s="376"/>
      <c r="O93" s="377"/>
    </row>
    <row r="94" s="6" customFormat="1" ht="27" customHeight="1">
      <c r="A94" s="378"/>
      <c r="B94" s="367" t="s">
        <v>760</v>
      </c>
      <c r="C94" s="368">
        <f>SUM(C95:C105)</f>
        <v>245735.09399999995</v>
      </c>
      <c r="D94" s="369">
        <f>SUM(D95:D105)</f>
        <v>7380</v>
      </c>
      <c r="E94" s="369">
        <f>SUM(E95:E105)</f>
        <v>0</v>
      </c>
      <c r="F94" s="369">
        <f>SUM(F95:F105)</f>
        <v>0</v>
      </c>
      <c r="G94" s="369">
        <f>SUM(G95:G105)</f>
        <v>0</v>
      </c>
      <c r="H94" s="369">
        <f>SUM(H95:H105)</f>
        <v>46</v>
      </c>
      <c r="I94" s="369">
        <f>SUM(I95:I105)</f>
        <v>46</v>
      </c>
      <c r="J94" s="368">
        <f>SUM(J95:J105)</f>
        <v>0</v>
      </c>
      <c r="K94" s="368">
        <f>SUM(K95:K105)</f>
        <v>0</v>
      </c>
      <c r="L94" s="368">
        <f>SUM(L95:L105)</f>
        <v>0</v>
      </c>
      <c r="M94" s="368">
        <f>SUM(M95:M105)</f>
        <v>46405427.529999986</v>
      </c>
      <c r="N94" s="368">
        <f>SUM(N95:N105)</f>
        <v>46405427.529999986</v>
      </c>
      <c r="O94" s="365"/>
    </row>
    <row r="95" s="6" customFormat="1" ht="23.25" customHeight="1">
      <c r="A95" s="198">
        <v>1</v>
      </c>
      <c r="B95" s="260" t="s">
        <v>852</v>
      </c>
      <c r="C95" s="213">
        <f>'Таблица 1'!I964</f>
        <v>129718.59999999998</v>
      </c>
      <c r="D95" s="340">
        <f>'Таблица 1'!L964</f>
        <v>3343</v>
      </c>
      <c r="E95" s="355">
        <v>0</v>
      </c>
      <c r="F95" s="340">
        <v>0</v>
      </c>
      <c r="G95" s="355">
        <v>0</v>
      </c>
      <c r="H95" s="340">
        <v>21</v>
      </c>
      <c r="I95" s="355">
        <f t="shared" ref="I95:I105" si="205">H95</f>
        <v>21</v>
      </c>
      <c r="J95" s="339">
        <v>0</v>
      </c>
      <c r="K95" s="213">
        <v>0</v>
      </c>
      <c r="L95" s="339">
        <v>0</v>
      </c>
      <c r="M95" s="213">
        <f>'Таблица 1'!M964</f>
        <v>28755439.439999998</v>
      </c>
      <c r="N95" s="339">
        <f t="shared" ref="N95:N105" si="206">M95</f>
        <v>28755439.439999998</v>
      </c>
      <c r="O95" s="294"/>
    </row>
    <row r="96" s="6" customFormat="1" ht="23.25" customHeight="1">
      <c r="A96" s="198">
        <v>2</v>
      </c>
      <c r="B96" s="260" t="s">
        <v>855</v>
      </c>
      <c r="C96" s="339">
        <f>'Таблица 1'!I1000</f>
        <v>3068.23</v>
      </c>
      <c r="D96" s="340">
        <f>'Таблица 1'!L1000</f>
        <v>118</v>
      </c>
      <c r="E96" s="340">
        <v>0</v>
      </c>
      <c r="F96" s="340">
        <v>0</v>
      </c>
      <c r="G96" s="340">
        <v>0</v>
      </c>
      <c r="H96" s="340">
        <v>1</v>
      </c>
      <c r="I96" s="340">
        <f t="shared" si="205"/>
        <v>1</v>
      </c>
      <c r="J96" s="339">
        <v>0</v>
      </c>
      <c r="K96" s="339">
        <v>0</v>
      </c>
      <c r="L96" s="339">
        <v>0</v>
      </c>
      <c r="M96" s="339">
        <f>'Таблица 1'!M1000</f>
        <v>106040</v>
      </c>
      <c r="N96" s="339">
        <f t="shared" si="206"/>
        <v>106040</v>
      </c>
      <c r="O96" s="302"/>
    </row>
    <row r="97" s="6" customFormat="1" ht="23.25" customHeight="1">
      <c r="A97" s="198">
        <v>3</v>
      </c>
      <c r="B97" s="260" t="s">
        <v>856</v>
      </c>
      <c r="C97" s="339">
        <f>'Таблица 1'!I1002</f>
        <v>6946.3000000000002</v>
      </c>
      <c r="D97" s="340">
        <f>'Таблица 1'!L1002</f>
        <v>224</v>
      </c>
      <c r="E97" s="340">
        <v>0</v>
      </c>
      <c r="F97" s="340">
        <v>0</v>
      </c>
      <c r="G97" s="340">
        <v>0</v>
      </c>
      <c r="H97" s="340">
        <v>1</v>
      </c>
      <c r="I97" s="340">
        <f t="shared" si="205"/>
        <v>1</v>
      </c>
      <c r="J97" s="339">
        <v>0</v>
      </c>
      <c r="K97" s="339">
        <v>0</v>
      </c>
      <c r="L97" s="339">
        <v>0</v>
      </c>
      <c r="M97" s="339">
        <f>'Таблица 1'!M1002</f>
        <v>5313438.3700000001</v>
      </c>
      <c r="N97" s="339">
        <f t="shared" si="206"/>
        <v>5313438.3700000001</v>
      </c>
      <c r="O97" s="294"/>
    </row>
    <row r="98" s="6" customFormat="1" ht="23.25" customHeight="1">
      <c r="A98" s="198">
        <v>4</v>
      </c>
      <c r="B98" s="260" t="s">
        <v>858</v>
      </c>
      <c r="C98" s="213">
        <f>'Таблица 1'!I1004</f>
        <v>4707.5</v>
      </c>
      <c r="D98" s="340">
        <f>'Таблица 1'!L1004</f>
        <v>120</v>
      </c>
      <c r="E98" s="355">
        <v>0</v>
      </c>
      <c r="F98" s="340">
        <v>0</v>
      </c>
      <c r="G98" s="355">
        <v>0</v>
      </c>
      <c r="H98" s="340">
        <v>1</v>
      </c>
      <c r="I98" s="355">
        <f t="shared" si="205"/>
        <v>1</v>
      </c>
      <c r="J98" s="339">
        <v>0</v>
      </c>
      <c r="K98" s="213">
        <v>0</v>
      </c>
      <c r="L98" s="339">
        <v>0</v>
      </c>
      <c r="M98" s="213">
        <f>'Таблица 1'!M1004</f>
        <v>1132951.51</v>
      </c>
      <c r="N98" s="339">
        <f t="shared" si="206"/>
        <v>1132951.51</v>
      </c>
      <c r="O98" s="294"/>
    </row>
    <row r="99" s="6" customFormat="1" ht="23.25" customHeight="1">
      <c r="A99" s="198">
        <v>5</v>
      </c>
      <c r="B99" s="379" t="s">
        <v>860</v>
      </c>
      <c r="C99" s="339">
        <f>'Таблица 1'!I1006</f>
        <v>3754.1100000000001</v>
      </c>
      <c r="D99" s="340">
        <f>'Таблица 1'!L1006</f>
        <v>98</v>
      </c>
      <c r="E99" s="340">
        <v>0</v>
      </c>
      <c r="F99" s="340">
        <v>0</v>
      </c>
      <c r="G99" s="340">
        <v>0</v>
      </c>
      <c r="H99" s="340">
        <v>1</v>
      </c>
      <c r="I99" s="340">
        <f>H99</f>
        <v>1</v>
      </c>
      <c r="J99" s="339">
        <v>0</v>
      </c>
      <c r="K99" s="339">
        <v>0</v>
      </c>
      <c r="L99" s="339">
        <v>0</v>
      </c>
      <c r="M99" s="339">
        <f>'Таблица 1'!M1006</f>
        <v>40</v>
      </c>
      <c r="N99" s="339">
        <f>M99</f>
        <v>40</v>
      </c>
      <c r="O99" s="294"/>
    </row>
    <row r="100" s="6" customFormat="1" ht="23.25" customHeight="1">
      <c r="A100" s="198">
        <v>6</v>
      </c>
      <c r="B100" s="379" t="s">
        <v>861</v>
      </c>
      <c r="C100" s="339">
        <f>'Таблица 1'!I1009</f>
        <v>74550.173999999999</v>
      </c>
      <c r="D100" s="340">
        <f>'Таблица 1'!L1009</f>
        <v>2656</v>
      </c>
      <c r="E100" s="340">
        <v>0</v>
      </c>
      <c r="F100" s="340">
        <v>0</v>
      </c>
      <c r="G100" s="340">
        <v>0</v>
      </c>
      <c r="H100" s="340">
        <v>14</v>
      </c>
      <c r="I100" s="340">
        <f t="shared" si="205"/>
        <v>14</v>
      </c>
      <c r="J100" s="339">
        <v>0</v>
      </c>
      <c r="K100" s="339">
        <v>0</v>
      </c>
      <c r="L100" s="339">
        <v>0</v>
      </c>
      <c r="M100" s="339">
        <f>'Таблица 1'!Q1009</f>
        <v>10233715.550000001</v>
      </c>
      <c r="N100" s="339">
        <f t="shared" si="206"/>
        <v>10233715.550000001</v>
      </c>
      <c r="O100" s="294"/>
    </row>
    <row r="101" s="6" customFormat="1" ht="23.25" customHeight="1">
      <c r="A101" s="198">
        <v>7</v>
      </c>
      <c r="B101" s="260" t="s">
        <v>865</v>
      </c>
      <c r="C101" s="213">
        <f>'Таблица 1'!I1024</f>
        <v>6094.3000000000002</v>
      </c>
      <c r="D101" s="340">
        <f>'Таблица 1'!L1024</f>
        <v>209</v>
      </c>
      <c r="E101" s="355">
        <v>0</v>
      </c>
      <c r="F101" s="340">
        <v>0</v>
      </c>
      <c r="G101" s="355">
        <v>0</v>
      </c>
      <c r="H101" s="340">
        <v>2</v>
      </c>
      <c r="I101" s="355">
        <f t="shared" si="205"/>
        <v>2</v>
      </c>
      <c r="J101" s="339">
        <v>0</v>
      </c>
      <c r="K101" s="213">
        <v>0</v>
      </c>
      <c r="L101" s="339">
        <v>0</v>
      </c>
      <c r="M101" s="213">
        <f>'Таблица 1'!M1024</f>
        <v>-2057903.3999999994</v>
      </c>
      <c r="N101" s="339">
        <f t="shared" si="206"/>
        <v>-2057903.3999999994</v>
      </c>
      <c r="O101" s="294"/>
    </row>
    <row r="102" s="6" customFormat="1" ht="23.25" customHeight="1">
      <c r="A102" s="198">
        <v>8</v>
      </c>
      <c r="B102" s="260" t="s">
        <v>891</v>
      </c>
      <c r="C102" s="339">
        <f>'Таблица 1'!I1029</f>
        <v>923</v>
      </c>
      <c r="D102" s="340">
        <f>'Таблица 1'!L1029</f>
        <v>51</v>
      </c>
      <c r="E102" s="340">
        <v>0</v>
      </c>
      <c r="F102" s="340">
        <v>0</v>
      </c>
      <c r="G102" s="340">
        <v>0</v>
      </c>
      <c r="H102" s="340">
        <v>1</v>
      </c>
      <c r="I102" s="340">
        <f t="shared" si="205"/>
        <v>1</v>
      </c>
      <c r="J102" s="339">
        <v>0</v>
      </c>
      <c r="K102" s="339">
        <v>0</v>
      </c>
      <c r="L102" s="339">
        <v>0</v>
      </c>
      <c r="M102" s="339">
        <f>'Таблица 1'!M1029</f>
        <v>-0.5</v>
      </c>
      <c r="N102" s="339">
        <f t="shared" si="206"/>
        <v>-0.5</v>
      </c>
      <c r="O102" s="294"/>
    </row>
    <row r="103" s="6" customFormat="1" ht="23.25" customHeight="1">
      <c r="A103" s="198">
        <v>9</v>
      </c>
      <c r="B103" s="260" t="s">
        <v>888</v>
      </c>
      <c r="C103" s="339">
        <f>'Таблица 1'!I1032</f>
        <v>10265.779999999999</v>
      </c>
      <c r="D103" s="340">
        <f>'Таблица 1'!L1032</f>
        <v>378</v>
      </c>
      <c r="E103" s="340">
        <v>0</v>
      </c>
      <c r="F103" s="340">
        <v>0</v>
      </c>
      <c r="G103" s="340">
        <v>0</v>
      </c>
      <c r="H103" s="340">
        <v>2</v>
      </c>
      <c r="I103" s="340">
        <f t="shared" si="205"/>
        <v>2</v>
      </c>
      <c r="J103" s="339">
        <v>0</v>
      </c>
      <c r="K103" s="339">
        <v>0</v>
      </c>
      <c r="L103" s="339">
        <v>0</v>
      </c>
      <c r="M103" s="339">
        <f>'Таблица 1'!M1032</f>
        <v>2239110.4399999999</v>
      </c>
      <c r="N103" s="339">
        <f t="shared" si="206"/>
        <v>2239110.4399999999</v>
      </c>
      <c r="O103" s="294"/>
    </row>
    <row r="104" s="6" customFormat="1" ht="23.25" customHeight="1">
      <c r="A104" s="198">
        <v>10</v>
      </c>
      <c r="B104" s="260" t="s">
        <v>874</v>
      </c>
      <c r="C104" s="380">
        <f>'Таблица 1'!I1036</f>
        <v>631.5</v>
      </c>
      <c r="D104" s="355">
        <f>'Таблица 1'!L1036</f>
        <v>23</v>
      </c>
      <c r="E104" s="381">
        <v>0</v>
      </c>
      <c r="F104" s="355">
        <v>0</v>
      </c>
      <c r="G104" s="381">
        <v>0</v>
      </c>
      <c r="H104" s="355">
        <v>1</v>
      </c>
      <c r="I104" s="381">
        <f t="shared" si="205"/>
        <v>1</v>
      </c>
      <c r="J104" s="213">
        <v>0</v>
      </c>
      <c r="K104" s="380">
        <v>0</v>
      </c>
      <c r="L104" s="213">
        <v>0</v>
      </c>
      <c r="M104" s="380">
        <f>'Таблица 1'!M1036</f>
        <v>-157403.87999999989</v>
      </c>
      <c r="N104" s="339">
        <f t="shared" si="206"/>
        <v>-157403.87999999989</v>
      </c>
      <c r="O104" s="294"/>
    </row>
    <row r="105" s="6" customFormat="1" ht="23.25" customHeight="1">
      <c r="A105" s="198">
        <v>11</v>
      </c>
      <c r="B105" s="260" t="s">
        <v>878</v>
      </c>
      <c r="C105" s="339">
        <f>'Таблица 1'!I1039</f>
        <v>5075.6000000000004</v>
      </c>
      <c r="D105" s="340">
        <f>'Таблица 1'!L1039</f>
        <v>160</v>
      </c>
      <c r="E105" s="340">
        <v>0</v>
      </c>
      <c r="F105" s="340">
        <v>0</v>
      </c>
      <c r="G105" s="340">
        <v>0</v>
      </c>
      <c r="H105" s="340">
        <v>1</v>
      </c>
      <c r="I105" s="340">
        <f t="shared" si="205"/>
        <v>1</v>
      </c>
      <c r="J105" s="339">
        <v>0</v>
      </c>
      <c r="K105" s="339">
        <v>0</v>
      </c>
      <c r="L105" s="339">
        <v>0</v>
      </c>
      <c r="M105" s="339">
        <f>'Таблица 1'!M1039</f>
        <v>840000</v>
      </c>
      <c r="N105" s="339">
        <f t="shared" si="206"/>
        <v>840000</v>
      </c>
      <c r="O105" s="294"/>
    </row>
    <row r="106" s="6" customFormat="1" ht="23.25" customHeight="1">
      <c r="A106" s="123"/>
      <c r="B106" s="1"/>
      <c r="C106" s="213"/>
      <c r="D106" s="355"/>
      <c r="E106" s="355"/>
      <c r="F106" s="355"/>
      <c r="G106" s="355"/>
      <c r="H106" s="355"/>
      <c r="I106" s="355"/>
      <c r="J106" s="213"/>
      <c r="K106" s="213"/>
      <c r="L106" s="213"/>
      <c r="M106" s="213"/>
      <c r="N106" s="213"/>
      <c r="O106" s="294"/>
    </row>
    <row r="107" ht="14.2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ht="14.2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ht="14.2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14.25">
      <c r="C110" s="1"/>
      <c r="D110" s="1"/>
      <c r="I110" s="1"/>
      <c r="M110" s="1"/>
      <c r="N110" s="1"/>
    </row>
    <row r="111" ht="14.25">
      <c r="C111" s="1"/>
      <c r="D111" s="1"/>
      <c r="M111" s="1"/>
    </row>
  </sheetData>
  <mergeCells count="10">
    <mergeCell ref="K1:N1"/>
    <mergeCell ref="A2:N2"/>
    <mergeCell ref="A4:A6"/>
    <mergeCell ref="B4:B6"/>
    <mergeCell ref="C4:C5"/>
    <mergeCell ref="D4:D5"/>
    <mergeCell ref="E4:I4"/>
    <mergeCell ref="J4:N4"/>
    <mergeCell ref="A92:B92"/>
    <mergeCell ref="A93:N93"/>
  </mergeCells>
  <printOptions headings="0" gridLines="0"/>
  <pageMargins left="0.59055118110236227" right="0.19685039370078738" top="0.55118110236220474" bottom="0.19685039370078738" header="0.31496062992125984" footer="0.31496062992125984"/>
  <pageSetup paperSize="9" scale="65" firstPageNumber="26" fitToWidth="1" fitToHeight="1" pageOrder="downThenOver" orientation="landscape" usePrinterDefaults="1" blackAndWhite="0" draft="0" cellComments="none" useFirstPageNumber="1" errors="displayed" horizontalDpi="600" verticalDpi="600" copies="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view="pageBreakPreview" topLeftCell="N1" zoomScale="70" workbookViewId="0">
      <selection activeCell="C297" activeCellId="0" sqref="C297"/>
    </sheetView>
  </sheetViews>
  <sheetFormatPr defaultRowHeight="14.25"/>
  <cols>
    <col customWidth="1" min="1" max="1" style="382" width="5.44140625"/>
    <col customWidth="1" min="2" max="2" style="382" width="49.5546875"/>
    <col customWidth="1" min="3" max="3" style="383" width="17.109375"/>
    <col customWidth="1" min="4" max="4" style="383" width="17.6640625"/>
    <col customWidth="1" min="5" max="5" style="383" width="17.5546875"/>
    <col customWidth="1" min="6" max="6" style="383" width="16.88671875"/>
    <col customWidth="1" min="7" max="7" style="383" width="17.6640625"/>
    <col customWidth="1" min="8" max="8" style="383" width="16.44140625"/>
    <col customWidth="1" min="9" max="9" style="383" width="17.6640625"/>
    <col customWidth="1" min="10" max="10" style="383" width="8"/>
    <col customWidth="1" min="11" max="11" style="383" width="16.109375"/>
    <col customWidth="1" min="12" max="12" style="383" width="17.6640625"/>
    <col customWidth="1" min="13" max="13" style="383" width="15.33203125"/>
    <col customWidth="1" min="14" max="14" style="383" width="17.44140625"/>
    <col customWidth="1" min="15" max="15" style="383" width="15.88671875"/>
    <col customWidth="1" min="16" max="16" style="383" width="17.88671875"/>
    <col customWidth="1" min="17" max="17" style="383" width="17"/>
    <col customWidth="1" min="18" max="18" style="383" width="13.7109375"/>
    <col customWidth="1" min="19" max="19" style="383" width="18.109375"/>
    <col customWidth="1" min="20" max="20" style="383" width="11.109375"/>
  </cols>
  <sheetData>
    <row r="2" s="384" customFormat="1" ht="57" customHeight="1">
      <c r="A2" s="385" t="s">
        <v>892</v>
      </c>
      <c r="B2" s="385"/>
      <c r="C2" s="386"/>
      <c r="D2" s="386"/>
      <c r="E2" s="386"/>
      <c r="F2" s="386"/>
      <c r="G2" s="386"/>
      <c r="H2" s="386"/>
      <c r="I2" s="386"/>
      <c r="J2" s="386"/>
      <c r="K2" s="386"/>
      <c r="L2" s="386"/>
      <c r="M2" s="386"/>
      <c r="N2" s="386"/>
      <c r="O2" s="386"/>
      <c r="P2" s="386"/>
      <c r="Q2" s="386"/>
      <c r="R2" s="386"/>
      <c r="S2" s="386"/>
      <c r="T2" s="386"/>
      <c r="U2" s="384"/>
      <c r="V2" s="384"/>
      <c r="W2" s="384"/>
      <c r="X2" s="384"/>
      <c r="Y2" s="384"/>
      <c r="Z2" s="384"/>
      <c r="AA2" s="384"/>
      <c r="AB2" s="384"/>
      <c r="AC2" s="384"/>
      <c r="AD2" s="384"/>
      <c r="AE2" s="384"/>
    </row>
    <row r="3" ht="28.5" customHeight="1"/>
    <row r="4" ht="33.75" customHeight="1">
      <c r="A4" s="387" t="s">
        <v>8</v>
      </c>
      <c r="B4" s="387" t="s">
        <v>9</v>
      </c>
      <c r="C4" s="388" t="s">
        <v>893</v>
      </c>
      <c r="D4" s="388" t="s">
        <v>894</v>
      </c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 t="s">
        <v>895</v>
      </c>
      <c r="Q4" s="388"/>
      <c r="R4" s="388"/>
      <c r="S4" s="388"/>
      <c r="T4" s="388" t="s">
        <v>896</v>
      </c>
    </row>
    <row r="5" ht="29.399999999999999" customHeight="1">
      <c r="A5" s="387"/>
      <c r="B5" s="387"/>
      <c r="C5" s="388"/>
      <c r="D5" s="388" t="s">
        <v>897</v>
      </c>
      <c r="E5" s="388" t="s">
        <v>26</v>
      </c>
      <c r="F5" s="388"/>
      <c r="G5" s="388"/>
      <c r="H5" s="388"/>
      <c r="I5" s="388"/>
      <c r="J5" s="388" t="s">
        <v>898</v>
      </c>
      <c r="K5" s="388"/>
      <c r="L5" s="388" t="s">
        <v>899</v>
      </c>
      <c r="M5" s="388" t="s">
        <v>900</v>
      </c>
      <c r="N5" s="388" t="s">
        <v>901</v>
      </c>
      <c r="O5" s="388" t="s">
        <v>902</v>
      </c>
      <c r="P5" s="388" t="s">
        <v>903</v>
      </c>
      <c r="Q5" s="388" t="s">
        <v>904</v>
      </c>
      <c r="R5" s="388" t="s">
        <v>905</v>
      </c>
      <c r="S5" s="388" t="s">
        <v>906</v>
      </c>
      <c r="T5" s="388"/>
    </row>
    <row r="6" ht="274.5" customHeight="1">
      <c r="A6" s="387"/>
      <c r="B6" s="387"/>
      <c r="C6" s="388"/>
      <c r="D6" s="388"/>
      <c r="E6" s="388" t="s">
        <v>907</v>
      </c>
      <c r="F6" s="388" t="s">
        <v>908</v>
      </c>
      <c r="G6" s="388" t="s">
        <v>909</v>
      </c>
      <c r="H6" s="388" t="s">
        <v>910</v>
      </c>
      <c r="I6" s="388" t="s">
        <v>911</v>
      </c>
      <c r="J6" s="388"/>
      <c r="K6" s="388"/>
      <c r="L6" s="388"/>
      <c r="M6" s="388"/>
      <c r="N6" s="388"/>
      <c r="O6" s="388"/>
      <c r="P6" s="388"/>
      <c r="Q6" s="388"/>
      <c r="R6" s="388"/>
      <c r="S6" s="388"/>
      <c r="T6" s="388"/>
    </row>
    <row r="7" ht="19.5" customHeight="1">
      <c r="A7" s="387"/>
      <c r="B7" s="387"/>
      <c r="C7" s="388" t="s">
        <v>35</v>
      </c>
      <c r="D7" s="388" t="s">
        <v>35</v>
      </c>
      <c r="E7" s="388" t="s">
        <v>35</v>
      </c>
      <c r="F7" s="388" t="s">
        <v>35</v>
      </c>
      <c r="G7" s="388" t="s">
        <v>35</v>
      </c>
      <c r="H7" s="388" t="s">
        <v>35</v>
      </c>
      <c r="I7" s="388" t="s">
        <v>35</v>
      </c>
      <c r="J7" s="388" t="s">
        <v>851</v>
      </c>
      <c r="K7" s="388" t="s">
        <v>35</v>
      </c>
      <c r="L7" s="388" t="s">
        <v>35</v>
      </c>
      <c r="M7" s="388" t="s">
        <v>35</v>
      </c>
      <c r="N7" s="388" t="s">
        <v>35</v>
      </c>
      <c r="O7" s="388" t="s">
        <v>35</v>
      </c>
      <c r="P7" s="388" t="s">
        <v>35</v>
      </c>
      <c r="Q7" s="388" t="s">
        <v>35</v>
      </c>
      <c r="R7" s="388" t="s">
        <v>35</v>
      </c>
      <c r="S7" s="388" t="s">
        <v>35</v>
      </c>
      <c r="T7" s="388" t="s">
        <v>35</v>
      </c>
    </row>
    <row r="8" ht="18" customHeight="1">
      <c r="A8" s="387">
        <v>1</v>
      </c>
      <c r="B8" s="387">
        <v>2</v>
      </c>
      <c r="C8" s="389">
        <v>3</v>
      </c>
      <c r="D8" s="389">
        <v>4</v>
      </c>
      <c r="E8" s="389">
        <v>5</v>
      </c>
      <c r="F8" s="389">
        <v>6</v>
      </c>
      <c r="G8" s="389">
        <v>7</v>
      </c>
      <c r="H8" s="389">
        <v>8</v>
      </c>
      <c r="I8" s="389">
        <v>9</v>
      </c>
      <c r="J8" s="389">
        <v>10</v>
      </c>
      <c r="K8" s="389">
        <v>11</v>
      </c>
      <c r="L8" s="389">
        <v>12</v>
      </c>
      <c r="M8" s="389">
        <v>13</v>
      </c>
      <c r="N8" s="389">
        <v>14</v>
      </c>
      <c r="O8" s="389">
        <v>15</v>
      </c>
      <c r="P8" s="389">
        <v>16</v>
      </c>
      <c r="Q8" s="389">
        <v>17</v>
      </c>
      <c r="R8" s="389">
        <v>18</v>
      </c>
      <c r="S8" s="389">
        <v>19</v>
      </c>
      <c r="T8" s="389">
        <v>20</v>
      </c>
    </row>
    <row r="9" s="390" customFormat="1" ht="26.25" customHeight="1">
      <c r="A9" s="391" t="s">
        <v>37</v>
      </c>
      <c r="B9" s="391"/>
      <c r="C9" s="392"/>
      <c r="D9" s="392"/>
      <c r="E9" s="392"/>
      <c r="F9" s="392"/>
      <c r="G9" s="392"/>
      <c r="H9" s="392"/>
      <c r="I9" s="392"/>
      <c r="J9" s="392"/>
      <c r="K9" s="392"/>
      <c r="L9" s="392"/>
      <c r="M9" s="392"/>
      <c r="N9" s="392"/>
      <c r="O9" s="392"/>
      <c r="P9" s="392"/>
      <c r="Q9" s="392"/>
      <c r="R9" s="392"/>
      <c r="S9" s="392"/>
      <c r="T9" s="392"/>
      <c r="U9" s="390"/>
      <c r="V9" s="390"/>
      <c r="W9" s="390"/>
      <c r="X9" s="390"/>
      <c r="Y9" s="390"/>
      <c r="Z9" s="390"/>
      <c r="AA9" s="390"/>
      <c r="AB9" s="390"/>
      <c r="AC9" s="390"/>
      <c r="AD9" s="390"/>
      <c r="AE9" s="390"/>
    </row>
    <row r="10" s="365" customFormat="1" ht="27.75" customHeight="1">
      <c r="A10" s="393" t="s">
        <v>38</v>
      </c>
      <c r="B10" s="393"/>
      <c r="C10" s="394">
        <f>C11+C212+C217+C226+C232+C256+C258+C266+C269+C285+C302+C305+C308+C314+C328+C334+C349+C360+C370+C379+C382+C388+C395+C400+C412</f>
        <v>1464276200.9400008</v>
      </c>
      <c r="D10" s="394">
        <f>D11+D212+D217+D226+D232+D256+D258+D266+D269+D285+D302+D305+D308+D314+D328+D334+D349+D360+D370+D379+D382+D388+D395+D400+D412</f>
        <v>434431356.70999998</v>
      </c>
      <c r="E10" s="394">
        <f>E11+E212+E217+E226+E232+E256+E258+E266+E269+E285+E302+E305+E308+E314+E328+E334+E349+E360+E370+E379+E382+E388+E395+E400+E412</f>
        <v>137815040.27000001</v>
      </c>
      <c r="F10" s="394">
        <f>F11+F212+F217+F226+F232+F256+F258+F266+F269+F285+F302+F305+F308+F314+F328+F334+F349+F360+F370+F379+F382+F388+F395+F400+F412</f>
        <v>193689394.06999999</v>
      </c>
      <c r="G10" s="394">
        <f>G11+G212+G217+G226+G232+G256+G258+G266+G269+G285+G302+G305+G308+G314+G328+G334+G349+G360+G370+G379+G382+G388+G395+G400+G412</f>
        <v>38268354.019999996</v>
      </c>
      <c r="H10" s="394">
        <f>H11+H212+H217+H226+H232+H256+H258+H266+H269+H285+H302+H305+H308+H314+H328+H334+H349+H360+H370+H379+H382+H388+H395+H400+H412</f>
        <v>31105003.389999993</v>
      </c>
      <c r="I10" s="394">
        <f>I11+I212+I217+I226+I232+I256+I258+I266+I269+I285+I302+I305+I308+I314+I328+I334+I349+I360+I370+I379+I382+I388+I395+I400+I412</f>
        <v>33553564.959999997</v>
      </c>
      <c r="J10" s="395">
        <f>J11+J212+J217+J226+J232+J256+J258+J266+J269+J285+J302+J305+J308+J314+J328+J334+J349+J360+J370+J379+J382+J388+J395+J400+J412</f>
        <v>27</v>
      </c>
      <c r="K10" s="394">
        <f>K11+K212+K217+K226+K232+K256+K258+K266+K269+K285+K302+K305+K308+K314+K328+K334+K349+K360+K370+K379+K382+K388+K395+K400+K412</f>
        <v>94860786.590000004</v>
      </c>
      <c r="L10" s="394">
        <f>L11+L212+L217+L226+L232+L256+L258+L266+L269+L285+L302+L305+L308+L314+L328+L334+L349+L360+L370+L379+L382+L388+L395+L400+L412</f>
        <v>431454928.56999993</v>
      </c>
      <c r="M10" s="394">
        <f>M11+M212+M217+M226+M232+M256+M258+M266+M269+M285+M302+M305+M308+M314+M328+M334+M349+M360+M370+M379+M382+M388+M395+M400+M412</f>
        <v>631285.16000000003</v>
      </c>
      <c r="N10" s="394">
        <f>N11+N212+N217+N226+N232+N256+N258+N266+N269+N285+N302+N305+N308+N314+N328+N334+N349+N360+N370+N379+N382+N388+N395+N400+N412</f>
        <v>227946198.94999996</v>
      </c>
      <c r="O10" s="394">
        <f>O11+O212+O217+O226+O232+O256+O258+O266+O269+O285+O302+O305+O308+O314+O328+O334+O349+O360+O370+O379+O382+O388+O395+O400+O412</f>
        <v>0</v>
      </c>
      <c r="P10" s="394">
        <f>P11+P212+P217+P226+P232+P256+P258+P266+P269+P285+P302+P305+P308+P314+P328+P334+P349+P360+P370+P379+P382+P388+P395+P400+P412</f>
        <v>70974558.879999995</v>
      </c>
      <c r="Q10" s="394">
        <f>Q11+Q212+Q217+Q226+Q232+Q256+Q258+Q266+Q269+Q285+Q302+Q305+Q308+Q314+Q328+Q334+Q349+Q360+Q370+Q379+Q382+Q388+Q395+Q400+Q412</f>
        <v>0</v>
      </c>
      <c r="R10" s="394">
        <f>R11+R212+R217+R226+R232+R256+R258+R266+R269+R285+R302+R305+R308+R314+R328+R334+R349+R360+R370+R379+R382+R388+R395+R400+R412</f>
        <v>146194</v>
      </c>
      <c r="S10" s="394">
        <f>S11+S212+S217+S226+S232+S256+S258+S266+S269+S285+S302+S305+S308+S314+S328+S334+S349+S360+S370+S379+S382+S388+S395+S400+S412</f>
        <v>203830892.08000004</v>
      </c>
      <c r="T10" s="394">
        <f>T11+T212+T217+T226+T232+T256+T258+T266+T269+T285+T302+T305+T308+T314+T328+T334+T349+T360+T370+T379+T382+T388+T395+T400+T412</f>
        <v>0</v>
      </c>
      <c r="U10" s="365"/>
      <c r="V10" s="365"/>
      <c r="W10" s="365"/>
      <c r="X10" s="365"/>
      <c r="Y10" s="365"/>
      <c r="Z10" s="365"/>
      <c r="AA10" s="365"/>
      <c r="AB10" s="365"/>
      <c r="AC10" s="365"/>
      <c r="AD10" s="365"/>
      <c r="AE10" s="365"/>
    </row>
    <row r="11" s="365" customFormat="1" ht="24" customHeight="1">
      <c r="A11" s="393" t="s">
        <v>41</v>
      </c>
      <c r="B11" s="393"/>
      <c r="C11" s="394">
        <f>SUM(C12:C211)</f>
        <v>888437309.85000038</v>
      </c>
      <c r="D11" s="394">
        <f>SUM(D12:D211)</f>
        <v>240715665.68999997</v>
      </c>
      <c r="E11" s="394">
        <f>SUM(E12:E211)</f>
        <v>78379231.810000002</v>
      </c>
      <c r="F11" s="394">
        <f>SUM(F12:F211)</f>
        <v>115297809.88000001</v>
      </c>
      <c r="G11" s="394">
        <f>SUM(G12:G211)</f>
        <v>29732906.369999997</v>
      </c>
      <c r="H11" s="394">
        <f>SUM(H12:H211)</f>
        <v>9778836.7699999996</v>
      </c>
      <c r="I11" s="394">
        <f>SUM(I12:I211)</f>
        <v>7526880.8599999994</v>
      </c>
      <c r="J11" s="395">
        <f>SUM(J12:J211)</f>
        <v>27</v>
      </c>
      <c r="K11" s="394">
        <f>SUM(K12:K211)</f>
        <v>94860786.590000004</v>
      </c>
      <c r="L11" s="394">
        <f>SUM(L12:L211)</f>
        <v>251003899.20999998</v>
      </c>
      <c r="M11" s="394">
        <f>SUM(M12:M211)</f>
        <v>0</v>
      </c>
      <c r="N11" s="394">
        <f>SUM(N12:N211)</f>
        <v>160522393.47999996</v>
      </c>
      <c r="O11" s="394">
        <f>SUM(O12:O211)</f>
        <v>0</v>
      </c>
      <c r="P11" s="394">
        <f>SUM(P12:P211)</f>
        <v>43983492.969999991</v>
      </c>
      <c r="Q11" s="394">
        <f>SUM(Q12:Q211)</f>
        <v>0</v>
      </c>
      <c r="R11" s="394">
        <f>SUM(R12:R211)</f>
        <v>0</v>
      </c>
      <c r="S11" s="394">
        <f>SUM(S12:S211)</f>
        <v>97351071.910000011</v>
      </c>
      <c r="T11" s="394">
        <f>SUM(T12:T211)</f>
        <v>0</v>
      </c>
      <c r="U11" s="365"/>
      <c r="V11" s="365"/>
      <c r="W11" s="365"/>
      <c r="X11" s="365"/>
      <c r="Y11" s="365"/>
      <c r="Z11" s="365"/>
      <c r="AA11" s="365"/>
      <c r="AB11" s="365"/>
      <c r="AC11" s="365"/>
      <c r="AD11" s="365"/>
      <c r="AE11" s="365"/>
    </row>
    <row r="12" s="365" customFormat="1" ht="24" customHeight="1">
      <c r="A12" s="122">
        <v>1</v>
      </c>
      <c r="B12" s="396" t="s">
        <v>912</v>
      </c>
      <c r="C12" s="215">
        <f>D12+K12+L12+M12+N12+O12+P12+Q12+R12+S12+T12</f>
        <v>314576.98999999999</v>
      </c>
      <c r="D12" s="215">
        <f>SUM(E12:I12)</f>
        <v>0</v>
      </c>
      <c r="E12" s="397">
        <v>0</v>
      </c>
      <c r="F12" s="397">
        <v>0</v>
      </c>
      <c r="G12" s="397">
        <v>0</v>
      </c>
      <c r="H12" s="397">
        <v>0</v>
      </c>
      <c r="I12" s="397">
        <v>0</v>
      </c>
      <c r="J12" s="310">
        <v>0</v>
      </c>
      <c r="K12" s="215">
        <v>0</v>
      </c>
      <c r="L12" s="215">
        <v>0</v>
      </c>
      <c r="M12" s="215">
        <v>0</v>
      </c>
      <c r="N12" s="215">
        <v>0</v>
      </c>
      <c r="O12" s="215">
        <v>0</v>
      </c>
      <c r="P12" s="397">
        <v>314576.98999999999</v>
      </c>
      <c r="Q12" s="215">
        <v>0</v>
      </c>
      <c r="R12" s="215">
        <v>0</v>
      </c>
      <c r="S12" s="215">
        <v>0</v>
      </c>
      <c r="T12" s="215">
        <v>0</v>
      </c>
      <c r="U12" s="365"/>
      <c r="V12" s="365"/>
      <c r="W12" s="365"/>
      <c r="X12" s="365"/>
      <c r="Y12" s="365"/>
      <c r="Z12" s="365"/>
      <c r="AA12" s="365"/>
      <c r="AB12" s="365"/>
      <c r="AC12" s="365"/>
      <c r="AD12" s="365"/>
      <c r="AE12" s="365"/>
    </row>
    <row r="13" s="350" customFormat="1" ht="24" customHeight="1">
      <c r="A13" s="33">
        <v>2</v>
      </c>
      <c r="B13" s="42" t="s">
        <v>913</v>
      </c>
      <c r="C13" s="215">
        <f>D13+K13+L13+M13+N13+O13+P13+Q13+R13+S13+T13</f>
        <v>5950906.5700000003</v>
      </c>
      <c r="D13" s="215">
        <f>SUM(E13:I13)</f>
        <v>5675335.2999999998</v>
      </c>
      <c r="E13" s="92">
        <v>0</v>
      </c>
      <c r="F13" s="92">
        <v>5675335.2999999998</v>
      </c>
      <c r="G13" s="92">
        <v>0</v>
      </c>
      <c r="H13" s="92">
        <v>0</v>
      </c>
      <c r="I13" s="92">
        <v>0</v>
      </c>
      <c r="J13" s="398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92">
        <v>275571.27000000002</v>
      </c>
      <c r="Q13" s="79">
        <v>0</v>
      </c>
      <c r="R13" s="79">
        <v>0</v>
      </c>
      <c r="S13" s="79">
        <v>0</v>
      </c>
      <c r="T13" s="79">
        <v>0</v>
      </c>
      <c r="U13" s="350"/>
      <c r="V13" s="350"/>
      <c r="W13" s="350"/>
      <c r="X13" s="350"/>
      <c r="Y13" s="350"/>
      <c r="Z13" s="350"/>
      <c r="AA13" s="350"/>
      <c r="AB13" s="350"/>
      <c r="AC13" s="350"/>
      <c r="AD13" s="350"/>
      <c r="AE13" s="350"/>
    </row>
    <row r="14" s="399" customFormat="1" ht="24" customHeight="1">
      <c r="A14" s="122">
        <v>3</v>
      </c>
      <c r="B14" s="42" t="s">
        <v>914</v>
      </c>
      <c r="C14" s="215">
        <f>D14+K14+L14+M14+N14+O14+P14+Q14+R14+S14+T14</f>
        <v>171672.69</v>
      </c>
      <c r="D14" s="215">
        <f>SUM(E14:I14)</f>
        <v>0</v>
      </c>
      <c r="E14" s="92">
        <v>0</v>
      </c>
      <c r="F14" s="400">
        <v>0</v>
      </c>
      <c r="G14" s="92">
        <v>0</v>
      </c>
      <c r="H14" s="92">
        <v>0</v>
      </c>
      <c r="I14" s="400">
        <v>0</v>
      </c>
      <c r="J14" s="345">
        <v>0</v>
      </c>
      <c r="K14" s="400">
        <v>0</v>
      </c>
      <c r="L14" s="158">
        <v>0</v>
      </c>
      <c r="M14" s="400">
        <v>0</v>
      </c>
      <c r="N14" s="158">
        <v>0</v>
      </c>
      <c r="O14" s="400">
        <v>0</v>
      </c>
      <c r="P14" s="92">
        <v>171672.69</v>
      </c>
      <c r="Q14" s="400">
        <v>0</v>
      </c>
      <c r="R14" s="158">
        <v>0</v>
      </c>
      <c r="S14" s="400">
        <v>0</v>
      </c>
      <c r="T14" s="79">
        <v>0</v>
      </c>
      <c r="U14" s="399"/>
      <c r="V14" s="399"/>
      <c r="W14" s="399"/>
      <c r="X14" s="399"/>
      <c r="Y14" s="399"/>
      <c r="Z14" s="399"/>
      <c r="AA14" s="399"/>
      <c r="AB14" s="399"/>
      <c r="AC14" s="399"/>
      <c r="AD14" s="399"/>
      <c r="AE14" s="399"/>
    </row>
    <row r="15" s="350" customFormat="1" ht="24" customHeight="1">
      <c r="A15" s="33">
        <v>4</v>
      </c>
      <c r="B15" s="42" t="s">
        <v>915</v>
      </c>
      <c r="C15" s="215">
        <f>D15+K15+L15+M15+N15+O15+P15+Q15+R15+S15+T15</f>
        <v>5669424.5199999996</v>
      </c>
      <c r="D15" s="215">
        <f>SUM(E15:I15)</f>
        <v>0</v>
      </c>
      <c r="E15" s="92">
        <v>0</v>
      </c>
      <c r="F15" s="79">
        <v>0</v>
      </c>
      <c r="G15" s="79">
        <v>0</v>
      </c>
      <c r="H15" s="92">
        <v>0</v>
      </c>
      <c r="I15" s="79">
        <v>0</v>
      </c>
      <c r="J15" s="398">
        <v>0</v>
      </c>
      <c r="K15" s="79">
        <v>0</v>
      </c>
      <c r="L15" s="79">
        <v>0</v>
      </c>
      <c r="M15" s="79">
        <v>0</v>
      </c>
      <c r="N15" s="92">
        <v>5391200.8499999996</v>
      </c>
      <c r="O15" s="79">
        <v>0</v>
      </c>
      <c r="P15" s="92">
        <v>278223.66999999998</v>
      </c>
      <c r="Q15" s="79">
        <v>0</v>
      </c>
      <c r="R15" s="79">
        <v>0</v>
      </c>
      <c r="S15" s="79">
        <v>0</v>
      </c>
      <c r="T15" s="79">
        <v>0</v>
      </c>
      <c r="U15" s="350"/>
      <c r="V15" s="350"/>
      <c r="W15" s="350"/>
      <c r="X15" s="350"/>
      <c r="Y15" s="350"/>
      <c r="Z15" s="350"/>
      <c r="AA15" s="350"/>
      <c r="AB15" s="350"/>
      <c r="AC15" s="350"/>
      <c r="AD15" s="350"/>
      <c r="AE15" s="350"/>
    </row>
    <row r="16" s="350" customFormat="1" ht="24" customHeight="1">
      <c r="A16" s="122">
        <v>5</v>
      </c>
      <c r="B16" s="42" t="s">
        <v>916</v>
      </c>
      <c r="C16" s="215">
        <f>D16+K16+L16+M16+N16+O16+P16+Q16+R16+S16+T16</f>
        <v>6739721.1099999994</v>
      </c>
      <c r="D16" s="215">
        <f>SUM(E16:I16)</f>
        <v>6165882.9199999999</v>
      </c>
      <c r="E16" s="92">
        <v>0</v>
      </c>
      <c r="F16" s="92">
        <v>6165882.9199999999</v>
      </c>
      <c r="G16" s="79">
        <v>0</v>
      </c>
      <c r="H16" s="92">
        <v>0</v>
      </c>
      <c r="I16" s="92">
        <v>0</v>
      </c>
      <c r="J16" s="398">
        <v>0</v>
      </c>
      <c r="K16" s="79">
        <v>0</v>
      </c>
      <c r="L16" s="92">
        <v>0</v>
      </c>
      <c r="M16" s="79">
        <v>0</v>
      </c>
      <c r="N16" s="79">
        <v>0</v>
      </c>
      <c r="O16" s="79">
        <v>0</v>
      </c>
      <c r="P16" s="92">
        <v>573838.18999999994</v>
      </c>
      <c r="Q16" s="79">
        <v>0</v>
      </c>
      <c r="R16" s="79">
        <v>0</v>
      </c>
      <c r="S16" s="79">
        <v>0</v>
      </c>
      <c r="T16" s="79">
        <v>0</v>
      </c>
      <c r="U16" s="350"/>
      <c r="V16" s="350"/>
      <c r="W16" s="350"/>
      <c r="X16" s="350"/>
      <c r="Y16" s="350"/>
      <c r="Z16" s="350"/>
      <c r="AA16" s="350"/>
      <c r="AB16" s="350"/>
      <c r="AC16" s="350"/>
      <c r="AD16" s="350"/>
      <c r="AE16" s="350"/>
    </row>
    <row r="17" s="350" customFormat="1" ht="24" customHeight="1">
      <c r="A17" s="33">
        <v>6</v>
      </c>
      <c r="B17" s="42" t="s">
        <v>917</v>
      </c>
      <c r="C17" s="215">
        <f>D17+K17+L17+M17+N17+O17+P17+Q17+R17+S17+T17</f>
        <v>16977503.699999999</v>
      </c>
      <c r="D17" s="215">
        <f>SUM(E17:I17)</f>
        <v>4547938.7999999998</v>
      </c>
      <c r="E17" s="92">
        <v>0</v>
      </c>
      <c r="F17" s="92">
        <v>4547938.7999999998</v>
      </c>
      <c r="G17" s="79">
        <v>0</v>
      </c>
      <c r="H17" s="92">
        <v>0</v>
      </c>
      <c r="I17" s="92">
        <v>0</v>
      </c>
      <c r="J17" s="398">
        <v>0</v>
      </c>
      <c r="K17" s="79">
        <v>0</v>
      </c>
      <c r="L17" s="92">
        <v>12140760.970000001</v>
      </c>
      <c r="M17" s="79">
        <v>0</v>
      </c>
      <c r="N17" s="79">
        <v>0</v>
      </c>
      <c r="O17" s="79">
        <v>0</v>
      </c>
      <c r="P17" s="92">
        <v>288803.92999999999</v>
      </c>
      <c r="Q17" s="79">
        <v>0</v>
      </c>
      <c r="R17" s="79">
        <v>0</v>
      </c>
      <c r="S17" s="79">
        <v>0</v>
      </c>
      <c r="T17" s="79">
        <v>0</v>
      </c>
      <c r="U17" s="350"/>
      <c r="V17" s="350"/>
      <c r="W17" s="350"/>
      <c r="X17" s="350"/>
      <c r="Y17" s="350"/>
      <c r="Z17" s="350"/>
      <c r="AA17" s="350"/>
      <c r="AB17" s="350"/>
      <c r="AC17" s="350"/>
      <c r="AD17" s="350"/>
      <c r="AE17" s="350"/>
    </row>
    <row r="18" s="350" customFormat="1" ht="24" customHeight="1">
      <c r="A18" s="122">
        <v>7</v>
      </c>
      <c r="B18" s="42" t="s">
        <v>918</v>
      </c>
      <c r="C18" s="215">
        <f>D18+K18+L18+M18+N18+O18+P18+Q18+R18+S18+T18</f>
        <v>15896526.6</v>
      </c>
      <c r="D18" s="215">
        <f>SUM(E18:I18)</f>
        <v>5686206.4299999997</v>
      </c>
      <c r="E18" s="92">
        <v>0</v>
      </c>
      <c r="F18" s="92">
        <v>5686206.4299999997</v>
      </c>
      <c r="G18" s="79">
        <v>0</v>
      </c>
      <c r="H18" s="92">
        <v>0</v>
      </c>
      <c r="I18" s="92">
        <v>0</v>
      </c>
      <c r="J18" s="398">
        <v>0</v>
      </c>
      <c r="K18" s="79">
        <v>0</v>
      </c>
      <c r="L18" s="92">
        <v>9662889.4100000001</v>
      </c>
      <c r="M18" s="79">
        <v>0</v>
      </c>
      <c r="N18" s="79">
        <v>0</v>
      </c>
      <c r="O18" s="79">
        <v>0</v>
      </c>
      <c r="P18" s="92">
        <v>547430.76000000001</v>
      </c>
      <c r="Q18" s="79">
        <v>0</v>
      </c>
      <c r="R18" s="79">
        <v>0</v>
      </c>
      <c r="S18" s="79">
        <v>0</v>
      </c>
      <c r="T18" s="79">
        <v>0</v>
      </c>
      <c r="U18" s="350"/>
      <c r="V18" s="350"/>
      <c r="W18" s="350"/>
      <c r="X18" s="350"/>
      <c r="Y18" s="350"/>
      <c r="Z18" s="350"/>
      <c r="AA18" s="350"/>
      <c r="AB18" s="350"/>
      <c r="AC18" s="350"/>
      <c r="AD18" s="350"/>
      <c r="AE18" s="350"/>
    </row>
    <row r="19" s="350" customFormat="1" ht="24" customHeight="1">
      <c r="A19" s="33">
        <v>8</v>
      </c>
      <c r="B19" s="42" t="s">
        <v>919</v>
      </c>
      <c r="C19" s="215">
        <f>D19+K19+L19+M19+N19+O19+P19+Q19+R19+S19+T19</f>
        <v>16333474.01</v>
      </c>
      <c r="D19" s="215">
        <f>SUM(E19:I19)</f>
        <v>4821190.0499999998</v>
      </c>
      <c r="E19" s="92">
        <v>0</v>
      </c>
      <c r="F19" s="92">
        <v>4821190.0499999998</v>
      </c>
      <c r="G19" s="79">
        <v>0</v>
      </c>
      <c r="H19" s="92">
        <v>0</v>
      </c>
      <c r="I19" s="79">
        <v>0</v>
      </c>
      <c r="J19" s="398">
        <v>0</v>
      </c>
      <c r="K19" s="79">
        <v>0</v>
      </c>
      <c r="L19" s="92">
        <v>11246005.039999999</v>
      </c>
      <c r="M19" s="79">
        <v>0</v>
      </c>
      <c r="N19" s="79">
        <v>0</v>
      </c>
      <c r="O19" s="79">
        <v>0</v>
      </c>
      <c r="P19" s="92">
        <v>266278.91999999998</v>
      </c>
      <c r="Q19" s="79">
        <v>0</v>
      </c>
      <c r="R19" s="79">
        <v>0</v>
      </c>
      <c r="S19" s="79">
        <v>0</v>
      </c>
      <c r="T19" s="79">
        <v>0</v>
      </c>
      <c r="U19" s="350"/>
      <c r="V19" s="350"/>
      <c r="W19" s="350"/>
      <c r="X19" s="350"/>
      <c r="Y19" s="350"/>
      <c r="Z19" s="350"/>
      <c r="AA19" s="350"/>
      <c r="AB19" s="350"/>
      <c r="AC19" s="350"/>
      <c r="AD19" s="350"/>
      <c r="AE19" s="350"/>
      <c r="AF19" s="350"/>
      <c r="AG19" s="350"/>
      <c r="AH19" s="350"/>
      <c r="AI19" s="350"/>
    </row>
    <row r="20" s="350" customFormat="1" ht="24" customHeight="1">
      <c r="A20" s="122">
        <v>9</v>
      </c>
      <c r="B20" s="42" t="s">
        <v>920</v>
      </c>
      <c r="C20" s="215">
        <f>D20+K20+L20+M20+N20+O20+P20+Q20+R20+S20+T20</f>
        <v>391899.60999999999</v>
      </c>
      <c r="D20" s="215">
        <f>SUM(E20:I20)</f>
        <v>391899.60999999999</v>
      </c>
      <c r="E20" s="92">
        <v>0</v>
      </c>
      <c r="F20" s="79">
        <v>0</v>
      </c>
      <c r="G20" s="79">
        <v>0</v>
      </c>
      <c r="H20" s="92">
        <v>0</v>
      </c>
      <c r="I20" s="92">
        <v>391899.60999999999</v>
      </c>
      <c r="J20" s="398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  <c r="Q20" s="79">
        <v>0</v>
      </c>
      <c r="R20" s="79">
        <v>0</v>
      </c>
      <c r="S20" s="79">
        <v>0</v>
      </c>
      <c r="T20" s="79">
        <v>0</v>
      </c>
      <c r="U20" s="350"/>
      <c r="V20" s="350"/>
      <c r="W20" s="350"/>
      <c r="X20" s="350"/>
      <c r="Y20" s="350"/>
      <c r="Z20" s="350"/>
      <c r="AA20" s="350"/>
      <c r="AB20" s="350"/>
      <c r="AC20" s="350"/>
      <c r="AD20" s="350"/>
      <c r="AE20" s="350"/>
    </row>
    <row r="21" s="350" customFormat="1" ht="24" customHeight="1">
      <c r="A21" s="33">
        <v>10</v>
      </c>
      <c r="B21" s="42" t="s">
        <v>921</v>
      </c>
      <c r="C21" s="215">
        <f>D21+K21+L21+M21+N21+O21+P21+Q21+R21+S21+T21</f>
        <v>10953603.43</v>
      </c>
      <c r="D21" s="215">
        <f>SUM(E21:I21)</f>
        <v>3170574</v>
      </c>
      <c r="E21" s="92">
        <v>0</v>
      </c>
      <c r="F21" s="92">
        <v>3170574</v>
      </c>
      <c r="G21" s="92">
        <v>0</v>
      </c>
      <c r="H21" s="92">
        <v>0</v>
      </c>
      <c r="I21" s="79">
        <v>0</v>
      </c>
      <c r="J21" s="398">
        <v>0</v>
      </c>
      <c r="K21" s="79">
        <v>0</v>
      </c>
      <c r="L21" s="92">
        <v>7516156.29</v>
      </c>
      <c r="M21" s="79">
        <v>0</v>
      </c>
      <c r="N21" s="79">
        <v>0</v>
      </c>
      <c r="O21" s="79">
        <v>0</v>
      </c>
      <c r="P21" s="92">
        <v>266873.14000000001</v>
      </c>
      <c r="Q21" s="79">
        <v>0</v>
      </c>
      <c r="R21" s="79">
        <v>0</v>
      </c>
      <c r="S21" s="79">
        <v>0</v>
      </c>
      <c r="T21" s="79">
        <v>0</v>
      </c>
      <c r="U21" s="350"/>
      <c r="V21" s="350"/>
      <c r="W21" s="350"/>
      <c r="X21" s="350"/>
      <c r="Y21" s="350"/>
      <c r="Z21" s="350"/>
      <c r="AA21" s="350"/>
      <c r="AB21" s="350"/>
      <c r="AC21" s="350"/>
      <c r="AD21" s="350"/>
      <c r="AE21" s="350"/>
    </row>
    <row r="22" s="350" customFormat="1" ht="24" customHeight="1">
      <c r="A22" s="122">
        <v>11</v>
      </c>
      <c r="B22" s="42" t="s">
        <v>59</v>
      </c>
      <c r="C22" s="215">
        <f>D22+K22+L22+M22+N22+O22+P22+Q22+R22+S22+T22</f>
        <v>458721.95000000001</v>
      </c>
      <c r="D22" s="215">
        <f>SUM(E22:I22)</f>
        <v>458721.95000000001</v>
      </c>
      <c r="E22" s="92">
        <v>0</v>
      </c>
      <c r="F22" s="79">
        <v>0</v>
      </c>
      <c r="G22" s="79">
        <v>0</v>
      </c>
      <c r="H22" s="92">
        <v>0</v>
      </c>
      <c r="I22" s="92">
        <v>458721.95000000001</v>
      </c>
      <c r="J22" s="398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0</v>
      </c>
      <c r="R22" s="79">
        <v>0</v>
      </c>
      <c r="S22" s="79">
        <v>0</v>
      </c>
      <c r="T22" s="79">
        <v>0</v>
      </c>
      <c r="U22" s="350"/>
      <c r="V22" s="350"/>
      <c r="W22" s="350"/>
      <c r="X22" s="350"/>
      <c r="Y22" s="350"/>
      <c r="Z22" s="350"/>
      <c r="AA22" s="350"/>
      <c r="AB22" s="350"/>
      <c r="AC22" s="350"/>
      <c r="AD22" s="350"/>
      <c r="AE22" s="350"/>
    </row>
    <row r="23" s="350" customFormat="1" ht="24" customHeight="1">
      <c r="A23" s="33">
        <v>12</v>
      </c>
      <c r="B23" s="42" t="s">
        <v>922</v>
      </c>
      <c r="C23" s="215">
        <f>D23+K23+L23+M23+N23+O23+P23+Q23+R23+S23+T23</f>
        <v>13855159.6</v>
      </c>
      <c r="D23" s="215">
        <f>SUM(E23:I23)</f>
        <v>4061635.2000000002</v>
      </c>
      <c r="E23" s="92">
        <v>4061635.2000000002</v>
      </c>
      <c r="F23" s="79">
        <v>0</v>
      </c>
      <c r="G23" s="79">
        <v>0</v>
      </c>
      <c r="H23" s="92">
        <v>0</v>
      </c>
      <c r="I23" s="92">
        <v>0</v>
      </c>
      <c r="J23" s="398">
        <v>0</v>
      </c>
      <c r="K23" s="79">
        <v>0</v>
      </c>
      <c r="L23" s="79">
        <v>0</v>
      </c>
      <c r="M23" s="79">
        <v>0</v>
      </c>
      <c r="N23" s="79">
        <v>9504062.9800000004</v>
      </c>
      <c r="O23" s="79">
        <v>0</v>
      </c>
      <c r="P23" s="79">
        <v>289461.41999999998</v>
      </c>
      <c r="Q23" s="79">
        <v>0</v>
      </c>
      <c r="R23" s="79">
        <v>0</v>
      </c>
      <c r="S23" s="79">
        <v>0</v>
      </c>
      <c r="T23" s="79">
        <v>0</v>
      </c>
      <c r="U23" s="350"/>
      <c r="V23" s="350"/>
      <c r="W23" s="350"/>
      <c r="X23" s="350"/>
      <c r="Y23" s="350"/>
      <c r="Z23" s="350"/>
      <c r="AA23" s="350"/>
      <c r="AB23" s="350"/>
      <c r="AC23" s="350"/>
      <c r="AD23" s="350"/>
      <c r="AE23" s="350"/>
    </row>
    <row r="24" s="350" customFormat="1" ht="24" customHeight="1">
      <c r="A24" s="122">
        <v>13</v>
      </c>
      <c r="B24" s="42" t="s">
        <v>923</v>
      </c>
      <c r="C24" s="215">
        <f>D24+K24+L24+M24+N24+O24+P24+Q24+R24+S24+T24</f>
        <v>3655628.2599999998</v>
      </c>
      <c r="D24" s="215">
        <f>SUM(E24:I24)</f>
        <v>3358034.1499999999</v>
      </c>
      <c r="E24" s="92">
        <v>3358034.1499999999</v>
      </c>
      <c r="F24" s="79">
        <v>0</v>
      </c>
      <c r="G24" s="79">
        <v>0</v>
      </c>
      <c r="H24" s="92">
        <v>0</v>
      </c>
      <c r="I24" s="79">
        <v>0</v>
      </c>
      <c r="J24" s="398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92">
        <v>297594.10999999999</v>
      </c>
      <c r="Q24" s="79">
        <v>0</v>
      </c>
      <c r="R24" s="79">
        <v>0</v>
      </c>
      <c r="S24" s="79">
        <v>0</v>
      </c>
      <c r="T24" s="79">
        <v>0</v>
      </c>
      <c r="U24" s="350"/>
      <c r="V24" s="350"/>
      <c r="W24" s="350"/>
      <c r="X24" s="350"/>
      <c r="Y24" s="350"/>
      <c r="Z24" s="350"/>
      <c r="AA24" s="350"/>
      <c r="AB24" s="350"/>
      <c r="AC24" s="350"/>
      <c r="AD24" s="350"/>
      <c r="AE24" s="350"/>
    </row>
    <row r="25" s="350" customFormat="1" ht="24" customHeight="1">
      <c r="A25" s="33">
        <v>14</v>
      </c>
      <c r="B25" s="42" t="s">
        <v>924</v>
      </c>
      <c r="C25" s="215">
        <f>D25+K25+L25+M25+N25+O25+P25+Q25+R25+S25+T25</f>
        <v>4547262.6200000001</v>
      </c>
      <c r="D25" s="215">
        <f>SUM(E25:I25)</f>
        <v>4246092.4000000004</v>
      </c>
      <c r="E25" s="92">
        <v>4246092.4000000004</v>
      </c>
      <c r="F25" s="158">
        <v>0</v>
      </c>
      <c r="G25" s="79">
        <v>0</v>
      </c>
      <c r="H25" s="92">
        <v>0</v>
      </c>
      <c r="I25" s="92">
        <v>0</v>
      </c>
      <c r="J25" s="345">
        <v>0</v>
      </c>
      <c r="K25" s="79">
        <v>0</v>
      </c>
      <c r="L25" s="92">
        <v>0</v>
      </c>
      <c r="M25" s="158">
        <v>0</v>
      </c>
      <c r="N25" s="79">
        <v>0</v>
      </c>
      <c r="O25" s="158">
        <v>0</v>
      </c>
      <c r="P25" s="92">
        <v>301170.21999999997</v>
      </c>
      <c r="Q25" s="158">
        <v>0</v>
      </c>
      <c r="R25" s="79">
        <v>0</v>
      </c>
      <c r="S25" s="158">
        <v>0</v>
      </c>
      <c r="T25" s="79">
        <v>0</v>
      </c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</row>
    <row r="26" s="350" customFormat="1" ht="24" customHeight="1">
      <c r="A26" s="122">
        <v>15</v>
      </c>
      <c r="B26" s="42" t="s">
        <v>925</v>
      </c>
      <c r="C26" s="215">
        <f>D26+K26+L26+M26+N26+O26+P26+Q26+R26+S26+T26</f>
        <v>9757581</v>
      </c>
      <c r="D26" s="215">
        <f>SUM(E26:I26)</f>
        <v>0</v>
      </c>
      <c r="E26" s="92">
        <v>0</v>
      </c>
      <c r="F26" s="79">
        <v>0</v>
      </c>
      <c r="G26" s="92">
        <v>0</v>
      </c>
      <c r="H26" s="92">
        <v>0</v>
      </c>
      <c r="I26" s="92">
        <v>0</v>
      </c>
      <c r="J26" s="398">
        <v>0</v>
      </c>
      <c r="K26" s="79">
        <v>0</v>
      </c>
      <c r="L26" s="79">
        <v>0</v>
      </c>
      <c r="M26" s="79">
        <v>0</v>
      </c>
      <c r="N26" s="92">
        <v>9458188.6999999993</v>
      </c>
      <c r="O26" s="79">
        <v>0</v>
      </c>
      <c r="P26" s="92">
        <v>299392.29999999999</v>
      </c>
      <c r="Q26" s="79">
        <v>0</v>
      </c>
      <c r="R26" s="79">
        <v>0</v>
      </c>
      <c r="S26" s="79">
        <v>0</v>
      </c>
      <c r="T26" s="79">
        <v>0</v>
      </c>
      <c r="U26" s="350"/>
      <c r="V26" s="350"/>
      <c r="W26" s="350"/>
      <c r="X26" s="350"/>
      <c r="Y26" s="350"/>
      <c r="Z26" s="350"/>
      <c r="AA26" s="350"/>
      <c r="AB26" s="350"/>
      <c r="AC26" s="350"/>
      <c r="AD26" s="350"/>
      <c r="AE26" s="350"/>
    </row>
    <row r="27" s="350" customFormat="1" ht="24" customHeight="1">
      <c r="A27" s="33">
        <v>16</v>
      </c>
      <c r="B27" s="42" t="s">
        <v>926</v>
      </c>
      <c r="C27" s="215">
        <f>D27+K27+L27+M27+N27+O27+P27+Q27+R27+S27+T27</f>
        <v>4739370.8499999996</v>
      </c>
      <c r="D27" s="215">
        <f>SUM(E27:I27)</f>
        <v>4271871.6299999999</v>
      </c>
      <c r="E27" s="92">
        <v>4271871.6299999999</v>
      </c>
      <c r="F27" s="158">
        <v>0</v>
      </c>
      <c r="G27" s="92">
        <v>0</v>
      </c>
      <c r="H27" s="92">
        <v>0</v>
      </c>
      <c r="I27" s="92">
        <v>0</v>
      </c>
      <c r="J27" s="345">
        <v>0</v>
      </c>
      <c r="K27" s="79">
        <v>0</v>
      </c>
      <c r="L27" s="158">
        <v>0</v>
      </c>
      <c r="M27" s="79">
        <v>0</v>
      </c>
      <c r="N27" s="92">
        <v>0</v>
      </c>
      <c r="O27" s="158">
        <v>0</v>
      </c>
      <c r="P27" s="92">
        <f>207661.14+259838.08</f>
        <v>467499.21999999997</v>
      </c>
      <c r="Q27" s="158">
        <v>0</v>
      </c>
      <c r="R27" s="79">
        <v>0</v>
      </c>
      <c r="S27" s="158">
        <v>0</v>
      </c>
      <c r="T27" s="79">
        <v>0</v>
      </c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</row>
    <row r="28" s="350" customFormat="1" ht="24" customHeight="1">
      <c r="A28" s="122">
        <v>17</v>
      </c>
      <c r="B28" s="42" t="s">
        <v>67</v>
      </c>
      <c r="C28" s="215">
        <f>D28+K28+L28+M28+N28+O28+P28+Q28+R28+S28+T28</f>
        <v>2859484.7999999998</v>
      </c>
      <c r="D28" s="215">
        <f>SUM(E28:I28)</f>
        <v>2859484.7999999998</v>
      </c>
      <c r="E28" s="92">
        <v>2859484.7999999998</v>
      </c>
      <c r="F28" s="92">
        <v>0</v>
      </c>
      <c r="G28" s="92">
        <v>0</v>
      </c>
      <c r="H28" s="92">
        <v>0</v>
      </c>
      <c r="I28" s="79">
        <v>0</v>
      </c>
      <c r="J28" s="398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92">
        <v>0</v>
      </c>
      <c r="Q28" s="79">
        <v>0</v>
      </c>
      <c r="R28" s="79">
        <v>0</v>
      </c>
      <c r="S28" s="79">
        <v>0</v>
      </c>
      <c r="T28" s="79">
        <v>0</v>
      </c>
      <c r="U28" s="350"/>
      <c r="V28" s="350"/>
      <c r="W28" s="350"/>
      <c r="X28" s="350"/>
      <c r="Y28" s="350"/>
      <c r="Z28" s="350"/>
      <c r="AA28" s="350"/>
      <c r="AB28" s="350"/>
      <c r="AC28" s="350"/>
      <c r="AD28" s="350"/>
      <c r="AE28" s="350"/>
      <c r="AF28" s="350"/>
      <c r="AG28" s="350"/>
      <c r="AH28" s="350"/>
      <c r="AI28" s="350"/>
      <c r="AJ28" s="350"/>
      <c r="AK28" s="350"/>
    </row>
    <row r="29" s="350" customFormat="1" ht="24" customHeight="1">
      <c r="A29" s="33">
        <v>18</v>
      </c>
      <c r="B29" s="53" t="s">
        <v>927</v>
      </c>
      <c r="C29" s="215">
        <f>D29+K29+L29+M29+N29+O29+P29+Q29+R29+S29+T29</f>
        <v>5306725.6099999994</v>
      </c>
      <c r="D29" s="215">
        <f>SUM(E29:I29)</f>
        <v>5008368.1199999992</v>
      </c>
      <c r="E29" s="92">
        <v>1861308.74</v>
      </c>
      <c r="F29" s="92">
        <v>0</v>
      </c>
      <c r="G29" s="92">
        <v>2703427.3999999999</v>
      </c>
      <c r="H29" s="92">
        <v>443631.97999999998</v>
      </c>
      <c r="I29" s="92">
        <v>0</v>
      </c>
      <c r="J29" s="398">
        <v>0</v>
      </c>
      <c r="K29" s="79">
        <v>0</v>
      </c>
      <c r="L29" s="79">
        <v>0</v>
      </c>
      <c r="M29" s="79">
        <v>0</v>
      </c>
      <c r="N29" s="92">
        <v>0</v>
      </c>
      <c r="O29" s="79">
        <v>0</v>
      </c>
      <c r="P29" s="92">
        <v>298357.48999999999</v>
      </c>
      <c r="Q29" s="79">
        <v>0</v>
      </c>
      <c r="R29" s="79">
        <v>0</v>
      </c>
      <c r="S29" s="79">
        <v>0</v>
      </c>
      <c r="T29" s="79">
        <v>0</v>
      </c>
      <c r="U29" s="350"/>
      <c r="V29" s="350"/>
      <c r="W29" s="350"/>
      <c r="X29" s="350"/>
      <c r="Y29" s="350"/>
      <c r="Z29" s="350"/>
      <c r="AA29" s="350"/>
      <c r="AB29" s="350"/>
      <c r="AC29" s="350"/>
      <c r="AD29" s="350"/>
      <c r="AE29" s="350"/>
    </row>
    <row r="30" s="350" customFormat="1" ht="24" customHeight="1">
      <c r="A30" s="122">
        <v>19</v>
      </c>
      <c r="B30" s="42" t="s">
        <v>69</v>
      </c>
      <c r="C30" s="215">
        <f>D30+K30+L30+M30+N30+O30+P30+Q30+R30+S30+T30</f>
        <v>2477673.8399999999</v>
      </c>
      <c r="D30" s="215">
        <f>SUM(E30:I30)</f>
        <v>2477673.8399999999</v>
      </c>
      <c r="E30" s="92">
        <v>2477673.8399999999</v>
      </c>
      <c r="F30" s="79">
        <v>0</v>
      </c>
      <c r="G30" s="79">
        <v>0</v>
      </c>
      <c r="H30" s="92">
        <v>0</v>
      </c>
      <c r="I30" s="79">
        <v>0</v>
      </c>
      <c r="J30" s="398">
        <v>0</v>
      </c>
      <c r="K30" s="79">
        <v>0</v>
      </c>
      <c r="L30" s="79">
        <v>0</v>
      </c>
      <c r="M30" s="79">
        <v>0</v>
      </c>
      <c r="N30" s="92">
        <v>0</v>
      </c>
      <c r="O30" s="79">
        <v>0</v>
      </c>
      <c r="P30" s="92">
        <v>0</v>
      </c>
      <c r="Q30" s="79">
        <v>0</v>
      </c>
      <c r="R30" s="79">
        <v>0</v>
      </c>
      <c r="S30" s="79">
        <v>0</v>
      </c>
      <c r="T30" s="79">
        <v>0</v>
      </c>
      <c r="U30" s="350"/>
      <c r="V30" s="350"/>
      <c r="W30" s="350"/>
      <c r="X30" s="350"/>
      <c r="Y30" s="350"/>
      <c r="Z30" s="350"/>
      <c r="AA30" s="350"/>
      <c r="AB30" s="350"/>
      <c r="AC30" s="350"/>
      <c r="AD30" s="350"/>
      <c r="AE30" s="350"/>
    </row>
    <row r="31" s="350" customFormat="1" ht="24" customHeight="1">
      <c r="A31" s="33">
        <v>20</v>
      </c>
      <c r="B31" s="42" t="s">
        <v>928</v>
      </c>
      <c r="C31" s="215">
        <f>D31+K31+L31+M31+N31+O31+P31+Q31+R31+S31+T31</f>
        <v>2207923.4299999997</v>
      </c>
      <c r="D31" s="215">
        <f>SUM(E31:I31)</f>
        <v>1565714.3999999999</v>
      </c>
      <c r="E31" s="92">
        <v>1565714.3999999999</v>
      </c>
      <c r="F31" s="92">
        <v>0</v>
      </c>
      <c r="G31" s="92">
        <v>0</v>
      </c>
      <c r="H31" s="92">
        <v>0</v>
      </c>
      <c r="I31" s="92">
        <v>0</v>
      </c>
      <c r="J31" s="398">
        <v>0</v>
      </c>
      <c r="K31" s="79">
        <v>0</v>
      </c>
      <c r="L31" s="79">
        <v>0</v>
      </c>
      <c r="M31" s="79">
        <v>0</v>
      </c>
      <c r="N31" s="92">
        <v>0</v>
      </c>
      <c r="O31" s="79">
        <v>0</v>
      </c>
      <c r="P31" s="92">
        <v>642209.03000000003</v>
      </c>
      <c r="Q31" s="79">
        <v>0</v>
      </c>
      <c r="R31" s="79">
        <v>0</v>
      </c>
      <c r="S31" s="79">
        <v>0</v>
      </c>
      <c r="T31" s="79">
        <v>0</v>
      </c>
      <c r="U31" s="350"/>
      <c r="V31" s="350"/>
      <c r="W31" s="350"/>
      <c r="X31" s="350"/>
      <c r="Y31" s="350"/>
      <c r="Z31" s="350"/>
      <c r="AA31" s="350"/>
      <c r="AB31" s="350"/>
      <c r="AC31" s="350"/>
      <c r="AD31" s="350"/>
      <c r="AE31" s="350"/>
    </row>
    <row r="32" s="350" customFormat="1" ht="24" customHeight="1">
      <c r="A32" s="122">
        <v>21</v>
      </c>
      <c r="B32" s="42" t="s">
        <v>929</v>
      </c>
      <c r="C32" s="215">
        <f>D32+K32+L32+M32+N32+O32+P32+Q32+R32+S32+T32</f>
        <v>21520750.23</v>
      </c>
      <c r="D32" s="215">
        <f>SUM(E32:I32)</f>
        <v>9102267.1099999994</v>
      </c>
      <c r="E32" s="92">
        <v>0</v>
      </c>
      <c r="F32" s="92">
        <v>9102267.1099999994</v>
      </c>
      <c r="G32" s="92">
        <v>0</v>
      </c>
      <c r="H32" s="92">
        <v>0</v>
      </c>
      <c r="I32" s="79">
        <v>0</v>
      </c>
      <c r="J32" s="398">
        <v>0</v>
      </c>
      <c r="K32" s="79">
        <v>0</v>
      </c>
      <c r="L32" s="79">
        <v>0</v>
      </c>
      <c r="M32" s="79">
        <v>0</v>
      </c>
      <c r="N32" s="92">
        <v>11782164</v>
      </c>
      <c r="O32" s="79">
        <v>0</v>
      </c>
      <c r="P32" s="92">
        <f>325603.07+310716.05</f>
        <v>636319.12</v>
      </c>
      <c r="Q32" s="79">
        <v>0</v>
      </c>
      <c r="R32" s="79">
        <v>0</v>
      </c>
      <c r="S32" s="79">
        <v>0</v>
      </c>
      <c r="T32" s="79">
        <v>0</v>
      </c>
      <c r="U32" s="350"/>
      <c r="V32" s="350"/>
      <c r="W32" s="350"/>
      <c r="X32" s="350"/>
      <c r="Y32" s="350"/>
      <c r="Z32" s="350"/>
      <c r="AA32" s="350"/>
      <c r="AB32" s="350"/>
      <c r="AC32" s="350"/>
      <c r="AD32" s="350"/>
      <c r="AE32" s="350"/>
    </row>
    <row r="33" s="350" customFormat="1" ht="24" customHeight="1">
      <c r="A33" s="33">
        <v>22</v>
      </c>
      <c r="B33" s="42" t="s">
        <v>73</v>
      </c>
      <c r="C33" s="215">
        <f>D33+K33+L33+M33+N33+O33+P33+Q33+R33+S33+T33</f>
        <v>2497643.7799999998</v>
      </c>
      <c r="D33" s="215">
        <f>SUM(E33:I33)</f>
        <v>2497643.7799999998</v>
      </c>
      <c r="E33" s="92">
        <v>2497643.7799999998</v>
      </c>
      <c r="F33" s="158">
        <v>0</v>
      </c>
      <c r="G33" s="92">
        <v>0</v>
      </c>
      <c r="H33" s="92">
        <v>0</v>
      </c>
      <c r="I33" s="158">
        <v>0</v>
      </c>
      <c r="J33" s="398">
        <v>0</v>
      </c>
      <c r="K33" s="158">
        <v>0</v>
      </c>
      <c r="L33" s="79">
        <v>0</v>
      </c>
      <c r="M33" s="158">
        <v>0</v>
      </c>
      <c r="N33" s="79">
        <v>0</v>
      </c>
      <c r="O33" s="158">
        <v>0</v>
      </c>
      <c r="P33" s="92">
        <v>0</v>
      </c>
      <c r="Q33" s="158">
        <v>0</v>
      </c>
      <c r="R33" s="79">
        <v>0</v>
      </c>
      <c r="S33" s="158">
        <v>0</v>
      </c>
      <c r="T33" s="79">
        <v>0</v>
      </c>
      <c r="U33" s="350"/>
      <c r="V33" s="350"/>
      <c r="W33" s="350"/>
      <c r="X33" s="350"/>
      <c r="Y33" s="350"/>
      <c r="Z33" s="350"/>
      <c r="AA33" s="350"/>
      <c r="AB33" s="350"/>
      <c r="AC33" s="350"/>
      <c r="AD33" s="350"/>
      <c r="AE33" s="350"/>
    </row>
    <row r="34" s="350" customFormat="1" ht="24" customHeight="1">
      <c r="A34" s="122">
        <v>23</v>
      </c>
      <c r="B34" s="42" t="s">
        <v>930</v>
      </c>
      <c r="C34" s="215">
        <f>D34+K34+L34+M34+N34+O34+P34+Q34+R34+S34+T34</f>
        <v>210912.42999999999</v>
      </c>
      <c r="D34" s="215">
        <f>SUM(E34:I34)</f>
        <v>0</v>
      </c>
      <c r="E34" s="92">
        <v>0</v>
      </c>
      <c r="F34" s="92">
        <v>0</v>
      </c>
      <c r="G34" s="79">
        <v>0</v>
      </c>
      <c r="H34" s="92">
        <v>0</v>
      </c>
      <c r="I34" s="92">
        <v>0</v>
      </c>
      <c r="J34" s="398">
        <v>0</v>
      </c>
      <c r="K34" s="79">
        <v>0</v>
      </c>
      <c r="L34" s="79">
        <v>0</v>
      </c>
      <c r="M34" s="79">
        <v>0</v>
      </c>
      <c r="N34" s="92">
        <v>0</v>
      </c>
      <c r="O34" s="79">
        <v>0</v>
      </c>
      <c r="P34" s="79">
        <v>210912.42999999999</v>
      </c>
      <c r="Q34" s="79">
        <v>0</v>
      </c>
      <c r="R34" s="79">
        <v>0</v>
      </c>
      <c r="S34" s="79">
        <v>0</v>
      </c>
      <c r="T34" s="79">
        <v>0</v>
      </c>
      <c r="U34" s="350"/>
      <c r="V34" s="350"/>
      <c r="W34" s="350"/>
      <c r="X34" s="350"/>
      <c r="Y34" s="350"/>
      <c r="Z34" s="350"/>
      <c r="AA34" s="350"/>
      <c r="AB34" s="350"/>
      <c r="AC34" s="350"/>
      <c r="AD34" s="350"/>
      <c r="AE34" s="350"/>
    </row>
    <row r="35" s="350" customFormat="1" ht="24" customHeight="1">
      <c r="A35" s="33">
        <v>24</v>
      </c>
      <c r="B35" s="42" t="s">
        <v>931</v>
      </c>
      <c r="C35" s="215">
        <f>D35+K35+L35+M35+N35+O35+P35+Q35+R35+S35+T35</f>
        <v>257335.73999999999</v>
      </c>
      <c r="D35" s="215">
        <f>SUM(E35:I35)</f>
        <v>0</v>
      </c>
      <c r="E35" s="92">
        <v>0</v>
      </c>
      <c r="F35" s="79">
        <v>0</v>
      </c>
      <c r="G35" s="79">
        <v>0</v>
      </c>
      <c r="H35" s="92">
        <v>0</v>
      </c>
      <c r="I35" s="79">
        <v>0</v>
      </c>
      <c r="J35" s="398">
        <v>0</v>
      </c>
      <c r="K35" s="79">
        <v>0</v>
      </c>
      <c r="L35" s="92">
        <v>0</v>
      </c>
      <c r="M35" s="79">
        <v>0</v>
      </c>
      <c r="N35" s="79">
        <v>0</v>
      </c>
      <c r="O35" s="79">
        <v>0</v>
      </c>
      <c r="P35" s="92">
        <v>257335.73999999999</v>
      </c>
      <c r="Q35" s="79">
        <v>0</v>
      </c>
      <c r="R35" s="79">
        <v>0</v>
      </c>
      <c r="S35" s="79">
        <v>0</v>
      </c>
      <c r="T35" s="79">
        <v>0</v>
      </c>
      <c r="U35" s="350"/>
      <c r="V35" s="350"/>
      <c r="W35" s="350"/>
      <c r="X35" s="350"/>
      <c r="Y35" s="350"/>
      <c r="Z35" s="350"/>
      <c r="AA35" s="350"/>
      <c r="AB35" s="350"/>
      <c r="AC35" s="350"/>
      <c r="AD35" s="350"/>
      <c r="AE35" s="350"/>
    </row>
    <row r="36" s="350" customFormat="1" ht="24" customHeight="1">
      <c r="A36" s="122">
        <v>25</v>
      </c>
      <c r="B36" s="42" t="s">
        <v>932</v>
      </c>
      <c r="C36" s="215">
        <f>D36+K36+L36+M36+N36+O36+P36+Q36+R36+S36+T36</f>
        <v>260604.32000000001</v>
      </c>
      <c r="D36" s="215">
        <f>SUM(E36:I36)</f>
        <v>0</v>
      </c>
      <c r="E36" s="92">
        <v>0</v>
      </c>
      <c r="F36" s="158">
        <v>0</v>
      </c>
      <c r="G36" s="79">
        <v>0</v>
      </c>
      <c r="H36" s="92">
        <v>0</v>
      </c>
      <c r="I36" s="158">
        <v>0</v>
      </c>
      <c r="J36" s="398">
        <v>0</v>
      </c>
      <c r="K36" s="158">
        <v>0</v>
      </c>
      <c r="L36" s="79">
        <v>0</v>
      </c>
      <c r="M36" s="158">
        <v>0</v>
      </c>
      <c r="N36" s="92">
        <v>0</v>
      </c>
      <c r="O36" s="158">
        <v>0</v>
      </c>
      <c r="P36" s="92">
        <v>260604.32000000001</v>
      </c>
      <c r="Q36" s="158">
        <v>0</v>
      </c>
      <c r="R36" s="79">
        <v>0</v>
      </c>
      <c r="S36" s="158">
        <v>0</v>
      </c>
      <c r="T36" s="79">
        <v>0</v>
      </c>
      <c r="U36" s="350"/>
      <c r="V36" s="350"/>
      <c r="W36" s="350"/>
      <c r="X36" s="350"/>
      <c r="Y36" s="350"/>
      <c r="Z36" s="350"/>
      <c r="AA36" s="350"/>
      <c r="AB36" s="350"/>
      <c r="AC36" s="350"/>
      <c r="AD36" s="350"/>
      <c r="AE36" s="350"/>
    </row>
    <row r="37" s="350" customFormat="1" ht="24" customHeight="1">
      <c r="A37" s="33">
        <v>26</v>
      </c>
      <c r="B37" s="42" t="s">
        <v>933</v>
      </c>
      <c r="C37" s="215">
        <f>D37+K37+L37+M37+N37+O37+P37+Q37+R37+S37+T37</f>
        <v>254122.85000000001</v>
      </c>
      <c r="D37" s="215">
        <f>SUM(E37:I37)</f>
        <v>0</v>
      </c>
      <c r="E37" s="92">
        <v>0</v>
      </c>
      <c r="F37" s="79">
        <v>0</v>
      </c>
      <c r="G37" s="79">
        <v>0</v>
      </c>
      <c r="H37" s="92">
        <v>0</v>
      </c>
      <c r="I37" s="79">
        <v>0</v>
      </c>
      <c r="J37" s="398">
        <v>0</v>
      </c>
      <c r="K37" s="79">
        <v>0</v>
      </c>
      <c r="L37" s="92">
        <v>0</v>
      </c>
      <c r="M37" s="79">
        <v>0</v>
      </c>
      <c r="N37" s="79">
        <v>0</v>
      </c>
      <c r="O37" s="79">
        <v>0</v>
      </c>
      <c r="P37" s="92">
        <v>254122.85000000001</v>
      </c>
      <c r="Q37" s="79">
        <v>0</v>
      </c>
      <c r="R37" s="79">
        <v>0</v>
      </c>
      <c r="S37" s="79">
        <v>0</v>
      </c>
      <c r="T37" s="79">
        <v>0</v>
      </c>
      <c r="U37" s="350"/>
      <c r="V37" s="350"/>
      <c r="W37" s="350"/>
      <c r="X37" s="350"/>
      <c r="Y37" s="350"/>
      <c r="Z37" s="350"/>
      <c r="AA37" s="350"/>
      <c r="AB37" s="350"/>
      <c r="AC37" s="350"/>
      <c r="AD37" s="350"/>
      <c r="AE37" s="350"/>
    </row>
    <row r="38" s="350" customFormat="1" ht="24" customHeight="1">
      <c r="A38" s="122">
        <v>27</v>
      </c>
      <c r="B38" s="42" t="s">
        <v>934</v>
      </c>
      <c r="C38" s="215">
        <f>D38+K38+L38+M38+N38+O38+P38+Q38+R38+S38+T38</f>
        <v>9222817.9900000002</v>
      </c>
      <c r="D38" s="215">
        <f>SUM(E38:I38)</f>
        <v>0</v>
      </c>
      <c r="E38" s="92">
        <v>0</v>
      </c>
      <c r="F38" s="92">
        <v>0</v>
      </c>
      <c r="G38" s="92">
        <v>0</v>
      </c>
      <c r="H38" s="92">
        <v>0</v>
      </c>
      <c r="I38" s="79">
        <v>0</v>
      </c>
      <c r="J38" s="398">
        <v>0</v>
      </c>
      <c r="K38" s="79">
        <v>0</v>
      </c>
      <c r="L38" s="92">
        <v>8755801.3900000006</v>
      </c>
      <c r="M38" s="79">
        <v>0</v>
      </c>
      <c r="N38" s="79">
        <v>0</v>
      </c>
      <c r="O38" s="79">
        <v>0</v>
      </c>
      <c r="P38" s="92">
        <f>275867.2+191149.4</f>
        <v>467016.59999999998</v>
      </c>
      <c r="Q38" s="79">
        <v>0</v>
      </c>
      <c r="R38" s="79">
        <v>0</v>
      </c>
      <c r="S38" s="79">
        <v>0</v>
      </c>
      <c r="T38" s="79">
        <v>0</v>
      </c>
      <c r="U38" s="350"/>
      <c r="V38" s="350"/>
      <c r="W38" s="350"/>
      <c r="X38" s="350"/>
      <c r="Y38" s="350"/>
      <c r="Z38" s="350"/>
      <c r="AA38" s="350"/>
      <c r="AB38" s="350"/>
      <c r="AC38" s="350"/>
      <c r="AD38" s="350"/>
      <c r="AE38" s="350"/>
    </row>
    <row r="39" s="350" customFormat="1" ht="24" customHeight="1">
      <c r="A39" s="33">
        <v>28</v>
      </c>
      <c r="B39" s="42" t="s">
        <v>935</v>
      </c>
      <c r="C39" s="215">
        <f>D39+K39+L39+M39+N39+O39+P39+Q39+R39+S39+T39</f>
        <v>15219489.770000001</v>
      </c>
      <c r="D39" s="215">
        <f>SUM(E39:I39)</f>
        <v>5167955.5899999999</v>
      </c>
      <c r="E39" s="92">
        <v>0</v>
      </c>
      <c r="F39" s="92">
        <v>5167955.5899999999</v>
      </c>
      <c r="G39" s="92">
        <v>0</v>
      </c>
      <c r="H39" s="92">
        <v>0</v>
      </c>
      <c r="I39" s="79">
        <v>0</v>
      </c>
      <c r="J39" s="398">
        <v>0</v>
      </c>
      <c r="K39" s="79">
        <v>0</v>
      </c>
      <c r="L39" s="92">
        <v>9478378.4600000009</v>
      </c>
      <c r="M39" s="79">
        <v>0</v>
      </c>
      <c r="N39" s="92">
        <v>0</v>
      </c>
      <c r="O39" s="79">
        <v>0</v>
      </c>
      <c r="P39" s="92">
        <f>296289.41+276866.31</f>
        <v>573155.71999999997</v>
      </c>
      <c r="Q39" s="79">
        <v>0</v>
      </c>
      <c r="R39" s="79">
        <v>0</v>
      </c>
      <c r="S39" s="79">
        <v>0</v>
      </c>
      <c r="T39" s="79">
        <v>0</v>
      </c>
      <c r="U39" s="350"/>
      <c r="V39" s="350"/>
      <c r="W39" s="350"/>
      <c r="X39" s="350"/>
      <c r="Y39" s="350"/>
      <c r="Z39" s="350"/>
      <c r="AA39" s="350"/>
      <c r="AB39" s="350"/>
      <c r="AC39" s="350"/>
      <c r="AD39" s="350"/>
      <c r="AE39" s="350"/>
    </row>
    <row r="40" s="350" customFormat="1" ht="24" customHeight="1">
      <c r="A40" s="122">
        <v>29</v>
      </c>
      <c r="B40" s="42" t="s">
        <v>936</v>
      </c>
      <c r="C40" s="215">
        <f>D40+K40+L40+M40+N40+O40+P40+Q40+R40+S40+T40</f>
        <v>2438379.8000000003</v>
      </c>
      <c r="D40" s="215">
        <f>SUM(E40:I40)</f>
        <v>2177283.8300000001</v>
      </c>
      <c r="E40" s="92">
        <v>2177283.8300000001</v>
      </c>
      <c r="F40" s="92">
        <v>0</v>
      </c>
      <c r="G40" s="92">
        <v>0</v>
      </c>
      <c r="H40" s="92">
        <v>0</v>
      </c>
      <c r="I40" s="92">
        <v>0</v>
      </c>
      <c r="J40" s="398">
        <v>0</v>
      </c>
      <c r="K40" s="79">
        <v>0</v>
      </c>
      <c r="L40" s="79">
        <v>0</v>
      </c>
      <c r="M40" s="92">
        <v>0</v>
      </c>
      <c r="N40" s="79">
        <v>0</v>
      </c>
      <c r="O40" s="79">
        <v>0</v>
      </c>
      <c r="P40" s="92">
        <v>261095.97</v>
      </c>
      <c r="Q40" s="79">
        <v>0</v>
      </c>
      <c r="R40" s="79">
        <v>0</v>
      </c>
      <c r="S40" s="79">
        <v>0</v>
      </c>
      <c r="T40" s="79">
        <v>0</v>
      </c>
      <c r="U40" s="350"/>
      <c r="V40" s="350"/>
      <c r="W40" s="350"/>
      <c r="X40" s="350"/>
      <c r="Y40" s="350"/>
      <c r="Z40" s="350"/>
      <c r="AA40" s="350"/>
      <c r="AB40" s="350"/>
      <c r="AC40" s="350"/>
      <c r="AD40" s="350"/>
      <c r="AE40" s="350"/>
    </row>
    <row r="41" s="350" customFormat="1" ht="24" customHeight="1">
      <c r="A41" s="33">
        <v>30</v>
      </c>
      <c r="B41" s="42" t="s">
        <v>84</v>
      </c>
      <c r="C41" s="215">
        <f>D41+K41+L41+M41+N41+O41+P41+Q41+R41+S41+T41</f>
        <v>2126097.6099999999</v>
      </c>
      <c r="D41" s="215">
        <f>SUM(E41:I41)</f>
        <v>2126097.6099999999</v>
      </c>
      <c r="E41" s="92">
        <v>2126097.6099999999</v>
      </c>
      <c r="F41" s="158">
        <v>0</v>
      </c>
      <c r="G41" s="79">
        <v>0</v>
      </c>
      <c r="H41" s="92">
        <v>0</v>
      </c>
      <c r="I41" s="158">
        <v>0</v>
      </c>
      <c r="J41" s="398">
        <v>0</v>
      </c>
      <c r="K41" s="92">
        <v>0</v>
      </c>
      <c r="L41" s="158">
        <v>0</v>
      </c>
      <c r="M41" s="79">
        <v>0</v>
      </c>
      <c r="N41" s="158">
        <v>0</v>
      </c>
      <c r="O41" s="79">
        <v>0</v>
      </c>
      <c r="P41" s="158">
        <v>0</v>
      </c>
      <c r="Q41" s="79">
        <v>0</v>
      </c>
      <c r="R41" s="158">
        <v>0</v>
      </c>
      <c r="S41" s="79">
        <v>0</v>
      </c>
      <c r="T41" s="79">
        <v>0</v>
      </c>
      <c r="U41" s="350"/>
      <c r="V41" s="350"/>
      <c r="W41" s="350"/>
      <c r="X41" s="350"/>
      <c r="Y41" s="350"/>
      <c r="Z41" s="350"/>
      <c r="AA41" s="350"/>
      <c r="AB41" s="350"/>
      <c r="AC41" s="350"/>
      <c r="AD41" s="350"/>
      <c r="AE41" s="350"/>
    </row>
    <row r="42" s="350" customFormat="1" ht="24" customHeight="1">
      <c r="A42" s="122">
        <v>31</v>
      </c>
      <c r="B42" s="42" t="s">
        <v>87</v>
      </c>
      <c r="C42" s="215">
        <f>D42+K42+L42+M42+N42+O42+P42+Q42+R42+S42+T42</f>
        <v>12828640.93</v>
      </c>
      <c r="D42" s="215">
        <f>SUM(E42:I42)</f>
        <v>0</v>
      </c>
      <c r="E42" s="92">
        <v>0</v>
      </c>
      <c r="F42" s="79">
        <v>0</v>
      </c>
      <c r="G42" s="79">
        <v>0</v>
      </c>
      <c r="H42" s="92">
        <v>0</v>
      </c>
      <c r="I42" s="79">
        <v>0</v>
      </c>
      <c r="J42" s="398">
        <v>4</v>
      </c>
      <c r="K42" s="92">
        <v>12828640.93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350"/>
      <c r="V42" s="350"/>
      <c r="W42" s="350"/>
      <c r="X42" s="350"/>
      <c r="Y42" s="350"/>
      <c r="Z42" s="350"/>
      <c r="AA42" s="350"/>
      <c r="AB42" s="350"/>
      <c r="AC42" s="350"/>
      <c r="AD42" s="350"/>
      <c r="AE42" s="350"/>
    </row>
    <row r="43" s="399" customFormat="1" ht="24" customHeight="1">
      <c r="A43" s="33">
        <v>32</v>
      </c>
      <c r="B43" s="42" t="s">
        <v>89</v>
      </c>
      <c r="C43" s="215">
        <f>D43+K43+L43+M43+N43+O43+P43+Q43+R43+S43+T43</f>
        <v>8751660</v>
      </c>
      <c r="D43" s="215">
        <f>SUM(E43:I43)</f>
        <v>0</v>
      </c>
      <c r="E43" s="92">
        <v>0</v>
      </c>
      <c r="F43" s="158">
        <v>0</v>
      </c>
      <c r="G43" s="79">
        <v>0</v>
      </c>
      <c r="H43" s="92">
        <v>0</v>
      </c>
      <c r="I43" s="158">
        <v>0</v>
      </c>
      <c r="J43" s="398">
        <v>3</v>
      </c>
      <c r="K43" s="92">
        <v>8751660</v>
      </c>
      <c r="L43" s="158">
        <v>0</v>
      </c>
      <c r="M43" s="79">
        <v>0</v>
      </c>
      <c r="N43" s="158">
        <v>0</v>
      </c>
      <c r="O43" s="79">
        <v>0</v>
      </c>
      <c r="P43" s="158">
        <v>0</v>
      </c>
      <c r="Q43" s="79">
        <v>0</v>
      </c>
      <c r="R43" s="158">
        <v>0</v>
      </c>
      <c r="S43" s="79">
        <v>0</v>
      </c>
      <c r="T43" s="79">
        <v>0</v>
      </c>
      <c r="U43" s="399"/>
      <c r="V43" s="399"/>
      <c r="W43" s="399"/>
      <c r="X43" s="399"/>
      <c r="Y43" s="399"/>
      <c r="Z43" s="399"/>
      <c r="AA43" s="399"/>
      <c r="AB43" s="399"/>
      <c r="AC43" s="399"/>
      <c r="AD43" s="399"/>
      <c r="AE43" s="399"/>
    </row>
    <row r="44" s="350" customFormat="1" ht="24" customHeight="1">
      <c r="A44" s="122">
        <v>33</v>
      </c>
      <c r="B44" s="42" t="s">
        <v>937</v>
      </c>
      <c r="C44" s="215">
        <f>D44+K44+L44+M44+N44+O44+P44+Q44+R44+S44+T44</f>
        <v>265575.20000000001</v>
      </c>
      <c r="D44" s="215">
        <f>SUM(E44:I44)</f>
        <v>0</v>
      </c>
      <c r="E44" s="92">
        <v>0</v>
      </c>
      <c r="F44" s="92">
        <v>0</v>
      </c>
      <c r="G44" s="92">
        <v>0</v>
      </c>
      <c r="H44" s="92">
        <v>0</v>
      </c>
      <c r="I44" s="92">
        <v>0</v>
      </c>
      <c r="J44" s="398">
        <v>0</v>
      </c>
      <c r="K44" s="79">
        <v>0</v>
      </c>
      <c r="L44" s="79">
        <v>0</v>
      </c>
      <c r="M44" s="79">
        <v>0</v>
      </c>
      <c r="N44" s="92">
        <v>0</v>
      </c>
      <c r="O44" s="79">
        <v>0</v>
      </c>
      <c r="P44" s="92">
        <v>265575.20000000001</v>
      </c>
      <c r="Q44" s="79">
        <v>0</v>
      </c>
      <c r="R44" s="79">
        <v>0</v>
      </c>
      <c r="S44" s="79">
        <v>0</v>
      </c>
      <c r="T44" s="79">
        <v>0</v>
      </c>
      <c r="U44" s="350"/>
      <c r="V44" s="350"/>
      <c r="W44" s="350"/>
      <c r="X44" s="350"/>
      <c r="Y44" s="350"/>
      <c r="Z44" s="350"/>
      <c r="AA44" s="350"/>
      <c r="AB44" s="350"/>
      <c r="AC44" s="350"/>
      <c r="AD44" s="350"/>
      <c r="AE44" s="350"/>
      <c r="AF44" s="350"/>
      <c r="AG44" s="350"/>
      <c r="AH44" s="350"/>
      <c r="AI44" s="350"/>
    </row>
    <row r="45" s="350" customFormat="1" ht="24" customHeight="1">
      <c r="A45" s="33">
        <v>34</v>
      </c>
      <c r="B45" s="53" t="s">
        <v>94</v>
      </c>
      <c r="C45" s="215">
        <f>D45+K45+L45+M45+N45+O45+P45+Q45+R45+S45+T45</f>
        <v>6058818.71</v>
      </c>
      <c r="D45" s="215">
        <f>SUM(E45:I45)</f>
        <v>6058818.71</v>
      </c>
      <c r="E45" s="92">
        <v>0</v>
      </c>
      <c r="F45" s="92">
        <v>3905147.8799999999</v>
      </c>
      <c r="G45" s="92">
        <v>1132752</v>
      </c>
      <c r="H45" s="92">
        <v>610309.14000000001</v>
      </c>
      <c r="I45" s="92">
        <v>410609.69</v>
      </c>
      <c r="J45" s="398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92">
        <v>0</v>
      </c>
      <c r="Q45" s="79">
        <v>0</v>
      </c>
      <c r="R45" s="79">
        <v>0</v>
      </c>
      <c r="S45" s="79">
        <v>0</v>
      </c>
      <c r="T45" s="79">
        <v>0</v>
      </c>
      <c r="U45" s="350"/>
      <c r="V45" s="350"/>
      <c r="W45" s="350"/>
      <c r="X45" s="350"/>
      <c r="Y45" s="350"/>
      <c r="Z45" s="350"/>
      <c r="AA45" s="350"/>
      <c r="AB45" s="350"/>
      <c r="AC45" s="350"/>
      <c r="AD45" s="350"/>
      <c r="AE45" s="350"/>
    </row>
    <row r="46" s="350" customFormat="1" ht="24" customHeight="1">
      <c r="A46" s="122">
        <v>35</v>
      </c>
      <c r="B46" s="42" t="s">
        <v>95</v>
      </c>
      <c r="C46" s="215">
        <f>D46+K46+L46+M46+N46+O46+P46+Q46+R46+S46+T46</f>
        <v>1301702.3999999999</v>
      </c>
      <c r="D46" s="215">
        <f>SUM(E46:I46)</f>
        <v>1301702.3999999999</v>
      </c>
      <c r="E46" s="92">
        <v>0</v>
      </c>
      <c r="F46" s="158">
        <v>0</v>
      </c>
      <c r="G46" s="92">
        <v>1301702.3999999999</v>
      </c>
      <c r="H46" s="92">
        <v>0</v>
      </c>
      <c r="I46" s="158">
        <v>0</v>
      </c>
      <c r="J46" s="398">
        <v>0</v>
      </c>
      <c r="K46" s="158">
        <v>0</v>
      </c>
      <c r="L46" s="79">
        <v>0</v>
      </c>
      <c r="M46" s="158">
        <v>0</v>
      </c>
      <c r="N46" s="79">
        <v>0</v>
      </c>
      <c r="O46" s="158">
        <v>0</v>
      </c>
      <c r="P46" s="79">
        <v>0</v>
      </c>
      <c r="Q46" s="158">
        <v>0</v>
      </c>
      <c r="R46" s="79">
        <v>0</v>
      </c>
      <c r="S46" s="158">
        <v>0</v>
      </c>
      <c r="T46" s="79">
        <v>0</v>
      </c>
      <c r="U46" s="350"/>
      <c r="V46" s="350"/>
      <c r="W46" s="350"/>
      <c r="X46" s="350"/>
      <c r="Y46" s="350"/>
      <c r="Z46" s="350"/>
      <c r="AA46" s="350"/>
      <c r="AB46" s="350"/>
      <c r="AC46" s="350"/>
      <c r="AD46" s="350"/>
      <c r="AE46" s="350"/>
    </row>
    <row r="47" s="350" customFormat="1" ht="24" customHeight="1">
      <c r="A47" s="33">
        <v>36</v>
      </c>
      <c r="B47" s="53" t="s">
        <v>938</v>
      </c>
      <c r="C47" s="215">
        <f>D47+K47+L47+M47+N47+O47+P47+Q47+R47+S47+T47</f>
        <v>2742180</v>
      </c>
      <c r="D47" s="215">
        <f>SUM(E47:I47)</f>
        <v>2531105.3399999999</v>
      </c>
      <c r="E47" s="92">
        <v>2531105.3399999999</v>
      </c>
      <c r="F47" s="92">
        <v>0</v>
      </c>
      <c r="G47" s="92">
        <v>0</v>
      </c>
      <c r="H47" s="92">
        <v>0</v>
      </c>
      <c r="I47" s="92">
        <v>0</v>
      </c>
      <c r="J47" s="401">
        <v>0</v>
      </c>
      <c r="K47" s="92">
        <v>0</v>
      </c>
      <c r="L47" s="92">
        <v>0</v>
      </c>
      <c r="M47" s="92">
        <v>0</v>
      </c>
      <c r="N47" s="92">
        <v>0</v>
      </c>
      <c r="O47" s="92">
        <v>0</v>
      </c>
      <c r="P47" s="92">
        <v>211074.66</v>
      </c>
      <c r="Q47" s="92">
        <v>0</v>
      </c>
      <c r="R47" s="92">
        <v>0</v>
      </c>
      <c r="S47" s="92">
        <v>0</v>
      </c>
      <c r="T47" s="92">
        <v>0</v>
      </c>
      <c r="U47" s="350"/>
      <c r="V47" s="350"/>
      <c r="W47" s="350"/>
      <c r="X47" s="350"/>
      <c r="Y47" s="350"/>
      <c r="Z47" s="350"/>
      <c r="AA47" s="350"/>
      <c r="AB47" s="350"/>
      <c r="AC47" s="350"/>
      <c r="AD47" s="350"/>
      <c r="AE47" s="350"/>
    </row>
    <row r="48" s="350" customFormat="1" ht="24" customHeight="1">
      <c r="A48" s="122">
        <v>37</v>
      </c>
      <c r="B48" s="53" t="s">
        <v>939</v>
      </c>
      <c r="C48" s="215">
        <f>D48+K48+L48+M48+N48+O48+P48+Q48+R48+S48+T48</f>
        <v>473467.07999999996</v>
      </c>
      <c r="D48" s="215">
        <f>SUM(E48:I48)</f>
        <v>304154.42999999999</v>
      </c>
      <c r="E48" s="92">
        <v>304154.42999999999</v>
      </c>
      <c r="F48" s="92">
        <v>0</v>
      </c>
      <c r="G48" s="92">
        <v>0</v>
      </c>
      <c r="H48" s="92">
        <v>0</v>
      </c>
      <c r="I48" s="92">
        <v>0</v>
      </c>
      <c r="J48" s="401">
        <v>0</v>
      </c>
      <c r="K48" s="92">
        <v>0</v>
      </c>
      <c r="L48" s="92">
        <v>0</v>
      </c>
      <c r="M48" s="92">
        <v>0</v>
      </c>
      <c r="N48" s="92">
        <v>0</v>
      </c>
      <c r="O48" s="92">
        <v>0</v>
      </c>
      <c r="P48" s="92">
        <v>169312.64999999999</v>
      </c>
      <c r="Q48" s="92">
        <v>0</v>
      </c>
      <c r="R48" s="92">
        <v>0</v>
      </c>
      <c r="S48" s="92">
        <v>0</v>
      </c>
      <c r="T48" s="92">
        <v>0</v>
      </c>
      <c r="U48" s="350"/>
      <c r="V48" s="350"/>
      <c r="W48" s="350"/>
      <c r="X48" s="350"/>
      <c r="Y48" s="350"/>
      <c r="Z48" s="350"/>
      <c r="AA48" s="350"/>
      <c r="AB48" s="350"/>
      <c r="AC48" s="350"/>
      <c r="AD48" s="350"/>
      <c r="AE48" s="350"/>
    </row>
    <row r="49" s="350" customFormat="1" ht="24" customHeight="1">
      <c r="A49" s="33">
        <v>38</v>
      </c>
      <c r="B49" s="53" t="s">
        <v>940</v>
      </c>
      <c r="C49" s="215">
        <f>D49+K49+L49+M49+N49+O49+P49+Q49+R49+S49+T49</f>
        <v>423649.33000000002</v>
      </c>
      <c r="D49" s="215">
        <f>SUM(E49:I49)</f>
        <v>267529.08000000002</v>
      </c>
      <c r="E49" s="92">
        <v>267529.08000000002</v>
      </c>
      <c r="F49" s="92">
        <v>0</v>
      </c>
      <c r="G49" s="92">
        <v>0</v>
      </c>
      <c r="H49" s="92">
        <v>0</v>
      </c>
      <c r="I49" s="92">
        <v>0</v>
      </c>
      <c r="J49" s="401">
        <v>0</v>
      </c>
      <c r="K49" s="92">
        <v>0</v>
      </c>
      <c r="L49" s="92">
        <v>0</v>
      </c>
      <c r="M49" s="92">
        <v>0</v>
      </c>
      <c r="N49" s="92">
        <v>0</v>
      </c>
      <c r="O49" s="92">
        <v>0</v>
      </c>
      <c r="P49" s="92">
        <v>156120.25</v>
      </c>
      <c r="Q49" s="92">
        <v>0</v>
      </c>
      <c r="R49" s="92">
        <v>0</v>
      </c>
      <c r="S49" s="92">
        <v>0</v>
      </c>
      <c r="T49" s="92">
        <v>0</v>
      </c>
      <c r="U49" s="350"/>
      <c r="V49" s="350"/>
      <c r="W49" s="350"/>
      <c r="X49" s="350"/>
      <c r="Y49" s="350"/>
      <c r="Z49" s="350"/>
      <c r="AA49" s="350"/>
      <c r="AB49" s="350"/>
      <c r="AC49" s="350"/>
      <c r="AD49" s="350"/>
      <c r="AE49" s="350"/>
    </row>
    <row r="50" s="350" customFormat="1" ht="24" customHeight="1">
      <c r="A50" s="122">
        <v>39</v>
      </c>
      <c r="B50" s="53" t="s">
        <v>941</v>
      </c>
      <c r="C50" s="215">
        <f>D50+K50+L50+M50+N50+O50+P50+Q50+R50+S50+T50</f>
        <v>426814.43000000005</v>
      </c>
      <c r="D50" s="215">
        <f>SUM(E50:I50)</f>
        <v>267529.08000000002</v>
      </c>
      <c r="E50" s="92">
        <v>267529.08000000002</v>
      </c>
      <c r="F50" s="92">
        <v>0</v>
      </c>
      <c r="G50" s="92">
        <v>0</v>
      </c>
      <c r="H50" s="92">
        <v>0</v>
      </c>
      <c r="I50" s="92">
        <v>0</v>
      </c>
      <c r="J50" s="401">
        <v>0</v>
      </c>
      <c r="K50" s="92">
        <v>0</v>
      </c>
      <c r="L50" s="92">
        <v>0</v>
      </c>
      <c r="M50" s="92">
        <v>0</v>
      </c>
      <c r="N50" s="92">
        <v>0</v>
      </c>
      <c r="O50" s="92">
        <v>0</v>
      </c>
      <c r="P50" s="92">
        <v>159285.35000000001</v>
      </c>
      <c r="Q50" s="92">
        <v>0</v>
      </c>
      <c r="R50" s="92">
        <v>0</v>
      </c>
      <c r="S50" s="92">
        <v>0</v>
      </c>
      <c r="T50" s="92">
        <v>0</v>
      </c>
      <c r="U50" s="350"/>
      <c r="V50" s="350"/>
      <c r="W50" s="350"/>
      <c r="X50" s="350"/>
      <c r="Y50" s="350"/>
      <c r="Z50" s="350"/>
      <c r="AA50" s="350"/>
      <c r="AB50" s="350"/>
      <c r="AC50" s="350"/>
      <c r="AD50" s="350"/>
      <c r="AE50" s="350"/>
    </row>
    <row r="51" s="350" customFormat="1" ht="24" customHeight="1">
      <c r="A51" s="33">
        <v>40</v>
      </c>
      <c r="B51" s="53" t="s">
        <v>100</v>
      </c>
      <c r="C51" s="215">
        <f>D51+K51+L51+M51+N51+O51+P51+Q51+R51+S51+T51</f>
        <v>487666.59999999998</v>
      </c>
      <c r="D51" s="215">
        <f>SUM(E51:I51)</f>
        <v>487666.59999999998</v>
      </c>
      <c r="E51" s="92">
        <v>487666.59999999998</v>
      </c>
      <c r="F51" s="92">
        <v>0</v>
      </c>
      <c r="G51" s="92">
        <v>0</v>
      </c>
      <c r="H51" s="92">
        <v>0</v>
      </c>
      <c r="I51" s="92">
        <v>0</v>
      </c>
      <c r="J51" s="401">
        <v>0</v>
      </c>
      <c r="K51" s="92">
        <v>0</v>
      </c>
      <c r="L51" s="92">
        <v>0</v>
      </c>
      <c r="M51" s="92">
        <v>0</v>
      </c>
      <c r="N51" s="92">
        <v>0</v>
      </c>
      <c r="O51" s="92">
        <v>0</v>
      </c>
      <c r="P51" s="92">
        <v>0</v>
      </c>
      <c r="Q51" s="92">
        <v>0</v>
      </c>
      <c r="R51" s="92">
        <v>0</v>
      </c>
      <c r="S51" s="92">
        <v>0</v>
      </c>
      <c r="T51" s="92">
        <v>0</v>
      </c>
      <c r="U51" s="350"/>
      <c r="V51" s="350"/>
      <c r="W51" s="350"/>
      <c r="X51" s="350"/>
      <c r="Y51" s="350"/>
      <c r="Z51" s="350"/>
      <c r="AA51" s="350"/>
      <c r="AB51" s="350"/>
      <c r="AC51" s="350"/>
      <c r="AD51" s="350"/>
      <c r="AE51" s="350"/>
    </row>
    <row r="52" s="350" customFormat="1" ht="24" customHeight="1">
      <c r="A52" s="122">
        <v>41</v>
      </c>
      <c r="B52" s="53" t="s">
        <v>101</v>
      </c>
      <c r="C52" s="215">
        <f>D52+K52+L52+M52+N52+O52+P52+Q52+R52+S52+T52</f>
        <v>478271.47999999998</v>
      </c>
      <c r="D52" s="215">
        <f>SUM(E52:I52)</f>
        <v>478271.47999999998</v>
      </c>
      <c r="E52" s="92">
        <v>478271.47999999998</v>
      </c>
      <c r="F52" s="92">
        <v>0</v>
      </c>
      <c r="G52" s="92">
        <v>0</v>
      </c>
      <c r="H52" s="92">
        <v>0</v>
      </c>
      <c r="I52" s="92">
        <v>0</v>
      </c>
      <c r="J52" s="401">
        <v>0</v>
      </c>
      <c r="K52" s="92">
        <v>0</v>
      </c>
      <c r="L52" s="92">
        <v>0</v>
      </c>
      <c r="M52" s="92">
        <v>0</v>
      </c>
      <c r="N52" s="92">
        <v>0</v>
      </c>
      <c r="O52" s="92">
        <v>0</v>
      </c>
      <c r="P52" s="92">
        <v>0</v>
      </c>
      <c r="Q52" s="92">
        <v>0</v>
      </c>
      <c r="R52" s="92">
        <v>0</v>
      </c>
      <c r="S52" s="92">
        <v>0</v>
      </c>
      <c r="T52" s="92">
        <v>0</v>
      </c>
      <c r="U52" s="350"/>
      <c r="V52" s="350"/>
      <c r="W52" s="350"/>
      <c r="X52" s="350"/>
      <c r="Y52" s="350"/>
      <c r="Z52" s="350"/>
      <c r="AA52" s="350"/>
      <c r="AB52" s="350"/>
      <c r="AC52" s="350"/>
      <c r="AD52" s="350"/>
      <c r="AE52" s="350"/>
    </row>
    <row r="53" s="350" customFormat="1" ht="24" customHeight="1">
      <c r="A53" s="33">
        <v>42</v>
      </c>
      <c r="B53" s="53" t="s">
        <v>102</v>
      </c>
      <c r="C53" s="215">
        <f>D53+K53+L53+M53+N53+O53+P53+Q53+R53+S53+T53</f>
        <v>559664</v>
      </c>
      <c r="D53" s="215">
        <f>SUM(E53:I53)</f>
        <v>559664</v>
      </c>
      <c r="E53" s="92">
        <v>559664</v>
      </c>
      <c r="F53" s="92">
        <v>0</v>
      </c>
      <c r="G53" s="92">
        <v>0</v>
      </c>
      <c r="H53" s="92">
        <v>0</v>
      </c>
      <c r="I53" s="92">
        <v>0</v>
      </c>
      <c r="J53" s="401">
        <v>0</v>
      </c>
      <c r="K53" s="92">
        <v>0</v>
      </c>
      <c r="L53" s="92">
        <v>0</v>
      </c>
      <c r="M53" s="92">
        <v>0</v>
      </c>
      <c r="N53" s="92">
        <v>0</v>
      </c>
      <c r="O53" s="92">
        <v>0</v>
      </c>
      <c r="P53" s="92">
        <v>0</v>
      </c>
      <c r="Q53" s="92">
        <v>0</v>
      </c>
      <c r="R53" s="92">
        <v>0</v>
      </c>
      <c r="S53" s="92">
        <v>0</v>
      </c>
      <c r="T53" s="92">
        <v>0</v>
      </c>
      <c r="U53" s="350"/>
      <c r="V53" s="350"/>
      <c r="W53" s="350"/>
      <c r="X53" s="350"/>
      <c r="Y53" s="350"/>
      <c r="Z53" s="350"/>
      <c r="AA53" s="350"/>
      <c r="AB53" s="350"/>
      <c r="AC53" s="350"/>
      <c r="AD53" s="350"/>
      <c r="AE53" s="350"/>
    </row>
    <row r="54" s="350" customFormat="1" ht="24" customHeight="1">
      <c r="A54" s="122">
        <v>43</v>
      </c>
      <c r="B54" s="42" t="s">
        <v>103</v>
      </c>
      <c r="C54" s="215">
        <f>D54+K54+L54+M54+N54+O54+P54+Q54+R54+S54+T54</f>
        <v>34052018.460000001</v>
      </c>
      <c r="D54" s="215">
        <f>SUM(E54:I54)</f>
        <v>0</v>
      </c>
      <c r="E54" s="92">
        <v>0</v>
      </c>
      <c r="F54" s="92">
        <v>0</v>
      </c>
      <c r="G54" s="92">
        <v>0</v>
      </c>
      <c r="H54" s="92">
        <v>0</v>
      </c>
      <c r="I54" s="79">
        <v>0</v>
      </c>
      <c r="J54" s="398">
        <v>0</v>
      </c>
      <c r="K54" s="79">
        <v>0</v>
      </c>
      <c r="L54" s="92">
        <v>0</v>
      </c>
      <c r="M54" s="79">
        <v>0</v>
      </c>
      <c r="N54" s="92">
        <v>0</v>
      </c>
      <c r="O54" s="79">
        <v>0</v>
      </c>
      <c r="P54" s="92">
        <v>0</v>
      </c>
      <c r="Q54" s="79">
        <v>0</v>
      </c>
      <c r="R54" s="79">
        <v>0</v>
      </c>
      <c r="S54" s="79">
        <v>34052018.460000001</v>
      </c>
      <c r="T54" s="79">
        <v>0</v>
      </c>
      <c r="U54" s="350"/>
      <c r="V54" s="350"/>
      <c r="W54" s="350"/>
      <c r="X54" s="350"/>
      <c r="Y54" s="350"/>
      <c r="Z54" s="350"/>
      <c r="AA54" s="350"/>
      <c r="AB54" s="350"/>
      <c r="AC54" s="350"/>
      <c r="AD54" s="350"/>
      <c r="AE54" s="350"/>
    </row>
    <row r="55" s="350" customFormat="1" ht="24" customHeight="1">
      <c r="A55" s="33">
        <v>44</v>
      </c>
      <c r="B55" s="42" t="s">
        <v>942</v>
      </c>
      <c r="C55" s="215">
        <f>D55+K55+L55+M55+N55+O55+P55+Q55+R55+S55+T55</f>
        <v>9410331.0999999996</v>
      </c>
      <c r="D55" s="215">
        <f>SUM(E55:I55)</f>
        <v>0</v>
      </c>
      <c r="E55" s="92">
        <v>0</v>
      </c>
      <c r="F55" s="92">
        <v>0</v>
      </c>
      <c r="G55" s="92">
        <v>0</v>
      </c>
      <c r="H55" s="92">
        <v>0</v>
      </c>
      <c r="I55" s="79">
        <v>0</v>
      </c>
      <c r="J55" s="398">
        <v>0</v>
      </c>
      <c r="K55" s="79">
        <v>0</v>
      </c>
      <c r="L55" s="92">
        <v>9118202.1799999997</v>
      </c>
      <c r="M55" s="79">
        <v>0</v>
      </c>
      <c r="N55" s="92">
        <v>0</v>
      </c>
      <c r="O55" s="79">
        <v>0</v>
      </c>
      <c r="P55" s="92">
        <v>292128.91999999998</v>
      </c>
      <c r="Q55" s="79">
        <v>0</v>
      </c>
      <c r="R55" s="79">
        <v>0</v>
      </c>
      <c r="S55" s="79">
        <v>0</v>
      </c>
      <c r="T55" s="79">
        <v>0</v>
      </c>
      <c r="U55" s="350"/>
      <c r="V55" s="350"/>
      <c r="W55" s="350"/>
      <c r="X55" s="350"/>
      <c r="Y55" s="350"/>
      <c r="Z55" s="350"/>
      <c r="AA55" s="350"/>
      <c r="AB55" s="350"/>
      <c r="AC55" s="350"/>
      <c r="AD55" s="350"/>
      <c r="AE55" s="350"/>
    </row>
    <row r="56" s="350" customFormat="1" ht="24" customHeight="1">
      <c r="A56" s="122">
        <v>45</v>
      </c>
      <c r="B56" s="42" t="s">
        <v>943</v>
      </c>
      <c r="C56" s="215">
        <f>D56+K56+L56+M56+N56+O56+P56+Q56+R56+S56+T56</f>
        <v>166822.20999999999</v>
      </c>
      <c r="D56" s="215">
        <f>SUM(E56:I56)</f>
        <v>0</v>
      </c>
      <c r="E56" s="92">
        <v>0</v>
      </c>
      <c r="F56" s="92">
        <v>0</v>
      </c>
      <c r="G56" s="79">
        <v>0</v>
      </c>
      <c r="H56" s="92">
        <v>0</v>
      </c>
      <c r="I56" s="79">
        <v>0</v>
      </c>
      <c r="J56" s="398">
        <v>0</v>
      </c>
      <c r="K56" s="79">
        <v>0</v>
      </c>
      <c r="L56" s="79">
        <v>0</v>
      </c>
      <c r="M56" s="79">
        <v>0</v>
      </c>
      <c r="N56" s="79">
        <v>0</v>
      </c>
      <c r="O56" s="79">
        <v>0</v>
      </c>
      <c r="P56" s="92">
        <v>166822.20999999999</v>
      </c>
      <c r="Q56" s="79">
        <v>0</v>
      </c>
      <c r="R56" s="79">
        <v>0</v>
      </c>
      <c r="S56" s="79">
        <v>0</v>
      </c>
      <c r="T56" s="79">
        <v>0</v>
      </c>
      <c r="U56" s="350"/>
      <c r="V56" s="350"/>
      <c r="W56" s="350"/>
      <c r="X56" s="350"/>
      <c r="Y56" s="350"/>
      <c r="Z56" s="350"/>
      <c r="AA56" s="350"/>
      <c r="AB56" s="350"/>
      <c r="AC56" s="350"/>
      <c r="AD56" s="350"/>
      <c r="AE56" s="350"/>
    </row>
    <row r="57" s="350" customFormat="1" ht="24" customHeight="1">
      <c r="A57" s="33">
        <v>46</v>
      </c>
      <c r="B57" s="42" t="s">
        <v>944</v>
      </c>
      <c r="C57" s="215">
        <f>D57+K57+L57+M57+N57+O57+P57+Q57+R57+S57+T57</f>
        <v>3206846.21</v>
      </c>
      <c r="D57" s="215">
        <f>SUM(E57:I57)</f>
        <v>2606228.3999999999</v>
      </c>
      <c r="E57" s="92">
        <v>2606228.3999999999</v>
      </c>
      <c r="F57" s="92">
        <v>0</v>
      </c>
      <c r="G57" s="92">
        <v>0</v>
      </c>
      <c r="H57" s="92">
        <v>0</v>
      </c>
      <c r="I57" s="92">
        <v>0</v>
      </c>
      <c r="J57" s="398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92">
        <f>334651.44+265966.37</f>
        <v>600617.81000000006</v>
      </c>
      <c r="Q57" s="79">
        <v>0</v>
      </c>
      <c r="R57" s="79">
        <v>0</v>
      </c>
      <c r="S57" s="79">
        <v>0</v>
      </c>
      <c r="T57" s="79">
        <v>0</v>
      </c>
      <c r="U57" s="350"/>
      <c r="V57" s="350"/>
      <c r="W57" s="350"/>
      <c r="X57" s="350"/>
      <c r="Y57" s="350"/>
      <c r="Z57" s="350"/>
      <c r="AA57" s="350"/>
      <c r="AB57" s="350"/>
      <c r="AC57" s="350"/>
      <c r="AD57" s="350"/>
      <c r="AE57" s="350"/>
    </row>
    <row r="58" s="399" customFormat="1" ht="24" customHeight="1">
      <c r="A58" s="122">
        <v>47</v>
      </c>
      <c r="B58" s="42" t="s">
        <v>945</v>
      </c>
      <c r="C58" s="215">
        <f>D58+K58+L58+M58+N58+O58+P58+Q58+R58+S58+T58</f>
        <v>134171</v>
      </c>
      <c r="D58" s="215">
        <f>SUM(E58:I58)</f>
        <v>0</v>
      </c>
      <c r="E58" s="92">
        <v>0</v>
      </c>
      <c r="F58" s="92">
        <v>0</v>
      </c>
      <c r="G58" s="92">
        <v>0</v>
      </c>
      <c r="H58" s="92">
        <v>0</v>
      </c>
      <c r="I58" s="92">
        <v>0</v>
      </c>
      <c r="J58" s="345">
        <v>0</v>
      </c>
      <c r="K58" s="79">
        <v>0</v>
      </c>
      <c r="L58" s="158">
        <v>0</v>
      </c>
      <c r="M58" s="79">
        <v>0</v>
      </c>
      <c r="N58" s="158">
        <v>0</v>
      </c>
      <c r="O58" s="79">
        <v>0</v>
      </c>
      <c r="P58" s="92">
        <v>134171</v>
      </c>
      <c r="Q58" s="158">
        <v>0</v>
      </c>
      <c r="R58" s="79">
        <v>0</v>
      </c>
      <c r="S58" s="158">
        <v>0</v>
      </c>
      <c r="T58" s="79">
        <v>0</v>
      </c>
      <c r="U58" s="399"/>
      <c r="V58" s="399"/>
      <c r="W58" s="399"/>
      <c r="X58" s="399"/>
      <c r="Y58" s="399"/>
      <c r="Z58" s="399"/>
      <c r="AA58" s="399"/>
      <c r="AB58" s="399"/>
      <c r="AC58" s="399"/>
      <c r="AD58" s="399"/>
      <c r="AE58" s="399"/>
    </row>
    <row r="59" s="350" customFormat="1" ht="24" customHeight="1">
      <c r="A59" s="33">
        <v>48</v>
      </c>
      <c r="B59" s="42" t="s">
        <v>111</v>
      </c>
      <c r="C59" s="215">
        <f>D59+K59+L59+M59+N59+O59+P59+Q59+R59+S59+T59</f>
        <v>219362.54000000001</v>
      </c>
      <c r="D59" s="215">
        <f>SUM(E59:I59)</f>
        <v>219362.54000000001</v>
      </c>
      <c r="E59" s="92">
        <v>0</v>
      </c>
      <c r="F59" s="79">
        <v>0</v>
      </c>
      <c r="G59" s="79">
        <v>0</v>
      </c>
      <c r="H59" s="92">
        <v>219362.54000000001</v>
      </c>
      <c r="I59" s="79">
        <v>0</v>
      </c>
      <c r="J59" s="398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350"/>
      <c r="V59" s="350"/>
      <c r="W59" s="350"/>
      <c r="X59" s="350"/>
      <c r="Y59" s="350"/>
      <c r="Z59" s="350"/>
      <c r="AA59" s="350"/>
      <c r="AB59" s="350"/>
      <c r="AC59" s="350"/>
      <c r="AD59" s="350"/>
      <c r="AE59" s="350"/>
      <c r="AF59" s="350"/>
      <c r="AG59" s="350"/>
      <c r="AH59" s="350"/>
      <c r="AI59" s="350"/>
      <c r="AJ59" s="350"/>
    </row>
    <row r="60" s="350" customFormat="1" ht="24" customHeight="1">
      <c r="A60" s="122">
        <v>49</v>
      </c>
      <c r="B60" s="42" t="s">
        <v>946</v>
      </c>
      <c r="C60" s="215">
        <f>D60+K60+L60+M60+N60+O60+P60+Q60+R60+S60+T60</f>
        <v>377981.09999999998</v>
      </c>
      <c r="D60" s="215">
        <f>SUM(E60:I60)</f>
        <v>0</v>
      </c>
      <c r="E60" s="92">
        <v>0</v>
      </c>
      <c r="F60" s="92">
        <v>0</v>
      </c>
      <c r="G60" s="92">
        <v>0</v>
      </c>
      <c r="H60" s="92">
        <v>0</v>
      </c>
      <c r="I60" s="92">
        <v>0</v>
      </c>
      <c r="J60" s="398">
        <v>0</v>
      </c>
      <c r="K60" s="158">
        <v>0</v>
      </c>
      <c r="L60" s="79">
        <v>0</v>
      </c>
      <c r="M60" s="79">
        <v>0</v>
      </c>
      <c r="N60" s="79">
        <v>0</v>
      </c>
      <c r="O60" s="79">
        <v>0</v>
      </c>
      <c r="P60" s="92">
        <f>196922.5+181058.6</f>
        <v>377981.09999999998</v>
      </c>
      <c r="Q60" s="79">
        <v>0</v>
      </c>
      <c r="R60" s="79">
        <v>0</v>
      </c>
      <c r="S60" s="79">
        <v>0</v>
      </c>
      <c r="T60" s="79">
        <v>0</v>
      </c>
      <c r="U60" s="399"/>
      <c r="V60" s="399"/>
      <c r="W60" s="399"/>
      <c r="X60" s="399"/>
      <c r="Y60" s="399"/>
      <c r="Z60" s="399"/>
      <c r="AA60" s="399"/>
      <c r="AB60" s="399"/>
      <c r="AC60" s="399"/>
      <c r="AD60" s="399"/>
      <c r="AE60" s="399"/>
      <c r="AF60" s="399"/>
      <c r="AG60" s="399"/>
      <c r="AH60" s="399"/>
      <c r="AI60" s="399"/>
      <c r="AJ60" s="399"/>
    </row>
    <row r="61" s="350" customFormat="1" ht="24" customHeight="1">
      <c r="A61" s="33">
        <v>50</v>
      </c>
      <c r="B61" s="42" t="s">
        <v>113</v>
      </c>
      <c r="C61" s="215">
        <f>D61+K61+L61+M61+N61+O61+P61+Q61+R61+S61+T61</f>
        <v>1546459.7</v>
      </c>
      <c r="D61" s="215">
        <f>SUM(E61:I61)</f>
        <v>1546459.7</v>
      </c>
      <c r="E61" s="92">
        <v>0</v>
      </c>
      <c r="F61" s="400">
        <v>0</v>
      </c>
      <c r="G61" s="400">
        <v>1546459.7</v>
      </c>
      <c r="H61" s="92">
        <v>0</v>
      </c>
      <c r="I61" s="400">
        <v>0</v>
      </c>
      <c r="J61" s="402">
        <v>0</v>
      </c>
      <c r="K61" s="92">
        <v>0</v>
      </c>
      <c r="L61" s="400">
        <v>0</v>
      </c>
      <c r="M61" s="400">
        <v>0</v>
      </c>
      <c r="N61" s="400">
        <v>0</v>
      </c>
      <c r="O61" s="400">
        <v>0</v>
      </c>
      <c r="P61" s="400">
        <v>0</v>
      </c>
      <c r="Q61" s="400">
        <v>0</v>
      </c>
      <c r="R61" s="400">
        <v>0</v>
      </c>
      <c r="S61" s="400">
        <v>0</v>
      </c>
      <c r="T61" s="79">
        <v>0</v>
      </c>
      <c r="U61" s="350"/>
      <c r="V61" s="350"/>
      <c r="W61" s="350"/>
      <c r="X61" s="350"/>
      <c r="Y61" s="350"/>
      <c r="Z61" s="350"/>
      <c r="AA61" s="350"/>
      <c r="AB61" s="350"/>
      <c r="AC61" s="350"/>
      <c r="AD61" s="350"/>
      <c r="AE61" s="350"/>
      <c r="AF61" s="350"/>
      <c r="AG61" s="350"/>
      <c r="AH61" s="350"/>
      <c r="AI61" s="350"/>
      <c r="AJ61" s="350"/>
    </row>
    <row r="62" s="350" customFormat="1" ht="24" customHeight="1">
      <c r="A62" s="122">
        <v>51</v>
      </c>
      <c r="B62" s="42" t="s">
        <v>947</v>
      </c>
      <c r="C62" s="215">
        <f>D62+K62+L62+M62+N62+O62+P62+Q62+R62+S62+T62</f>
        <v>11659431.08</v>
      </c>
      <c r="D62" s="215">
        <f>SUM(E62:I62)</f>
        <v>0</v>
      </c>
      <c r="E62" s="92">
        <v>0</v>
      </c>
      <c r="F62" s="79">
        <v>0</v>
      </c>
      <c r="G62" s="79">
        <v>0</v>
      </c>
      <c r="H62" s="92">
        <v>0</v>
      </c>
      <c r="I62" s="79">
        <v>0</v>
      </c>
      <c r="J62" s="398">
        <v>0</v>
      </c>
      <c r="K62" s="79">
        <v>0</v>
      </c>
      <c r="L62" s="92">
        <v>0</v>
      </c>
      <c r="M62" s="79">
        <v>0</v>
      </c>
      <c r="N62" s="92">
        <v>11373659.029999999</v>
      </c>
      <c r="O62" s="79">
        <v>0</v>
      </c>
      <c r="P62" s="92">
        <v>285772.04999999999</v>
      </c>
      <c r="Q62" s="79">
        <v>0</v>
      </c>
      <c r="R62" s="79">
        <v>0</v>
      </c>
      <c r="S62" s="79">
        <v>0</v>
      </c>
      <c r="T62" s="79">
        <v>0</v>
      </c>
      <c r="U62" s="350"/>
      <c r="V62" s="350"/>
      <c r="W62" s="350"/>
      <c r="X62" s="350"/>
      <c r="Y62" s="350"/>
      <c r="Z62" s="350"/>
      <c r="AA62" s="350"/>
      <c r="AB62" s="350"/>
      <c r="AC62" s="350"/>
      <c r="AD62" s="350"/>
      <c r="AE62" s="350"/>
    </row>
    <row r="63" s="350" customFormat="1" ht="24" customHeight="1">
      <c r="A63" s="33">
        <v>52</v>
      </c>
      <c r="B63" s="42" t="s">
        <v>116</v>
      </c>
      <c r="C63" s="215">
        <f>D63+K63+L63+M63+N63+O63+P63+Q63+R63+S63+T63</f>
        <v>379523.79999999999</v>
      </c>
      <c r="D63" s="215">
        <f>SUM(E63:I63)</f>
        <v>379523.79999999999</v>
      </c>
      <c r="E63" s="92">
        <v>379523.79999999999</v>
      </c>
      <c r="F63" s="400">
        <v>0</v>
      </c>
      <c r="G63" s="158">
        <v>0</v>
      </c>
      <c r="H63" s="92">
        <v>0</v>
      </c>
      <c r="I63" s="400">
        <v>0</v>
      </c>
      <c r="J63" s="345">
        <v>0</v>
      </c>
      <c r="K63" s="92">
        <v>0</v>
      </c>
      <c r="L63" s="400">
        <v>0</v>
      </c>
      <c r="M63" s="158">
        <v>0</v>
      </c>
      <c r="N63" s="400">
        <v>0</v>
      </c>
      <c r="O63" s="158">
        <v>0</v>
      </c>
      <c r="P63" s="400">
        <v>0</v>
      </c>
      <c r="Q63" s="158">
        <v>0</v>
      </c>
      <c r="R63" s="400">
        <v>0</v>
      </c>
      <c r="S63" s="158">
        <v>0</v>
      </c>
      <c r="T63" s="79">
        <v>0</v>
      </c>
      <c r="U63" s="350"/>
      <c r="V63" s="350"/>
      <c r="W63" s="350"/>
      <c r="X63" s="350"/>
      <c r="Y63" s="350"/>
      <c r="Z63" s="350"/>
      <c r="AA63" s="350"/>
      <c r="AB63" s="350"/>
      <c r="AC63" s="350"/>
      <c r="AD63" s="350"/>
      <c r="AE63" s="350"/>
    </row>
    <row r="64" s="350" customFormat="1" ht="24" customHeight="1">
      <c r="A64" s="122">
        <v>53</v>
      </c>
      <c r="B64" s="42" t="s">
        <v>948</v>
      </c>
      <c r="C64" s="215">
        <f>D64+K64+L64+M64+N64+O64+P64+Q64+R64+S64+T64</f>
        <v>145370.03</v>
      </c>
      <c r="D64" s="215">
        <f>SUM(E64:I64)</f>
        <v>0</v>
      </c>
      <c r="E64" s="92">
        <v>0</v>
      </c>
      <c r="F64" s="79">
        <v>0</v>
      </c>
      <c r="G64" s="79">
        <v>0</v>
      </c>
      <c r="H64" s="92">
        <v>0</v>
      </c>
      <c r="I64" s="79">
        <v>0</v>
      </c>
      <c r="J64" s="398">
        <v>0</v>
      </c>
      <c r="K64" s="79">
        <v>0</v>
      </c>
      <c r="L64" s="92">
        <v>0</v>
      </c>
      <c r="M64" s="79">
        <v>0</v>
      </c>
      <c r="N64" s="79">
        <v>0</v>
      </c>
      <c r="O64" s="79">
        <v>0</v>
      </c>
      <c r="P64" s="92">
        <v>145370.03</v>
      </c>
      <c r="Q64" s="79">
        <v>0</v>
      </c>
      <c r="R64" s="79">
        <v>0</v>
      </c>
      <c r="S64" s="79">
        <v>0</v>
      </c>
      <c r="T64" s="79">
        <v>0</v>
      </c>
      <c r="U64" s="350"/>
      <c r="V64" s="350"/>
      <c r="W64" s="350"/>
      <c r="X64" s="350"/>
      <c r="Y64" s="350"/>
      <c r="Z64" s="350"/>
      <c r="AA64" s="350"/>
      <c r="AB64" s="350"/>
      <c r="AC64" s="350"/>
      <c r="AD64" s="350"/>
      <c r="AE64" s="350"/>
    </row>
    <row r="65" s="350" customFormat="1" ht="24" customHeight="1">
      <c r="A65" s="33">
        <v>54</v>
      </c>
      <c r="B65" s="42" t="s">
        <v>949</v>
      </c>
      <c r="C65" s="215">
        <f>D65+K65+L65+M65+N65+O65+P65+Q65+R65+S65+T65</f>
        <v>147350.51000000001</v>
      </c>
      <c r="D65" s="215">
        <f>SUM(E65:I65)</f>
        <v>0</v>
      </c>
      <c r="E65" s="92">
        <v>0</v>
      </c>
      <c r="F65" s="79">
        <v>0</v>
      </c>
      <c r="G65" s="79">
        <v>0</v>
      </c>
      <c r="H65" s="92">
        <v>0</v>
      </c>
      <c r="I65" s="79">
        <v>0</v>
      </c>
      <c r="J65" s="398">
        <v>0</v>
      </c>
      <c r="K65" s="79">
        <v>0</v>
      </c>
      <c r="L65" s="92">
        <v>0</v>
      </c>
      <c r="M65" s="79">
        <v>0</v>
      </c>
      <c r="N65" s="79">
        <v>0</v>
      </c>
      <c r="O65" s="79">
        <v>0</v>
      </c>
      <c r="P65" s="92">
        <v>147350.51000000001</v>
      </c>
      <c r="Q65" s="79">
        <v>0</v>
      </c>
      <c r="R65" s="79">
        <v>0</v>
      </c>
      <c r="S65" s="79">
        <v>0</v>
      </c>
      <c r="T65" s="79">
        <v>0</v>
      </c>
      <c r="U65" s="350"/>
      <c r="V65" s="350"/>
      <c r="W65" s="350"/>
      <c r="X65" s="350"/>
      <c r="Y65" s="350"/>
      <c r="Z65" s="350"/>
      <c r="AA65" s="350"/>
      <c r="AB65" s="350"/>
      <c r="AC65" s="350"/>
      <c r="AD65" s="350"/>
      <c r="AE65" s="350"/>
      <c r="AF65" s="350"/>
      <c r="AG65" s="350"/>
      <c r="AH65" s="350"/>
      <c r="AI65" s="350"/>
    </row>
    <row r="66" s="350" customFormat="1" ht="24" customHeight="1">
      <c r="A66" s="122">
        <v>55</v>
      </c>
      <c r="B66" s="42" t="s">
        <v>950</v>
      </c>
      <c r="C66" s="215">
        <f>D66+K66+L66+M66+N66+O66+P66+Q66+R66+S66+T66</f>
        <v>140658.88</v>
      </c>
      <c r="D66" s="215">
        <f>SUM(E66:I66)</f>
        <v>0</v>
      </c>
      <c r="E66" s="92">
        <v>0</v>
      </c>
      <c r="F66" s="92">
        <v>0</v>
      </c>
      <c r="G66" s="79">
        <v>0</v>
      </c>
      <c r="H66" s="92">
        <v>0</v>
      </c>
      <c r="I66" s="92">
        <v>0</v>
      </c>
      <c r="J66" s="398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92">
        <v>140658.88</v>
      </c>
      <c r="Q66" s="79">
        <v>0</v>
      </c>
      <c r="R66" s="79">
        <v>0</v>
      </c>
      <c r="S66" s="79">
        <v>0</v>
      </c>
      <c r="T66" s="79">
        <v>0</v>
      </c>
      <c r="U66" s="350"/>
      <c r="V66" s="350"/>
      <c r="W66" s="350"/>
      <c r="X66" s="350"/>
      <c r="Y66" s="350"/>
      <c r="Z66" s="350"/>
      <c r="AA66" s="350"/>
      <c r="AB66" s="350"/>
      <c r="AC66" s="350"/>
      <c r="AD66" s="350"/>
      <c r="AE66" s="350"/>
      <c r="AF66" s="350"/>
      <c r="AG66" s="350"/>
      <c r="AH66" s="350"/>
      <c r="AI66" s="350"/>
    </row>
    <row r="67" s="350" customFormat="1" ht="24" customHeight="1">
      <c r="A67" s="33">
        <v>56</v>
      </c>
      <c r="B67" s="42" t="s">
        <v>951</v>
      </c>
      <c r="C67" s="215">
        <f>D67+K67+L67+M67+N67+O67+P67+Q67+R67+S67+T67</f>
        <v>292575.33000000002</v>
      </c>
      <c r="D67" s="215">
        <f>SUM(E67:I67)</f>
        <v>0</v>
      </c>
      <c r="E67" s="92">
        <v>0</v>
      </c>
      <c r="F67" s="79">
        <v>0</v>
      </c>
      <c r="G67" s="79">
        <v>0</v>
      </c>
      <c r="H67" s="92">
        <v>0</v>
      </c>
      <c r="I67" s="79">
        <v>0</v>
      </c>
      <c r="J67" s="398">
        <v>0</v>
      </c>
      <c r="K67" s="79">
        <v>0</v>
      </c>
      <c r="L67" s="92">
        <v>0</v>
      </c>
      <c r="M67" s="79">
        <v>0</v>
      </c>
      <c r="N67" s="79">
        <v>0</v>
      </c>
      <c r="O67" s="79">
        <v>0</v>
      </c>
      <c r="P67" s="92">
        <v>292575.33000000002</v>
      </c>
      <c r="Q67" s="79">
        <v>0</v>
      </c>
      <c r="R67" s="79">
        <v>0</v>
      </c>
      <c r="S67" s="79">
        <v>0</v>
      </c>
      <c r="T67" s="79">
        <v>0</v>
      </c>
      <c r="U67" s="350"/>
      <c r="V67" s="350"/>
      <c r="W67" s="350"/>
      <c r="X67" s="350"/>
      <c r="Y67" s="350"/>
      <c r="Z67" s="350"/>
      <c r="AA67" s="350"/>
      <c r="AB67" s="350"/>
      <c r="AC67" s="350"/>
      <c r="AD67" s="350"/>
      <c r="AE67" s="350"/>
      <c r="AF67" s="350"/>
      <c r="AG67" s="350"/>
      <c r="AH67" s="350"/>
      <c r="AI67" s="350"/>
    </row>
    <row r="68" s="350" customFormat="1" ht="24" customHeight="1">
      <c r="A68" s="122">
        <v>57</v>
      </c>
      <c r="B68" s="52" t="s">
        <v>121</v>
      </c>
      <c r="C68" s="215">
        <f>D68+K68+L68+M68+N68+O68+P68+Q68+R68+S68+T68</f>
        <v>1650674.04</v>
      </c>
      <c r="D68" s="215">
        <f>SUM(E68:I68)</f>
        <v>1650674.04</v>
      </c>
      <c r="E68" s="92">
        <v>0</v>
      </c>
      <c r="F68" s="79">
        <v>1400367.6299999999</v>
      </c>
      <c r="G68" s="79">
        <v>0</v>
      </c>
      <c r="H68" s="92">
        <v>90221.119999999995</v>
      </c>
      <c r="I68" s="79">
        <v>160085.29000000001</v>
      </c>
      <c r="J68" s="398">
        <v>0</v>
      </c>
      <c r="K68" s="79">
        <v>0</v>
      </c>
      <c r="L68" s="92">
        <v>0</v>
      </c>
      <c r="M68" s="79">
        <v>0</v>
      </c>
      <c r="N68" s="79">
        <v>0</v>
      </c>
      <c r="O68" s="79">
        <v>0</v>
      </c>
      <c r="P68" s="92">
        <v>0</v>
      </c>
      <c r="Q68" s="79">
        <v>0</v>
      </c>
      <c r="R68" s="79">
        <v>0</v>
      </c>
      <c r="S68" s="79">
        <v>0</v>
      </c>
      <c r="T68" s="79">
        <v>0</v>
      </c>
      <c r="U68" s="350"/>
      <c r="V68" s="350"/>
      <c r="W68" s="350"/>
      <c r="X68" s="350"/>
      <c r="Y68" s="350"/>
      <c r="Z68" s="350"/>
      <c r="AA68" s="350"/>
      <c r="AB68" s="350"/>
      <c r="AC68" s="350"/>
      <c r="AD68" s="350"/>
      <c r="AE68" s="350"/>
      <c r="AF68" s="350"/>
      <c r="AG68" s="350"/>
      <c r="AH68" s="350"/>
      <c r="AI68" s="350"/>
      <c r="AJ68" s="350"/>
      <c r="AK68" s="350"/>
    </row>
    <row r="69" s="350" customFormat="1" ht="24" customHeight="1">
      <c r="A69" s="33">
        <v>58</v>
      </c>
      <c r="B69" s="42" t="s">
        <v>122</v>
      </c>
      <c r="C69" s="215">
        <f>D69+K69+L69+M69+N69+O69+P69+Q69+R69+S69+T69</f>
        <v>1658604.53</v>
      </c>
      <c r="D69" s="215">
        <f>SUM(E69:I69)</f>
        <v>1658604.53</v>
      </c>
      <c r="E69" s="92">
        <v>0</v>
      </c>
      <c r="F69" s="158">
        <v>0</v>
      </c>
      <c r="G69" s="79">
        <v>1658604.53</v>
      </c>
      <c r="H69" s="92">
        <v>0</v>
      </c>
      <c r="I69" s="92">
        <v>0</v>
      </c>
      <c r="J69" s="345">
        <v>0</v>
      </c>
      <c r="K69" s="79">
        <v>0</v>
      </c>
      <c r="L69" s="158">
        <v>0</v>
      </c>
      <c r="M69" s="79">
        <v>0</v>
      </c>
      <c r="N69" s="158">
        <v>0</v>
      </c>
      <c r="O69" s="79">
        <v>0</v>
      </c>
      <c r="P69" s="158">
        <v>0</v>
      </c>
      <c r="Q69" s="79">
        <v>0</v>
      </c>
      <c r="R69" s="158">
        <v>0</v>
      </c>
      <c r="S69" s="79">
        <v>0</v>
      </c>
      <c r="T69" s="79">
        <v>0</v>
      </c>
      <c r="U69" s="399"/>
      <c r="V69" s="399"/>
      <c r="W69" s="399"/>
      <c r="X69" s="399"/>
      <c r="Y69" s="399"/>
      <c r="Z69" s="399"/>
      <c r="AA69" s="399"/>
      <c r="AB69" s="399"/>
      <c r="AC69" s="399"/>
      <c r="AD69" s="399"/>
      <c r="AE69" s="399"/>
      <c r="AF69" s="399"/>
      <c r="AG69" s="399"/>
      <c r="AH69" s="399"/>
      <c r="AI69" s="399"/>
    </row>
    <row r="70" s="350" customFormat="1" ht="24" customHeight="1">
      <c r="A70" s="122">
        <v>59</v>
      </c>
      <c r="B70" s="42" t="s">
        <v>123</v>
      </c>
      <c r="C70" s="215">
        <f>D70+K70+L70+M70+N70+O70+P70+Q70+R70+S70+T70</f>
        <v>997039.41000000003</v>
      </c>
      <c r="D70" s="215">
        <f>SUM(E70:I70)</f>
        <v>997039.41000000003</v>
      </c>
      <c r="E70" s="92">
        <v>0</v>
      </c>
      <c r="F70" s="79">
        <v>0</v>
      </c>
      <c r="G70" s="79">
        <v>0</v>
      </c>
      <c r="H70" s="92">
        <v>417794.76000000001</v>
      </c>
      <c r="I70" s="92">
        <v>579244.65000000002</v>
      </c>
      <c r="J70" s="398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350"/>
      <c r="V70" s="350"/>
      <c r="W70" s="350"/>
      <c r="X70" s="350"/>
      <c r="Y70" s="350"/>
      <c r="Z70" s="350"/>
      <c r="AA70" s="350"/>
      <c r="AB70" s="350"/>
      <c r="AC70" s="350"/>
      <c r="AD70" s="350"/>
      <c r="AE70" s="350"/>
      <c r="AF70" s="350"/>
      <c r="AG70" s="350"/>
      <c r="AH70" s="350"/>
      <c r="AI70" s="350"/>
    </row>
    <row r="71" s="350" customFormat="1" ht="24" customHeight="1">
      <c r="A71" s="33">
        <v>60</v>
      </c>
      <c r="B71" s="52" t="s">
        <v>952</v>
      </c>
      <c r="C71" s="215">
        <f>D71+K71+L71+M71+N71+O71+P71+Q71+R71+S71+T71</f>
        <v>419368.33999999997</v>
      </c>
      <c r="D71" s="215">
        <f>SUM(E71:I71)</f>
        <v>0</v>
      </c>
      <c r="E71" s="92">
        <v>0</v>
      </c>
      <c r="F71" s="92">
        <v>0</v>
      </c>
      <c r="G71" s="92">
        <v>0</v>
      </c>
      <c r="H71" s="92">
        <v>0</v>
      </c>
      <c r="I71" s="92">
        <v>0</v>
      </c>
      <c r="J71" s="398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92">
        <f>267084.49+152283.85</f>
        <v>419368.33999999997</v>
      </c>
      <c r="Q71" s="79">
        <v>0</v>
      </c>
      <c r="R71" s="79">
        <v>0</v>
      </c>
      <c r="S71" s="79">
        <v>0</v>
      </c>
      <c r="T71" s="79">
        <v>0</v>
      </c>
      <c r="U71" s="350"/>
      <c r="V71" s="350"/>
      <c r="W71" s="350"/>
      <c r="X71" s="350"/>
      <c r="Y71" s="350"/>
      <c r="Z71" s="350"/>
      <c r="AA71" s="350"/>
      <c r="AB71" s="350"/>
      <c r="AC71" s="350"/>
      <c r="AD71" s="350"/>
      <c r="AE71" s="350"/>
      <c r="AF71" s="350"/>
      <c r="AG71" s="350"/>
      <c r="AH71" s="350"/>
      <c r="AI71" s="350"/>
    </row>
    <row r="72" s="350" customFormat="1" ht="24" customHeight="1">
      <c r="A72" s="122">
        <v>61</v>
      </c>
      <c r="B72" s="42" t="s">
        <v>953</v>
      </c>
      <c r="C72" s="215">
        <f>D72+K72+L72+M72+N72+O72+P72+Q72+R72+S72+T72</f>
        <v>259180.81</v>
      </c>
      <c r="D72" s="215">
        <f>SUM(E72:I72)</f>
        <v>0</v>
      </c>
      <c r="E72" s="92">
        <v>0</v>
      </c>
      <c r="F72" s="79">
        <v>0</v>
      </c>
      <c r="G72" s="79">
        <v>0</v>
      </c>
      <c r="H72" s="92">
        <v>0</v>
      </c>
      <c r="I72" s="92">
        <v>0</v>
      </c>
      <c r="J72" s="398">
        <v>0</v>
      </c>
      <c r="K72" s="79">
        <v>0</v>
      </c>
      <c r="L72" s="92">
        <v>0</v>
      </c>
      <c r="M72" s="79">
        <v>0</v>
      </c>
      <c r="N72" s="79">
        <v>0</v>
      </c>
      <c r="O72" s="79">
        <v>0</v>
      </c>
      <c r="P72" s="92">
        <v>259180.81</v>
      </c>
      <c r="Q72" s="79">
        <v>0</v>
      </c>
      <c r="R72" s="79">
        <v>0</v>
      </c>
      <c r="S72" s="79">
        <v>0</v>
      </c>
      <c r="T72" s="79">
        <v>0</v>
      </c>
      <c r="U72" s="350"/>
      <c r="V72" s="350"/>
      <c r="W72" s="350"/>
      <c r="X72" s="350"/>
      <c r="Y72" s="350"/>
      <c r="Z72" s="350"/>
      <c r="AA72" s="350"/>
      <c r="AB72" s="350"/>
      <c r="AC72" s="350"/>
      <c r="AD72" s="350"/>
      <c r="AE72" s="350"/>
    </row>
    <row r="73" s="350" customFormat="1" ht="24" customHeight="1">
      <c r="A73" s="33">
        <v>62</v>
      </c>
      <c r="B73" s="42" t="s">
        <v>127</v>
      </c>
      <c r="C73" s="215">
        <f>D73+K73+L73+M73+N73+O73+P73+Q73+R73+S73+T73</f>
        <v>11751748.800000001</v>
      </c>
      <c r="D73" s="215">
        <f>SUM(E73:I73)</f>
        <v>0</v>
      </c>
      <c r="E73" s="92">
        <v>0</v>
      </c>
      <c r="F73" s="92">
        <v>0</v>
      </c>
      <c r="G73" s="79">
        <v>0</v>
      </c>
      <c r="H73" s="92">
        <v>0</v>
      </c>
      <c r="I73" s="79">
        <v>0</v>
      </c>
      <c r="J73" s="398">
        <v>0</v>
      </c>
      <c r="K73" s="79">
        <v>0</v>
      </c>
      <c r="L73" s="92">
        <v>0</v>
      </c>
      <c r="M73" s="79">
        <v>0</v>
      </c>
      <c r="N73" s="79">
        <v>11751748.800000001</v>
      </c>
      <c r="O73" s="79">
        <v>0</v>
      </c>
      <c r="P73" s="92">
        <v>0</v>
      </c>
      <c r="Q73" s="92">
        <v>0</v>
      </c>
      <c r="R73" s="79">
        <v>0</v>
      </c>
      <c r="S73" s="79">
        <v>0</v>
      </c>
      <c r="T73" s="79">
        <v>0</v>
      </c>
      <c r="U73" s="350"/>
      <c r="V73" s="350"/>
      <c r="W73" s="350"/>
      <c r="X73" s="350"/>
      <c r="Y73" s="350"/>
      <c r="Z73" s="350"/>
      <c r="AA73" s="350"/>
      <c r="AB73" s="350"/>
      <c r="AC73" s="350"/>
      <c r="AD73" s="350"/>
      <c r="AE73" s="350"/>
    </row>
    <row r="74" s="350" customFormat="1" ht="24" customHeight="1">
      <c r="A74" s="122">
        <v>63</v>
      </c>
      <c r="B74" s="42" t="s">
        <v>954</v>
      </c>
      <c r="C74" s="215">
        <f>D74+K74+L74+M74+N74+O74+P74+Q74+R74+S74+T74</f>
        <v>198651.10999999999</v>
      </c>
      <c r="D74" s="215">
        <f>SUM(E74:I74)</f>
        <v>0</v>
      </c>
      <c r="E74" s="92">
        <v>0</v>
      </c>
      <c r="F74" s="92">
        <v>0</v>
      </c>
      <c r="G74" s="79">
        <v>0</v>
      </c>
      <c r="H74" s="92">
        <v>0</v>
      </c>
      <c r="I74" s="79">
        <v>0</v>
      </c>
      <c r="J74" s="398">
        <v>0</v>
      </c>
      <c r="K74" s="79">
        <v>0</v>
      </c>
      <c r="L74" s="92">
        <v>0</v>
      </c>
      <c r="M74" s="79">
        <v>0</v>
      </c>
      <c r="N74" s="79">
        <v>0</v>
      </c>
      <c r="O74" s="79">
        <v>0</v>
      </c>
      <c r="P74" s="92">
        <v>198651.10999999999</v>
      </c>
      <c r="Q74" s="92">
        <v>0</v>
      </c>
      <c r="R74" s="79">
        <v>0</v>
      </c>
      <c r="S74" s="79">
        <v>0</v>
      </c>
      <c r="T74" s="79">
        <v>0</v>
      </c>
      <c r="U74" s="350"/>
      <c r="V74" s="350"/>
      <c r="W74" s="350"/>
      <c r="X74" s="350"/>
      <c r="Y74" s="350"/>
      <c r="Z74" s="350"/>
      <c r="AA74" s="350"/>
      <c r="AB74" s="350"/>
      <c r="AC74" s="350"/>
      <c r="AD74" s="350"/>
      <c r="AE74" s="350"/>
    </row>
    <row r="75" s="350" customFormat="1" ht="24" customHeight="1">
      <c r="A75" s="33">
        <v>64</v>
      </c>
      <c r="B75" s="42" t="s">
        <v>955</v>
      </c>
      <c r="C75" s="215">
        <f>D75+K75+L75+M75+N75+O75+P75+Q75+R75+S75+T75</f>
        <v>4521682.1600000001</v>
      </c>
      <c r="D75" s="215">
        <f>SUM(E75:I75)</f>
        <v>3805593.0299999998</v>
      </c>
      <c r="E75" s="92">
        <v>0</v>
      </c>
      <c r="F75" s="92">
        <v>2327458.3599999999</v>
      </c>
      <c r="G75" s="92">
        <v>1152838.6699999999</v>
      </c>
      <c r="H75" s="92">
        <v>325296</v>
      </c>
      <c r="I75" s="79">
        <v>0</v>
      </c>
      <c r="J75" s="398">
        <v>0</v>
      </c>
      <c r="K75" s="79">
        <v>0</v>
      </c>
      <c r="L75" s="92">
        <v>0</v>
      </c>
      <c r="M75" s="79">
        <v>0</v>
      </c>
      <c r="N75" s="79">
        <v>0</v>
      </c>
      <c r="O75" s="79">
        <v>0</v>
      </c>
      <c r="P75" s="92">
        <f>247668.01+269548.72+198872.4</f>
        <v>716089.13</v>
      </c>
      <c r="Q75" s="79">
        <v>0</v>
      </c>
      <c r="R75" s="79">
        <v>0</v>
      </c>
      <c r="S75" s="79">
        <v>0</v>
      </c>
      <c r="T75" s="79">
        <v>0</v>
      </c>
      <c r="U75" s="350"/>
      <c r="V75" s="350"/>
      <c r="W75" s="350"/>
      <c r="X75" s="350"/>
      <c r="Y75" s="350"/>
      <c r="Z75" s="350"/>
      <c r="AA75" s="350"/>
      <c r="AB75" s="350"/>
      <c r="AC75" s="350"/>
      <c r="AD75" s="350"/>
      <c r="AE75" s="350"/>
    </row>
    <row r="76" s="350" customFormat="1" ht="24" customHeight="1">
      <c r="A76" s="122">
        <v>65</v>
      </c>
      <c r="B76" s="42" t="s">
        <v>133</v>
      </c>
      <c r="C76" s="215">
        <f>D76+K76+L76+M76+N76+O76+P76+Q76+R76+S76+T76</f>
        <v>1190490.9399999999</v>
      </c>
      <c r="D76" s="215">
        <f>SUM(E76:I76)</f>
        <v>1190490.9399999999</v>
      </c>
      <c r="E76" s="92">
        <v>0</v>
      </c>
      <c r="F76" s="79">
        <v>0</v>
      </c>
      <c r="G76" s="79">
        <v>1190490.9399999999</v>
      </c>
      <c r="H76" s="92">
        <v>0</v>
      </c>
      <c r="I76" s="79">
        <v>0</v>
      </c>
      <c r="J76" s="398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92">
        <v>0</v>
      </c>
      <c r="Q76" s="79">
        <v>0</v>
      </c>
      <c r="R76" s="79">
        <v>0</v>
      </c>
      <c r="S76" s="92">
        <v>0</v>
      </c>
      <c r="T76" s="79">
        <v>0</v>
      </c>
      <c r="U76" s="350"/>
      <c r="V76" s="350"/>
      <c r="W76" s="350"/>
      <c r="X76" s="350"/>
      <c r="Y76" s="350"/>
      <c r="Z76" s="350"/>
      <c r="AA76" s="350"/>
      <c r="AB76" s="350"/>
      <c r="AC76" s="350"/>
      <c r="AD76" s="350"/>
      <c r="AE76" s="350"/>
    </row>
    <row r="77" s="350" customFormat="1" ht="24" customHeight="1">
      <c r="A77" s="33">
        <v>66</v>
      </c>
      <c r="B77" s="42" t="s">
        <v>956</v>
      </c>
      <c r="C77" s="215">
        <f>D77+K77+L77+M77+N77+O77+P77+Q77+R77+S77+T77</f>
        <v>6511803.1200000001</v>
      </c>
      <c r="D77" s="215">
        <f>SUM(E77:I77)</f>
        <v>954307.19999999995</v>
      </c>
      <c r="E77" s="92">
        <v>954307.19999999995</v>
      </c>
      <c r="F77" s="79">
        <v>0</v>
      </c>
      <c r="G77" s="79">
        <v>0</v>
      </c>
      <c r="H77" s="92">
        <v>0</v>
      </c>
      <c r="I77" s="79">
        <v>0</v>
      </c>
      <c r="J77" s="398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92">
        <v>240604.22</v>
      </c>
      <c r="Q77" s="79">
        <v>0</v>
      </c>
      <c r="R77" s="79">
        <v>0</v>
      </c>
      <c r="S77" s="92">
        <v>5316891.7000000002</v>
      </c>
      <c r="T77" s="79">
        <v>0</v>
      </c>
      <c r="U77" s="350"/>
      <c r="V77" s="350"/>
      <c r="W77" s="350"/>
      <c r="X77" s="350"/>
      <c r="Y77" s="350"/>
      <c r="Z77" s="350"/>
      <c r="AA77" s="350"/>
      <c r="AB77" s="350"/>
      <c r="AC77" s="350"/>
      <c r="AD77" s="350"/>
      <c r="AE77" s="350"/>
    </row>
    <row r="78" s="350" customFormat="1" ht="24" customHeight="1">
      <c r="A78" s="122">
        <v>67</v>
      </c>
      <c r="B78" s="42" t="s">
        <v>957</v>
      </c>
      <c r="C78" s="215">
        <f>D78+K78+L78+M78+N78+O78+P78+Q78+R78+S78+T78</f>
        <v>372048.23999999999</v>
      </c>
      <c r="D78" s="215">
        <f>SUM(E78:I78)</f>
        <v>0</v>
      </c>
      <c r="E78" s="92">
        <v>0</v>
      </c>
      <c r="F78" s="92">
        <v>0</v>
      </c>
      <c r="G78" s="79">
        <v>0</v>
      </c>
      <c r="H78" s="92">
        <v>0</v>
      </c>
      <c r="I78" s="79">
        <v>0</v>
      </c>
      <c r="J78" s="398">
        <v>0</v>
      </c>
      <c r="K78" s="79">
        <v>0</v>
      </c>
      <c r="L78" s="79">
        <v>0</v>
      </c>
      <c r="M78" s="79">
        <v>0</v>
      </c>
      <c r="N78" s="79">
        <v>0</v>
      </c>
      <c r="O78" s="79">
        <v>0</v>
      </c>
      <c r="P78" s="92">
        <v>372048.23999999999</v>
      </c>
      <c r="Q78" s="79">
        <v>0</v>
      </c>
      <c r="R78" s="79">
        <v>0</v>
      </c>
      <c r="S78" s="79">
        <v>0</v>
      </c>
      <c r="T78" s="79">
        <v>0</v>
      </c>
      <c r="U78" s="350"/>
      <c r="V78" s="350"/>
      <c r="W78" s="350"/>
      <c r="X78" s="350"/>
      <c r="Y78" s="350"/>
      <c r="Z78" s="350"/>
      <c r="AA78" s="350"/>
      <c r="AB78" s="350"/>
      <c r="AC78" s="350"/>
      <c r="AD78" s="350"/>
      <c r="AE78" s="350"/>
    </row>
    <row r="79" s="350" customFormat="1" ht="24" customHeight="1">
      <c r="A79" s="33">
        <v>68</v>
      </c>
      <c r="B79" s="42" t="s">
        <v>958</v>
      </c>
      <c r="C79" s="215">
        <f>D79+K79+L79+M79+N79+O79+P79+Q79+R79+S79+T79</f>
        <v>557624.08000000007</v>
      </c>
      <c r="D79" s="215">
        <f>SUM(E79:I79)</f>
        <v>194824</v>
      </c>
      <c r="E79" s="92">
        <v>0</v>
      </c>
      <c r="F79" s="92">
        <v>0</v>
      </c>
      <c r="G79" s="92">
        <v>194824</v>
      </c>
      <c r="H79" s="92">
        <v>0</v>
      </c>
      <c r="I79" s="79">
        <v>0</v>
      </c>
      <c r="J79" s="398">
        <v>0</v>
      </c>
      <c r="K79" s="79">
        <v>0</v>
      </c>
      <c r="L79" s="79">
        <v>0</v>
      </c>
      <c r="M79" s="79">
        <v>0</v>
      </c>
      <c r="N79" s="79">
        <v>0</v>
      </c>
      <c r="O79" s="79">
        <v>0</v>
      </c>
      <c r="P79" s="92">
        <v>362800.08000000002</v>
      </c>
      <c r="Q79" s="79">
        <v>0</v>
      </c>
      <c r="R79" s="79">
        <v>0</v>
      </c>
      <c r="S79" s="79">
        <v>0</v>
      </c>
      <c r="T79" s="79">
        <v>0</v>
      </c>
      <c r="U79" s="350"/>
      <c r="V79" s="350"/>
      <c r="W79" s="350"/>
      <c r="X79" s="350"/>
      <c r="Y79" s="350"/>
      <c r="Z79" s="350"/>
      <c r="AA79" s="350"/>
      <c r="AB79" s="350"/>
      <c r="AC79" s="350"/>
      <c r="AD79" s="350"/>
      <c r="AE79" s="350"/>
    </row>
    <row r="80" s="350" customFormat="1" ht="24" customHeight="1">
      <c r="A80" s="122">
        <v>69</v>
      </c>
      <c r="B80" s="42" t="s">
        <v>959</v>
      </c>
      <c r="C80" s="215">
        <f>D80+K80+L80+M80+N80+O80+P80+Q80+R80+S80+T80</f>
        <v>292381.35999999999</v>
      </c>
      <c r="D80" s="215">
        <f>SUM(E80:I80)</f>
        <v>0</v>
      </c>
      <c r="E80" s="92">
        <v>0</v>
      </c>
      <c r="F80" s="79">
        <v>0</v>
      </c>
      <c r="G80" s="92">
        <v>0</v>
      </c>
      <c r="H80" s="92">
        <v>0</v>
      </c>
      <c r="I80" s="79">
        <v>0</v>
      </c>
      <c r="J80" s="398">
        <v>0</v>
      </c>
      <c r="K80" s="79">
        <v>0</v>
      </c>
      <c r="L80" s="79">
        <v>0</v>
      </c>
      <c r="M80" s="79">
        <v>0</v>
      </c>
      <c r="N80" s="79">
        <v>0</v>
      </c>
      <c r="O80" s="79">
        <v>0</v>
      </c>
      <c r="P80" s="79">
        <v>292381.35999999999</v>
      </c>
      <c r="Q80" s="79">
        <v>0</v>
      </c>
      <c r="R80" s="79">
        <v>0</v>
      </c>
      <c r="S80" s="79">
        <v>0</v>
      </c>
      <c r="T80" s="79">
        <v>0</v>
      </c>
      <c r="U80" s="350"/>
      <c r="V80" s="350"/>
      <c r="W80" s="350"/>
      <c r="X80" s="350"/>
      <c r="Y80" s="350"/>
      <c r="Z80" s="350"/>
      <c r="AA80" s="350"/>
      <c r="AB80" s="350"/>
      <c r="AC80" s="350"/>
      <c r="AD80" s="350"/>
      <c r="AE80" s="350"/>
      <c r="AF80" s="350"/>
      <c r="AG80" s="350"/>
      <c r="AH80" s="350"/>
      <c r="AI80" s="350"/>
    </row>
    <row r="81" s="350" customFormat="1" ht="24" customHeight="1">
      <c r="A81" s="33">
        <v>70</v>
      </c>
      <c r="B81" s="42" t="s">
        <v>960</v>
      </c>
      <c r="C81" s="215">
        <f>D81+K81+L81+M81+N81+O81+P81+Q81+R81+S81+T81</f>
        <v>10820677.99</v>
      </c>
      <c r="D81" s="215">
        <f>SUM(E81:I81)</f>
        <v>0</v>
      </c>
      <c r="E81" s="92">
        <v>0</v>
      </c>
      <c r="F81" s="79">
        <v>0</v>
      </c>
      <c r="G81" s="79">
        <v>0</v>
      </c>
      <c r="H81" s="92">
        <v>0</v>
      </c>
      <c r="I81" s="79">
        <v>0</v>
      </c>
      <c r="J81" s="398">
        <v>3</v>
      </c>
      <c r="K81" s="92">
        <v>10736126.130000001</v>
      </c>
      <c r="L81" s="79">
        <v>0</v>
      </c>
      <c r="M81" s="79">
        <v>0</v>
      </c>
      <c r="N81" s="79">
        <v>0</v>
      </c>
      <c r="O81" s="79">
        <v>0</v>
      </c>
      <c r="P81" s="92">
        <v>84551.860000000001</v>
      </c>
      <c r="Q81" s="79">
        <v>0</v>
      </c>
      <c r="R81" s="79">
        <v>0</v>
      </c>
      <c r="S81" s="79">
        <v>0</v>
      </c>
      <c r="T81" s="79">
        <v>0</v>
      </c>
      <c r="U81" s="350"/>
      <c r="V81" s="350"/>
      <c r="W81" s="350"/>
      <c r="X81" s="350"/>
      <c r="Y81" s="350"/>
      <c r="Z81" s="350"/>
      <c r="AA81" s="350"/>
      <c r="AB81" s="350"/>
      <c r="AC81" s="350"/>
      <c r="AD81" s="350"/>
      <c r="AE81" s="350"/>
      <c r="AF81" s="350"/>
      <c r="AG81" s="350"/>
      <c r="AH81" s="350"/>
      <c r="AI81" s="350"/>
    </row>
    <row r="82" s="350" customFormat="1" ht="24" customHeight="1">
      <c r="A82" s="122">
        <v>71</v>
      </c>
      <c r="B82" s="42" t="s">
        <v>961</v>
      </c>
      <c r="C82" s="215">
        <f>D82+K82+L82+M82+N82+O82+P82+Q82+R82+S82+T82</f>
        <v>1270282.45</v>
      </c>
      <c r="D82" s="215">
        <f>SUM(E82:I82)</f>
        <v>978938.22999999998</v>
      </c>
      <c r="E82" s="92">
        <v>0</v>
      </c>
      <c r="F82" s="92">
        <v>0</v>
      </c>
      <c r="G82" s="92">
        <v>0</v>
      </c>
      <c r="H82" s="92">
        <v>557644.59999999998</v>
      </c>
      <c r="I82" s="92">
        <v>421293.63</v>
      </c>
      <c r="J82" s="398">
        <v>0</v>
      </c>
      <c r="K82" s="79">
        <v>0</v>
      </c>
      <c r="L82" s="79">
        <v>0</v>
      </c>
      <c r="M82" s="79">
        <v>0</v>
      </c>
      <c r="N82" s="79">
        <v>0</v>
      </c>
      <c r="O82" s="79">
        <v>0</v>
      </c>
      <c r="P82" s="92">
        <v>291344.21999999997</v>
      </c>
      <c r="Q82" s="79">
        <v>0</v>
      </c>
      <c r="R82" s="79">
        <v>0</v>
      </c>
      <c r="S82" s="79">
        <v>0</v>
      </c>
      <c r="T82" s="79">
        <v>0</v>
      </c>
      <c r="U82" s="350"/>
      <c r="V82" s="350"/>
      <c r="W82" s="350"/>
      <c r="X82" s="350"/>
      <c r="Y82" s="350"/>
      <c r="Z82" s="350"/>
      <c r="AA82" s="350"/>
      <c r="AB82" s="350"/>
      <c r="AC82" s="350"/>
      <c r="AD82" s="350"/>
      <c r="AE82" s="350"/>
    </row>
    <row r="83" s="350" customFormat="1" ht="24" customHeight="1">
      <c r="A83" s="33">
        <v>72</v>
      </c>
      <c r="B83" s="42" t="s">
        <v>962</v>
      </c>
      <c r="C83" s="215">
        <f>D83+K83+L83+M83+N83+O83+P83+Q83+R83+S83+T83</f>
        <v>16876022.129999999</v>
      </c>
      <c r="D83" s="215">
        <f>SUM(E83:I83)</f>
        <v>5296349.7999999998</v>
      </c>
      <c r="E83" s="92">
        <v>0</v>
      </c>
      <c r="F83" s="92">
        <v>5296349.7999999998</v>
      </c>
      <c r="G83" s="79">
        <v>0</v>
      </c>
      <c r="H83" s="92">
        <v>0</v>
      </c>
      <c r="I83" s="92">
        <v>0</v>
      </c>
      <c r="J83" s="398">
        <v>0</v>
      </c>
      <c r="K83" s="79">
        <v>0</v>
      </c>
      <c r="L83" s="92">
        <v>11016809.039999999</v>
      </c>
      <c r="M83" s="79">
        <v>0</v>
      </c>
      <c r="N83" s="79">
        <v>0</v>
      </c>
      <c r="O83" s="79">
        <v>0</v>
      </c>
      <c r="P83" s="92">
        <v>562863.29000000004</v>
      </c>
      <c r="Q83" s="79">
        <v>0</v>
      </c>
      <c r="R83" s="79">
        <v>0</v>
      </c>
      <c r="S83" s="79">
        <v>0</v>
      </c>
      <c r="T83" s="79">
        <v>0</v>
      </c>
      <c r="U83" s="350"/>
      <c r="V83" s="350"/>
      <c r="W83" s="350"/>
      <c r="X83" s="350"/>
      <c r="Y83" s="350"/>
      <c r="Z83" s="350"/>
      <c r="AA83" s="350"/>
      <c r="AB83" s="350"/>
      <c r="AC83" s="350"/>
      <c r="AD83" s="350"/>
      <c r="AE83" s="350"/>
      <c r="AF83" s="350"/>
      <c r="AG83" s="350"/>
      <c r="AH83" s="350"/>
      <c r="AI83" s="350"/>
    </row>
    <row r="84" s="350" customFormat="1" ht="24" customHeight="1">
      <c r="A84" s="122">
        <v>73</v>
      </c>
      <c r="B84" s="52" t="s">
        <v>963</v>
      </c>
      <c r="C84" s="215">
        <f>D84+K84+L84+M84+N84+O84+P84+Q84+R84+S84+T84</f>
        <v>5205688.3600000003</v>
      </c>
      <c r="D84" s="215">
        <f>SUM(E84:I84)</f>
        <v>4949125.4500000002</v>
      </c>
      <c r="E84" s="92">
        <v>0</v>
      </c>
      <c r="F84" s="92">
        <v>4949125.4500000002</v>
      </c>
      <c r="G84" s="92">
        <v>0</v>
      </c>
      <c r="H84" s="92">
        <v>0</v>
      </c>
      <c r="I84" s="92">
        <v>0</v>
      </c>
      <c r="J84" s="398">
        <v>0</v>
      </c>
      <c r="K84" s="79">
        <v>0</v>
      </c>
      <c r="L84" s="79">
        <v>0</v>
      </c>
      <c r="M84" s="79">
        <v>0</v>
      </c>
      <c r="N84" s="79">
        <v>0</v>
      </c>
      <c r="O84" s="79">
        <v>0</v>
      </c>
      <c r="P84" s="92">
        <v>256562.91</v>
      </c>
      <c r="Q84" s="79">
        <v>0</v>
      </c>
      <c r="R84" s="79">
        <v>0</v>
      </c>
      <c r="S84" s="79">
        <v>0</v>
      </c>
      <c r="T84" s="79">
        <v>0</v>
      </c>
      <c r="U84" s="350"/>
      <c r="V84" s="350"/>
      <c r="W84" s="350"/>
      <c r="X84" s="350"/>
      <c r="Y84" s="350"/>
      <c r="Z84" s="350"/>
      <c r="AA84" s="350"/>
      <c r="AB84" s="350"/>
      <c r="AC84" s="350"/>
      <c r="AD84" s="350"/>
      <c r="AE84" s="350"/>
    </row>
    <row r="85" s="399" customFormat="1" ht="24" customHeight="1">
      <c r="A85" s="33">
        <v>74</v>
      </c>
      <c r="B85" s="42" t="s">
        <v>964</v>
      </c>
      <c r="C85" s="215">
        <f>D85+K85+L85+M85+N85+O85+P85+Q85+R85+S85+T85</f>
        <v>312220.88</v>
      </c>
      <c r="D85" s="215">
        <f>SUM(E85:I85)</f>
        <v>0</v>
      </c>
      <c r="E85" s="92">
        <v>0</v>
      </c>
      <c r="F85" s="92">
        <v>0</v>
      </c>
      <c r="G85" s="92">
        <v>0</v>
      </c>
      <c r="H85" s="92">
        <v>0</v>
      </c>
      <c r="I85" s="158">
        <v>0</v>
      </c>
      <c r="J85" s="398">
        <v>0</v>
      </c>
      <c r="K85" s="158">
        <v>0</v>
      </c>
      <c r="L85" s="79">
        <v>0</v>
      </c>
      <c r="M85" s="158">
        <v>0</v>
      </c>
      <c r="N85" s="79">
        <v>0</v>
      </c>
      <c r="O85" s="158">
        <v>0</v>
      </c>
      <c r="P85" s="92">
        <v>312220.88</v>
      </c>
      <c r="Q85" s="158">
        <v>0</v>
      </c>
      <c r="R85" s="79">
        <v>0</v>
      </c>
      <c r="S85" s="158">
        <v>0</v>
      </c>
      <c r="T85" s="79">
        <v>0</v>
      </c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</row>
    <row r="86" s="350" customFormat="1" ht="24" customHeight="1">
      <c r="A86" s="122">
        <v>75</v>
      </c>
      <c r="B86" s="52" t="s">
        <v>965</v>
      </c>
      <c r="C86" s="215">
        <f>D86+K86+L86+M86+N86+O86+P86+Q86+R86+S86+T86</f>
        <v>200481.32999999999</v>
      </c>
      <c r="D86" s="215">
        <f>SUM(E86:I86)</f>
        <v>0</v>
      </c>
      <c r="E86" s="92">
        <v>0</v>
      </c>
      <c r="F86" s="79">
        <v>0</v>
      </c>
      <c r="G86" s="79">
        <v>0</v>
      </c>
      <c r="H86" s="92">
        <v>0</v>
      </c>
      <c r="I86" s="79">
        <v>0</v>
      </c>
      <c r="J86" s="398">
        <v>0</v>
      </c>
      <c r="K86" s="79">
        <v>0</v>
      </c>
      <c r="L86" s="92">
        <v>0</v>
      </c>
      <c r="M86" s="79">
        <v>0</v>
      </c>
      <c r="N86" s="79">
        <v>0</v>
      </c>
      <c r="O86" s="79">
        <v>0</v>
      </c>
      <c r="P86" s="92">
        <v>200481.32999999999</v>
      </c>
      <c r="Q86" s="79">
        <v>0</v>
      </c>
      <c r="R86" s="79">
        <v>0</v>
      </c>
      <c r="S86" s="79">
        <v>0</v>
      </c>
      <c r="T86" s="79">
        <v>0</v>
      </c>
      <c r="U86" s="350"/>
      <c r="V86" s="350"/>
      <c r="W86" s="350"/>
      <c r="X86" s="350"/>
      <c r="Y86" s="350"/>
      <c r="Z86" s="350"/>
      <c r="AA86" s="350"/>
      <c r="AB86" s="350"/>
      <c r="AC86" s="350"/>
      <c r="AD86" s="350"/>
      <c r="AE86" s="350"/>
    </row>
    <row r="87" s="350" customFormat="1" ht="24" customHeight="1">
      <c r="A87" s="33">
        <v>76</v>
      </c>
      <c r="B87" s="52" t="s">
        <v>149</v>
      </c>
      <c r="C87" s="215">
        <f>D87+K87+L87+M87+N87+O87+P87+Q87+R87+S87+T87</f>
        <v>6117132.1600000001</v>
      </c>
      <c r="D87" s="215">
        <f>SUM(E87:I87)</f>
        <v>0</v>
      </c>
      <c r="E87" s="92">
        <v>0</v>
      </c>
      <c r="F87" s="92">
        <v>0</v>
      </c>
      <c r="G87" s="92">
        <v>0</v>
      </c>
      <c r="H87" s="92">
        <v>0</v>
      </c>
      <c r="I87" s="92">
        <v>0</v>
      </c>
      <c r="J87" s="398">
        <v>0</v>
      </c>
      <c r="K87" s="79">
        <v>0</v>
      </c>
      <c r="L87" s="79">
        <v>0</v>
      </c>
      <c r="M87" s="79">
        <v>0</v>
      </c>
      <c r="N87" s="79">
        <v>0</v>
      </c>
      <c r="O87" s="79">
        <v>0</v>
      </c>
      <c r="P87" s="92">
        <v>0</v>
      </c>
      <c r="Q87" s="79">
        <v>0</v>
      </c>
      <c r="R87" s="79">
        <v>0</v>
      </c>
      <c r="S87" s="79">
        <v>6117132.1600000001</v>
      </c>
      <c r="T87" s="79">
        <v>0</v>
      </c>
      <c r="U87" s="350"/>
      <c r="V87" s="350"/>
      <c r="W87" s="350"/>
      <c r="X87" s="350"/>
      <c r="Y87" s="350"/>
      <c r="Z87" s="350"/>
      <c r="AA87" s="350"/>
      <c r="AB87" s="350"/>
      <c r="AC87" s="350"/>
      <c r="AD87" s="350"/>
      <c r="AE87" s="350"/>
    </row>
    <row r="88" s="350" customFormat="1" ht="24" customHeight="1">
      <c r="A88" s="122">
        <v>77</v>
      </c>
      <c r="B88" s="52" t="s">
        <v>966</v>
      </c>
      <c r="C88" s="215">
        <f>D88+K88+L88+M88+N88+O88+P88+Q88+R88+S88+T88</f>
        <v>4621315.25</v>
      </c>
      <c r="D88" s="215">
        <f>SUM(E88:I88)</f>
        <v>4442294.5199999996</v>
      </c>
      <c r="E88" s="92">
        <v>0</v>
      </c>
      <c r="F88" s="92">
        <v>4442294.5199999996</v>
      </c>
      <c r="G88" s="92">
        <v>0</v>
      </c>
      <c r="H88" s="92">
        <v>0</v>
      </c>
      <c r="I88" s="92">
        <v>0</v>
      </c>
      <c r="J88" s="398">
        <v>0</v>
      </c>
      <c r="K88" s="79">
        <v>0</v>
      </c>
      <c r="L88" s="79">
        <v>0</v>
      </c>
      <c r="M88" s="79">
        <v>0</v>
      </c>
      <c r="N88" s="79">
        <v>0</v>
      </c>
      <c r="O88" s="79">
        <v>0</v>
      </c>
      <c r="P88" s="92">
        <v>179020.73000000001</v>
      </c>
      <c r="Q88" s="79">
        <v>0</v>
      </c>
      <c r="R88" s="79">
        <v>0</v>
      </c>
      <c r="S88" s="79">
        <v>0</v>
      </c>
      <c r="T88" s="79">
        <v>0</v>
      </c>
      <c r="U88" s="350"/>
      <c r="V88" s="350"/>
      <c r="W88" s="350"/>
      <c r="X88" s="350"/>
      <c r="Y88" s="350"/>
      <c r="Z88" s="350"/>
      <c r="AA88" s="350"/>
      <c r="AB88" s="350"/>
      <c r="AC88" s="350"/>
      <c r="AD88" s="350"/>
      <c r="AE88" s="350"/>
    </row>
    <row r="89" s="350" customFormat="1" ht="24" customHeight="1">
      <c r="A89" s="33">
        <v>78</v>
      </c>
      <c r="B89" s="52" t="s">
        <v>967</v>
      </c>
      <c r="C89" s="215">
        <f>D89+K89+L89+M89+N89+O89+P89+Q89+R89+S89+T89</f>
        <v>21347944.390000001</v>
      </c>
      <c r="D89" s="215">
        <f>SUM(E89:I89)</f>
        <v>6877133.29</v>
      </c>
      <c r="E89" s="92">
        <v>0</v>
      </c>
      <c r="F89" s="92">
        <v>6877133.29</v>
      </c>
      <c r="G89" s="92">
        <v>0</v>
      </c>
      <c r="H89" s="92">
        <v>0</v>
      </c>
      <c r="I89" s="92">
        <v>0</v>
      </c>
      <c r="J89" s="398">
        <v>0</v>
      </c>
      <c r="K89" s="79">
        <v>0</v>
      </c>
      <c r="L89" s="92">
        <v>13874623.41</v>
      </c>
      <c r="M89" s="79">
        <v>0</v>
      </c>
      <c r="N89" s="79">
        <v>0</v>
      </c>
      <c r="O89" s="79">
        <v>0</v>
      </c>
      <c r="P89" s="92">
        <v>596187.68999999994</v>
      </c>
      <c r="Q89" s="79">
        <v>0</v>
      </c>
      <c r="R89" s="79">
        <v>0</v>
      </c>
      <c r="S89" s="79">
        <v>0</v>
      </c>
      <c r="T89" s="79">
        <v>0</v>
      </c>
      <c r="U89" s="350"/>
      <c r="V89" s="350"/>
      <c r="W89" s="350"/>
      <c r="X89" s="350"/>
      <c r="Y89" s="350"/>
      <c r="Z89" s="350"/>
      <c r="AA89" s="350"/>
      <c r="AB89" s="350"/>
      <c r="AC89" s="350"/>
      <c r="AD89" s="350"/>
      <c r="AE89" s="350"/>
    </row>
    <row r="90" s="350" customFormat="1" ht="24" customHeight="1">
      <c r="A90" s="122">
        <v>79</v>
      </c>
      <c r="B90" s="52" t="s">
        <v>153</v>
      </c>
      <c r="C90" s="215">
        <f>D90+K90+L90+M90+N90+O90+P90+Q90+R90+S90+T90</f>
        <v>1158255.3600000001</v>
      </c>
      <c r="D90" s="215">
        <f>SUM(E90:I90)</f>
        <v>0</v>
      </c>
      <c r="E90" s="92">
        <v>0</v>
      </c>
      <c r="F90" s="92">
        <v>0</v>
      </c>
      <c r="G90" s="92">
        <v>0</v>
      </c>
      <c r="H90" s="92">
        <v>0</v>
      </c>
      <c r="I90" s="92">
        <v>0</v>
      </c>
      <c r="J90" s="398">
        <v>0</v>
      </c>
      <c r="K90" s="79">
        <v>0</v>
      </c>
      <c r="L90" s="92">
        <v>0</v>
      </c>
      <c r="M90" s="79">
        <v>0</v>
      </c>
      <c r="N90" s="79">
        <v>1158255.3600000001</v>
      </c>
      <c r="O90" s="79">
        <v>0</v>
      </c>
      <c r="P90" s="92">
        <v>0</v>
      </c>
      <c r="Q90" s="79">
        <v>0</v>
      </c>
      <c r="R90" s="79">
        <v>0</v>
      </c>
      <c r="S90" s="79">
        <v>0</v>
      </c>
      <c r="T90" s="79">
        <v>0</v>
      </c>
      <c r="U90" s="350"/>
      <c r="V90" s="350"/>
      <c r="W90" s="350"/>
      <c r="X90" s="350"/>
      <c r="Y90" s="350"/>
      <c r="Z90" s="350"/>
      <c r="AA90" s="350"/>
      <c r="AB90" s="350"/>
      <c r="AC90" s="350"/>
      <c r="AD90" s="350"/>
      <c r="AE90" s="350"/>
    </row>
    <row r="91" s="350" customFormat="1" ht="24" customHeight="1">
      <c r="A91" s="33">
        <v>80</v>
      </c>
      <c r="B91" s="42" t="s">
        <v>968</v>
      </c>
      <c r="C91" s="215">
        <f>D91+K91+L91+M91+N91+O91+P91+Q91+R91+S91+T91</f>
        <v>328778.56</v>
      </c>
      <c r="D91" s="215">
        <f>SUM(E91:I91)</f>
        <v>0</v>
      </c>
      <c r="E91" s="92">
        <v>0</v>
      </c>
      <c r="F91" s="92">
        <v>0</v>
      </c>
      <c r="G91" s="158">
        <v>0</v>
      </c>
      <c r="H91" s="92">
        <v>0</v>
      </c>
      <c r="I91" s="79">
        <v>0</v>
      </c>
      <c r="J91" s="398">
        <v>0</v>
      </c>
      <c r="K91" s="158">
        <v>0</v>
      </c>
      <c r="L91" s="79">
        <v>0</v>
      </c>
      <c r="M91" s="79">
        <v>0</v>
      </c>
      <c r="N91" s="79">
        <v>0</v>
      </c>
      <c r="O91" s="79">
        <v>0</v>
      </c>
      <c r="P91" s="92">
        <v>328778.56</v>
      </c>
      <c r="Q91" s="79">
        <v>0</v>
      </c>
      <c r="R91" s="79">
        <v>0</v>
      </c>
      <c r="S91" s="79">
        <v>0</v>
      </c>
      <c r="T91" s="79">
        <v>0</v>
      </c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</row>
    <row r="92" s="350" customFormat="1" ht="24" customHeight="1">
      <c r="A92" s="122">
        <v>81</v>
      </c>
      <c r="B92" s="52" t="s">
        <v>157</v>
      </c>
      <c r="C92" s="215">
        <f>D92+K92+L92+M92+N92+O92+P92+Q92+R92+S92+T92</f>
        <v>2601192.1299999999</v>
      </c>
      <c r="D92" s="215">
        <f>SUM(E92:I92)</f>
        <v>2601192.1299999999</v>
      </c>
      <c r="E92" s="92">
        <v>530000</v>
      </c>
      <c r="F92" s="92">
        <v>0</v>
      </c>
      <c r="G92" s="92">
        <v>570061.78000000003</v>
      </c>
      <c r="H92" s="92">
        <v>661041.02000000002</v>
      </c>
      <c r="I92" s="92">
        <v>840089.32999999996</v>
      </c>
      <c r="J92" s="345">
        <v>0</v>
      </c>
      <c r="K92" s="79">
        <v>0</v>
      </c>
      <c r="L92" s="92">
        <v>0</v>
      </c>
      <c r="M92" s="158">
        <v>0</v>
      </c>
      <c r="N92" s="79">
        <v>0</v>
      </c>
      <c r="O92" s="158">
        <v>0</v>
      </c>
      <c r="P92" s="92">
        <v>0</v>
      </c>
      <c r="Q92" s="158">
        <v>0</v>
      </c>
      <c r="R92" s="79">
        <v>0</v>
      </c>
      <c r="S92" s="158">
        <v>0</v>
      </c>
      <c r="T92" s="79">
        <v>0</v>
      </c>
      <c r="U92" s="350"/>
      <c r="V92" s="350"/>
      <c r="W92" s="350"/>
      <c r="X92" s="350"/>
      <c r="Y92" s="350"/>
      <c r="Z92" s="350"/>
      <c r="AA92" s="350"/>
      <c r="AB92" s="350"/>
      <c r="AC92" s="350"/>
      <c r="AD92" s="350"/>
      <c r="AE92" s="350"/>
    </row>
    <row r="93" s="350" customFormat="1" ht="24" customHeight="1">
      <c r="A93" s="33">
        <v>82</v>
      </c>
      <c r="B93" s="53" t="s">
        <v>969</v>
      </c>
      <c r="C93" s="215">
        <f>D93+K93+L93+M93+N93+O93+P93+Q93+R93+S93+T93</f>
        <v>201141.47</v>
      </c>
      <c r="D93" s="215">
        <f>SUM(E93:I93)</f>
        <v>0</v>
      </c>
      <c r="E93" s="92">
        <v>0</v>
      </c>
      <c r="F93" s="92">
        <v>0</v>
      </c>
      <c r="G93" s="79">
        <v>0</v>
      </c>
      <c r="H93" s="92">
        <v>0</v>
      </c>
      <c r="I93" s="79">
        <v>0</v>
      </c>
      <c r="J93" s="398">
        <v>0</v>
      </c>
      <c r="K93" s="79">
        <v>0</v>
      </c>
      <c r="L93" s="79">
        <v>0</v>
      </c>
      <c r="M93" s="79">
        <v>0</v>
      </c>
      <c r="N93" s="79">
        <v>0</v>
      </c>
      <c r="O93" s="79">
        <v>0</v>
      </c>
      <c r="P93" s="92">
        <v>201141.47</v>
      </c>
      <c r="Q93" s="79">
        <v>0</v>
      </c>
      <c r="R93" s="79">
        <v>0</v>
      </c>
      <c r="S93" s="79">
        <v>0</v>
      </c>
      <c r="T93" s="79">
        <v>0</v>
      </c>
      <c r="U93" s="350"/>
      <c r="V93" s="350"/>
      <c r="W93" s="350"/>
      <c r="X93" s="350"/>
      <c r="Y93" s="350"/>
      <c r="Z93" s="350"/>
      <c r="AA93" s="350"/>
      <c r="AB93" s="350"/>
      <c r="AC93" s="350"/>
      <c r="AD93" s="350"/>
      <c r="AE93" s="350"/>
      <c r="AF93" s="350"/>
      <c r="AG93" s="350"/>
      <c r="AH93" s="350"/>
      <c r="AI93" s="350"/>
    </row>
    <row r="94" s="350" customFormat="1" ht="24" customHeight="1">
      <c r="A94" s="122">
        <v>83</v>
      </c>
      <c r="B94" s="52" t="s">
        <v>970</v>
      </c>
      <c r="C94" s="215">
        <f>D94+K94+L94+M94+N94+O94+P94+Q94+R94+S94+T94</f>
        <v>352229.03000000003</v>
      </c>
      <c r="D94" s="215">
        <f>SUM(E94:I94)</f>
        <v>0</v>
      </c>
      <c r="E94" s="92">
        <v>0</v>
      </c>
      <c r="F94" s="79">
        <v>0</v>
      </c>
      <c r="G94" s="79">
        <v>0</v>
      </c>
      <c r="H94" s="92">
        <v>0</v>
      </c>
      <c r="I94" s="79">
        <v>0</v>
      </c>
      <c r="J94" s="398">
        <v>0</v>
      </c>
      <c r="K94" s="79">
        <v>0</v>
      </c>
      <c r="L94" s="79">
        <v>0</v>
      </c>
      <c r="M94" s="79">
        <v>0</v>
      </c>
      <c r="N94" s="79">
        <v>0</v>
      </c>
      <c r="O94" s="79">
        <v>0</v>
      </c>
      <c r="P94" s="92">
        <v>352229.03000000003</v>
      </c>
      <c r="Q94" s="79">
        <v>0</v>
      </c>
      <c r="R94" s="79">
        <v>0</v>
      </c>
      <c r="S94" s="92">
        <v>0</v>
      </c>
      <c r="T94" s="79">
        <v>0</v>
      </c>
      <c r="U94" s="350"/>
      <c r="V94" s="350"/>
      <c r="W94" s="350"/>
      <c r="X94" s="350"/>
      <c r="Y94" s="350"/>
      <c r="Z94" s="350"/>
      <c r="AA94" s="350"/>
      <c r="AB94" s="350"/>
      <c r="AC94" s="350"/>
      <c r="AD94" s="350"/>
      <c r="AE94" s="350"/>
    </row>
    <row r="95" s="350" customFormat="1" ht="24" customHeight="1">
      <c r="A95" s="33">
        <v>84</v>
      </c>
      <c r="B95" s="42" t="s">
        <v>971</v>
      </c>
      <c r="C95" s="215">
        <f>D95+K95+L95+M95+N95+O95+P95+Q95+R95+S95+T95</f>
        <v>5453022.4100000001</v>
      </c>
      <c r="D95" s="215">
        <f>SUM(E95:I95)</f>
        <v>0</v>
      </c>
      <c r="E95" s="92">
        <v>0</v>
      </c>
      <c r="F95" s="79">
        <v>0</v>
      </c>
      <c r="G95" s="79">
        <v>0</v>
      </c>
      <c r="H95" s="92">
        <v>0</v>
      </c>
      <c r="I95" s="79">
        <v>0</v>
      </c>
      <c r="J95" s="398">
        <v>0</v>
      </c>
      <c r="K95" s="79">
        <v>0</v>
      </c>
      <c r="L95" s="92">
        <v>5277237.7800000003</v>
      </c>
      <c r="M95" s="79">
        <v>0</v>
      </c>
      <c r="N95" s="92">
        <v>0</v>
      </c>
      <c r="O95" s="79">
        <v>0</v>
      </c>
      <c r="P95" s="92">
        <v>175784.63</v>
      </c>
      <c r="Q95" s="79">
        <v>0</v>
      </c>
      <c r="R95" s="79">
        <v>0</v>
      </c>
      <c r="S95" s="79">
        <v>0</v>
      </c>
      <c r="T95" s="79">
        <v>0</v>
      </c>
      <c r="U95" s="350"/>
      <c r="V95" s="350"/>
      <c r="W95" s="350"/>
      <c r="X95" s="350"/>
      <c r="Y95" s="350"/>
      <c r="Z95" s="350"/>
      <c r="AA95" s="350"/>
      <c r="AB95" s="350"/>
      <c r="AC95" s="350"/>
      <c r="AD95" s="350"/>
      <c r="AE95" s="350"/>
    </row>
    <row r="96" s="350" customFormat="1" ht="24" customHeight="1">
      <c r="A96" s="122">
        <v>85</v>
      </c>
      <c r="B96" s="52" t="s">
        <v>164</v>
      </c>
      <c r="C96" s="215">
        <f>D96+K96+L96+M96+N96+O96+P96+Q96+R96+S96+T96</f>
        <v>6923682.1299999999</v>
      </c>
      <c r="D96" s="215">
        <f>SUM(E96:I96)</f>
        <v>0</v>
      </c>
      <c r="E96" s="92">
        <v>0</v>
      </c>
      <c r="F96" s="92">
        <v>0</v>
      </c>
      <c r="G96" s="92">
        <v>0</v>
      </c>
      <c r="H96" s="92">
        <v>0</v>
      </c>
      <c r="I96" s="158">
        <v>0</v>
      </c>
      <c r="J96" s="398">
        <v>0</v>
      </c>
      <c r="K96" s="158">
        <v>0</v>
      </c>
      <c r="L96" s="79">
        <v>6923682.1299999999</v>
      </c>
      <c r="M96" s="158">
        <v>0</v>
      </c>
      <c r="N96" s="92">
        <v>0</v>
      </c>
      <c r="O96" s="158">
        <v>0</v>
      </c>
      <c r="P96" s="92">
        <v>0</v>
      </c>
      <c r="Q96" s="158">
        <v>0</v>
      </c>
      <c r="R96" s="79">
        <v>0</v>
      </c>
      <c r="S96" s="158">
        <v>0</v>
      </c>
      <c r="T96" s="79">
        <v>0</v>
      </c>
      <c r="U96" s="350"/>
      <c r="V96" s="350"/>
      <c r="W96" s="350"/>
      <c r="X96" s="350"/>
      <c r="Y96" s="350"/>
      <c r="Z96" s="350"/>
      <c r="AA96" s="350"/>
      <c r="AB96" s="350"/>
      <c r="AC96" s="350"/>
      <c r="AD96" s="350"/>
      <c r="AE96" s="350"/>
    </row>
    <row r="97" s="350" customFormat="1" ht="24" customHeight="1">
      <c r="A97" s="33">
        <v>86</v>
      </c>
      <c r="B97" s="52" t="s">
        <v>972</v>
      </c>
      <c r="C97" s="215">
        <f>D97+K97+L97+M97+N97+O97+P97+Q97+R97+S97+T97</f>
        <v>251204.60999999999</v>
      </c>
      <c r="D97" s="215">
        <f>SUM(E97:I97)</f>
        <v>0</v>
      </c>
      <c r="E97" s="92">
        <v>0</v>
      </c>
      <c r="F97" s="92">
        <v>0</v>
      </c>
      <c r="G97" s="92">
        <v>0</v>
      </c>
      <c r="H97" s="92">
        <v>0</v>
      </c>
      <c r="I97" s="79">
        <v>0</v>
      </c>
      <c r="J97" s="398">
        <v>0</v>
      </c>
      <c r="K97" s="79">
        <v>0</v>
      </c>
      <c r="L97" s="79">
        <v>0</v>
      </c>
      <c r="M97" s="79">
        <v>0</v>
      </c>
      <c r="N97" s="92">
        <v>0</v>
      </c>
      <c r="O97" s="79">
        <v>0</v>
      </c>
      <c r="P97" s="92">
        <v>251204.60999999999</v>
      </c>
      <c r="Q97" s="79">
        <v>0</v>
      </c>
      <c r="R97" s="79">
        <v>0</v>
      </c>
      <c r="S97" s="79">
        <v>0</v>
      </c>
      <c r="T97" s="79">
        <v>0</v>
      </c>
      <c r="U97" s="350"/>
      <c r="V97" s="350"/>
      <c r="W97" s="350"/>
      <c r="X97" s="350"/>
      <c r="Y97" s="350"/>
      <c r="Z97" s="350"/>
      <c r="AA97" s="350"/>
      <c r="AB97" s="350"/>
      <c r="AC97" s="350"/>
      <c r="AD97" s="350"/>
      <c r="AE97" s="350"/>
    </row>
    <row r="98" s="399" customFormat="1" ht="24" customHeight="1">
      <c r="A98" s="122">
        <v>87</v>
      </c>
      <c r="B98" s="52" t="s">
        <v>973</v>
      </c>
      <c r="C98" s="215">
        <f>D98+K98+L98+M98+N98+O98+P98+Q98+R98+S98+T98</f>
        <v>222611.13</v>
      </c>
      <c r="D98" s="215">
        <f>SUM(E98:I98)</f>
        <v>0</v>
      </c>
      <c r="E98" s="92">
        <v>0</v>
      </c>
      <c r="F98" s="158">
        <v>0</v>
      </c>
      <c r="G98" s="92">
        <v>0</v>
      </c>
      <c r="H98" s="92">
        <v>0</v>
      </c>
      <c r="I98" s="92">
        <v>0</v>
      </c>
      <c r="J98" s="345">
        <v>0</v>
      </c>
      <c r="K98" s="79">
        <v>0</v>
      </c>
      <c r="L98" s="92">
        <v>0</v>
      </c>
      <c r="M98" s="158">
        <v>0</v>
      </c>
      <c r="N98" s="79">
        <v>0</v>
      </c>
      <c r="O98" s="158">
        <v>0</v>
      </c>
      <c r="P98" s="92">
        <v>222611.13</v>
      </c>
      <c r="Q98" s="158">
        <v>0</v>
      </c>
      <c r="R98" s="79">
        <v>0</v>
      </c>
      <c r="S98" s="158">
        <v>0</v>
      </c>
      <c r="T98" s="79">
        <v>0</v>
      </c>
      <c r="U98" s="399"/>
      <c r="V98" s="399"/>
      <c r="W98" s="399"/>
      <c r="X98" s="399"/>
      <c r="Y98" s="399"/>
      <c r="Z98" s="399"/>
      <c r="AA98" s="399"/>
      <c r="AB98" s="399"/>
      <c r="AC98" s="399"/>
      <c r="AD98" s="399"/>
      <c r="AE98" s="399"/>
    </row>
    <row r="99" s="350" customFormat="1" ht="24" customHeight="1">
      <c r="A99" s="33">
        <v>88</v>
      </c>
      <c r="B99" s="42" t="s">
        <v>974</v>
      </c>
      <c r="C99" s="215">
        <f>D99+K99+L99+M99+N99+O99+P99+Q99+R99+S99+T99</f>
        <v>13161131.73</v>
      </c>
      <c r="D99" s="215">
        <f>SUM(E99:I99)</f>
        <v>0</v>
      </c>
      <c r="E99" s="92">
        <v>0</v>
      </c>
      <c r="F99" s="79">
        <v>0</v>
      </c>
      <c r="G99" s="79">
        <v>0</v>
      </c>
      <c r="H99" s="92">
        <v>0</v>
      </c>
      <c r="I99" s="79">
        <v>0</v>
      </c>
      <c r="J99" s="398">
        <v>0</v>
      </c>
      <c r="K99" s="79">
        <v>0</v>
      </c>
      <c r="L99" s="79">
        <v>0</v>
      </c>
      <c r="M99" s="79">
        <v>0</v>
      </c>
      <c r="N99" s="92">
        <v>12850159.220000001</v>
      </c>
      <c r="O99" s="79">
        <v>0</v>
      </c>
      <c r="P99" s="92">
        <v>310972.51000000001</v>
      </c>
      <c r="Q99" s="79">
        <v>0</v>
      </c>
      <c r="R99" s="79">
        <v>0</v>
      </c>
      <c r="S99" s="79">
        <v>0</v>
      </c>
      <c r="T99" s="79">
        <v>0</v>
      </c>
      <c r="U99" s="350"/>
      <c r="V99" s="350"/>
      <c r="W99" s="350"/>
      <c r="X99" s="350"/>
      <c r="Y99" s="350"/>
      <c r="Z99" s="350"/>
      <c r="AA99" s="350"/>
      <c r="AB99" s="350"/>
      <c r="AC99" s="350"/>
      <c r="AD99" s="350"/>
      <c r="AE99" s="350"/>
    </row>
    <row r="100" s="350" customFormat="1" ht="24" customHeight="1">
      <c r="A100" s="122">
        <v>89</v>
      </c>
      <c r="B100" s="42" t="s">
        <v>975</v>
      </c>
      <c r="C100" s="215">
        <f>D100+K100+L100+M100+N100+O100+P100+Q100+R100+S100+T100</f>
        <v>26573380.960000005</v>
      </c>
      <c r="D100" s="215">
        <f>SUM(E100:I100)</f>
        <v>0</v>
      </c>
      <c r="E100" s="92">
        <v>0</v>
      </c>
      <c r="F100" s="92">
        <v>0</v>
      </c>
      <c r="G100" s="92">
        <v>0</v>
      </c>
      <c r="H100" s="92">
        <v>0</v>
      </c>
      <c r="I100" s="79">
        <v>0</v>
      </c>
      <c r="J100" s="398">
        <v>0</v>
      </c>
      <c r="K100" s="79">
        <v>0</v>
      </c>
      <c r="L100" s="92">
        <v>15419773.640000001</v>
      </c>
      <c r="M100" s="79">
        <v>0</v>
      </c>
      <c r="N100" s="92">
        <v>10835471.630000001</v>
      </c>
      <c r="O100" s="79">
        <v>0</v>
      </c>
      <c r="P100" s="92">
        <v>318135.69</v>
      </c>
      <c r="Q100" s="79">
        <v>0</v>
      </c>
      <c r="R100" s="79">
        <v>0</v>
      </c>
      <c r="S100" s="79">
        <v>0</v>
      </c>
      <c r="T100" s="79">
        <v>0</v>
      </c>
      <c r="U100" s="350"/>
      <c r="V100" s="350"/>
      <c r="W100" s="350"/>
      <c r="X100" s="350"/>
      <c r="Y100" s="350"/>
      <c r="Z100" s="350"/>
      <c r="AA100" s="350"/>
      <c r="AB100" s="350"/>
      <c r="AC100" s="350"/>
      <c r="AD100" s="350"/>
      <c r="AE100" s="350"/>
    </row>
    <row r="101" s="350" customFormat="1" ht="24" customHeight="1">
      <c r="A101" s="33">
        <v>90</v>
      </c>
      <c r="B101" s="42" t="s">
        <v>171</v>
      </c>
      <c r="C101" s="215">
        <f>D101+K101+L101+M101+N101+O101+P101+Q101+R101+S101+T101</f>
        <v>9264335.9600000009</v>
      </c>
      <c r="D101" s="215">
        <f>SUM(E101:I101)</f>
        <v>9264335.9600000009</v>
      </c>
      <c r="E101" s="92">
        <v>3119211.6000000001</v>
      </c>
      <c r="F101" s="92">
        <v>6145124.3600000003</v>
      </c>
      <c r="G101" s="79">
        <v>0</v>
      </c>
      <c r="H101" s="92">
        <v>0</v>
      </c>
      <c r="I101" s="79">
        <v>0</v>
      </c>
      <c r="J101" s="398">
        <v>0</v>
      </c>
      <c r="K101" s="79">
        <v>0</v>
      </c>
      <c r="L101" s="79">
        <v>0</v>
      </c>
      <c r="M101" s="79">
        <v>0</v>
      </c>
      <c r="N101" s="79">
        <v>0</v>
      </c>
      <c r="O101" s="79">
        <v>0</v>
      </c>
      <c r="P101" s="92">
        <v>0</v>
      </c>
      <c r="Q101" s="79">
        <v>0</v>
      </c>
      <c r="R101" s="79">
        <v>0</v>
      </c>
      <c r="S101" s="79">
        <v>0</v>
      </c>
      <c r="T101" s="79">
        <v>0</v>
      </c>
      <c r="U101" s="350"/>
      <c r="V101" s="350"/>
      <c r="W101" s="350"/>
      <c r="X101" s="350"/>
      <c r="Y101" s="350"/>
      <c r="Z101" s="350"/>
      <c r="AA101" s="350"/>
      <c r="AB101" s="350"/>
      <c r="AC101" s="350"/>
      <c r="AD101" s="350"/>
      <c r="AE101" s="350"/>
    </row>
    <row r="102" s="350" customFormat="1" ht="24" customHeight="1">
      <c r="A102" s="122">
        <v>91</v>
      </c>
      <c r="B102" s="42" t="s">
        <v>172</v>
      </c>
      <c r="C102" s="215">
        <f>D102+K102+L102+M102+N102+O102+P102+Q102+R102+S102+T102</f>
        <v>5782289.3100000005</v>
      </c>
      <c r="D102" s="215">
        <f>SUM(E102:I102)</f>
        <v>5782289.3100000005</v>
      </c>
      <c r="E102" s="92">
        <v>0</v>
      </c>
      <c r="F102" s="92">
        <v>4867946.9100000001</v>
      </c>
      <c r="G102" s="92">
        <v>458850</v>
      </c>
      <c r="H102" s="92">
        <v>455492.40000000002</v>
      </c>
      <c r="I102" s="79">
        <v>0</v>
      </c>
      <c r="J102" s="398">
        <v>0</v>
      </c>
      <c r="K102" s="79">
        <v>0</v>
      </c>
      <c r="L102" s="79">
        <v>0</v>
      </c>
      <c r="M102" s="79">
        <v>0</v>
      </c>
      <c r="N102" s="79">
        <v>0</v>
      </c>
      <c r="O102" s="79">
        <v>0</v>
      </c>
      <c r="P102" s="92">
        <v>0</v>
      </c>
      <c r="Q102" s="79">
        <v>0</v>
      </c>
      <c r="R102" s="79">
        <v>0</v>
      </c>
      <c r="S102" s="79">
        <v>0</v>
      </c>
      <c r="T102" s="79">
        <v>0</v>
      </c>
      <c r="U102" s="350"/>
      <c r="V102" s="350"/>
      <c r="W102" s="350"/>
      <c r="X102" s="350"/>
      <c r="Y102" s="350"/>
      <c r="Z102" s="350"/>
      <c r="AA102" s="350"/>
      <c r="AB102" s="350"/>
      <c r="AC102" s="350"/>
      <c r="AD102" s="350"/>
      <c r="AE102" s="350"/>
    </row>
    <row r="103" s="350" customFormat="1" ht="24" customHeight="1">
      <c r="A103" s="33">
        <v>92</v>
      </c>
      <c r="B103" s="42" t="s">
        <v>976</v>
      </c>
      <c r="C103" s="215">
        <f>D103+K103+L103+M103+N103+O103+P103+Q103+R103+S103+T103</f>
        <v>1377774.6800000002</v>
      </c>
      <c r="D103" s="215">
        <f>SUM(E103:I103)</f>
        <v>844569.06000000006</v>
      </c>
      <c r="E103" s="92">
        <v>0</v>
      </c>
      <c r="F103" s="92">
        <v>0</v>
      </c>
      <c r="G103" s="92">
        <v>0</v>
      </c>
      <c r="H103" s="92">
        <v>462002.65999999997</v>
      </c>
      <c r="I103" s="92">
        <v>382566.40000000002</v>
      </c>
      <c r="J103" s="345">
        <v>0</v>
      </c>
      <c r="K103" s="79">
        <v>0</v>
      </c>
      <c r="L103" s="158">
        <v>0</v>
      </c>
      <c r="M103" s="79">
        <v>0</v>
      </c>
      <c r="N103" s="158">
        <v>0</v>
      </c>
      <c r="O103" s="79">
        <v>0</v>
      </c>
      <c r="P103" s="92">
        <f>304146.21+229059.41</f>
        <v>533205.62</v>
      </c>
      <c r="Q103" s="158">
        <v>0</v>
      </c>
      <c r="R103" s="79">
        <v>0</v>
      </c>
      <c r="S103" s="158">
        <v>0</v>
      </c>
      <c r="T103" s="79">
        <v>0</v>
      </c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</row>
    <row r="104" s="350" customFormat="1" ht="24" customHeight="1">
      <c r="A104" s="122">
        <v>93</v>
      </c>
      <c r="B104" s="42" t="s">
        <v>977</v>
      </c>
      <c r="C104" s="215">
        <f>D104+K104+L104+M104+N104+O104+P104+Q104+R104+S104+T104</f>
        <v>14706691.49</v>
      </c>
      <c r="D104" s="215">
        <f>SUM(E104:I104)</f>
        <v>0</v>
      </c>
      <c r="E104" s="92">
        <v>0</v>
      </c>
      <c r="F104" s="158">
        <v>0</v>
      </c>
      <c r="G104" s="92">
        <v>0</v>
      </c>
      <c r="H104" s="92">
        <v>0</v>
      </c>
      <c r="I104" s="92">
        <v>0</v>
      </c>
      <c r="J104" s="398">
        <v>0</v>
      </c>
      <c r="K104" s="79">
        <v>0</v>
      </c>
      <c r="L104" s="79">
        <v>0</v>
      </c>
      <c r="M104" s="92">
        <v>0</v>
      </c>
      <c r="N104" s="92">
        <v>14408263.189999999</v>
      </c>
      <c r="O104" s="158">
        <v>0</v>
      </c>
      <c r="P104" s="92">
        <v>298428.29999999999</v>
      </c>
      <c r="Q104" s="79">
        <v>0</v>
      </c>
      <c r="R104" s="79">
        <v>0</v>
      </c>
      <c r="S104" s="79">
        <v>0</v>
      </c>
      <c r="T104" s="79">
        <v>0</v>
      </c>
      <c r="U104" s="350"/>
      <c r="V104" s="350"/>
      <c r="W104" s="350"/>
      <c r="X104" s="350"/>
      <c r="Y104" s="350"/>
      <c r="Z104" s="350"/>
      <c r="AA104" s="350"/>
      <c r="AB104" s="350"/>
      <c r="AC104" s="350"/>
      <c r="AD104" s="350"/>
      <c r="AE104" s="350"/>
    </row>
    <row r="105" s="350" customFormat="1" ht="24" customHeight="1">
      <c r="A105" s="33">
        <v>94</v>
      </c>
      <c r="B105" s="42" t="s">
        <v>978</v>
      </c>
      <c r="C105" s="215">
        <f>D105+K105+L105+M105+N105+O105+P105+Q105+R105+S105+T105</f>
        <v>249341.12</v>
      </c>
      <c r="D105" s="215">
        <f>SUM(E105:I105)</f>
        <v>0</v>
      </c>
      <c r="E105" s="92">
        <v>0</v>
      </c>
      <c r="F105" s="79">
        <v>0</v>
      </c>
      <c r="G105" s="92">
        <v>0</v>
      </c>
      <c r="H105" s="92">
        <v>0</v>
      </c>
      <c r="I105" s="92">
        <v>0</v>
      </c>
      <c r="J105" s="345">
        <v>0</v>
      </c>
      <c r="K105" s="79">
        <v>0</v>
      </c>
      <c r="L105" s="158">
        <v>0</v>
      </c>
      <c r="M105" s="92">
        <v>0</v>
      </c>
      <c r="N105" s="403">
        <v>0</v>
      </c>
      <c r="O105" s="79">
        <v>0</v>
      </c>
      <c r="P105" s="92">
        <v>249341.12</v>
      </c>
      <c r="Q105" s="158">
        <v>0</v>
      </c>
      <c r="R105" s="79">
        <v>0</v>
      </c>
      <c r="S105" s="158">
        <v>0</v>
      </c>
      <c r="T105" s="79">
        <v>0</v>
      </c>
      <c r="U105" s="350"/>
      <c r="V105" s="350"/>
      <c r="W105" s="350"/>
      <c r="X105" s="350"/>
      <c r="Y105" s="350"/>
      <c r="Z105" s="350"/>
      <c r="AA105" s="350"/>
      <c r="AB105" s="350"/>
      <c r="AC105" s="350"/>
      <c r="AD105" s="350"/>
      <c r="AE105" s="350"/>
    </row>
    <row r="106" s="350" customFormat="1" ht="24" customHeight="1">
      <c r="A106" s="122">
        <v>95</v>
      </c>
      <c r="B106" s="42" t="s">
        <v>979</v>
      </c>
      <c r="C106" s="215">
        <f>D106+K106+L106+M106+N106+O106+P106+Q106+R106+S106+T106</f>
        <v>2901295.6099999999</v>
      </c>
      <c r="D106" s="215">
        <f>SUM(E106:I106)</f>
        <v>2598898.46</v>
      </c>
      <c r="E106" s="92">
        <v>2319699.4199999999</v>
      </c>
      <c r="F106" s="92">
        <v>0</v>
      </c>
      <c r="G106" s="92">
        <v>0</v>
      </c>
      <c r="H106" s="92">
        <v>0</v>
      </c>
      <c r="I106" s="92">
        <v>279199.03999999998</v>
      </c>
      <c r="J106" s="398">
        <v>0</v>
      </c>
      <c r="K106" s="79">
        <v>0</v>
      </c>
      <c r="L106" s="79">
        <v>0</v>
      </c>
      <c r="M106" s="79">
        <v>0</v>
      </c>
      <c r="N106" s="79">
        <v>0</v>
      </c>
      <c r="O106" s="79">
        <v>0</v>
      </c>
      <c r="P106" s="92">
        <v>302397.15000000002</v>
      </c>
      <c r="Q106" s="79">
        <v>0</v>
      </c>
      <c r="R106" s="79">
        <v>0</v>
      </c>
      <c r="S106" s="79">
        <v>0</v>
      </c>
      <c r="T106" s="79">
        <v>0</v>
      </c>
      <c r="U106" s="350"/>
      <c r="V106" s="350"/>
      <c r="W106" s="350"/>
      <c r="X106" s="350"/>
      <c r="Y106" s="350"/>
      <c r="Z106" s="350"/>
      <c r="AA106" s="350"/>
      <c r="AB106" s="350"/>
      <c r="AC106" s="350"/>
      <c r="AD106" s="350"/>
      <c r="AE106" s="350"/>
    </row>
    <row r="107" s="350" customFormat="1" ht="24" customHeight="1">
      <c r="A107" s="33">
        <v>96</v>
      </c>
      <c r="B107" s="42" t="s">
        <v>980</v>
      </c>
      <c r="C107" s="215">
        <f>D107+K107+L107+M107+N107+O107+P107+Q107+R107+S107+T107</f>
        <v>272569.13</v>
      </c>
      <c r="D107" s="215">
        <f>SUM(E107:I107)</f>
        <v>0</v>
      </c>
      <c r="E107" s="92">
        <v>0</v>
      </c>
      <c r="F107" s="158">
        <v>0</v>
      </c>
      <c r="G107" s="92">
        <v>0</v>
      </c>
      <c r="H107" s="92">
        <v>0</v>
      </c>
      <c r="I107" s="92">
        <v>0</v>
      </c>
      <c r="J107" s="345">
        <v>0</v>
      </c>
      <c r="K107" s="79">
        <v>0</v>
      </c>
      <c r="L107" s="158">
        <v>0</v>
      </c>
      <c r="M107" s="79">
        <v>0</v>
      </c>
      <c r="N107" s="158">
        <v>0</v>
      </c>
      <c r="O107" s="79">
        <v>0</v>
      </c>
      <c r="P107" s="158">
        <v>272569.13</v>
      </c>
      <c r="Q107" s="79">
        <v>0</v>
      </c>
      <c r="R107" s="158">
        <v>0</v>
      </c>
      <c r="S107" s="79">
        <v>0</v>
      </c>
      <c r="T107" s="79">
        <v>0</v>
      </c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</row>
    <row r="108" s="350" customFormat="1" ht="24" customHeight="1">
      <c r="A108" s="122">
        <v>97</v>
      </c>
      <c r="B108" s="42" t="s">
        <v>981</v>
      </c>
      <c r="C108" s="215">
        <f>D108+K108+L108+M108+N108+O108+P108+Q108+R108+S108+T108</f>
        <v>285156.96999999997</v>
      </c>
      <c r="D108" s="215">
        <f>SUM(E108:I108)</f>
        <v>0</v>
      </c>
      <c r="E108" s="92">
        <v>0</v>
      </c>
      <c r="F108" s="92">
        <v>0</v>
      </c>
      <c r="G108" s="92">
        <v>0</v>
      </c>
      <c r="H108" s="92">
        <v>0</v>
      </c>
      <c r="I108" s="92">
        <v>0</v>
      </c>
      <c r="J108" s="398">
        <v>0</v>
      </c>
      <c r="K108" s="79">
        <v>0</v>
      </c>
      <c r="L108" s="79">
        <v>0</v>
      </c>
      <c r="M108" s="79">
        <v>0</v>
      </c>
      <c r="N108" s="79">
        <v>0</v>
      </c>
      <c r="O108" s="79">
        <v>0</v>
      </c>
      <c r="P108" s="92">
        <v>285156.96999999997</v>
      </c>
      <c r="Q108" s="79">
        <v>0</v>
      </c>
      <c r="R108" s="79">
        <v>0</v>
      </c>
      <c r="S108" s="79">
        <v>0</v>
      </c>
      <c r="T108" s="79">
        <v>0</v>
      </c>
      <c r="U108" s="350"/>
      <c r="V108" s="350"/>
      <c r="W108" s="350"/>
      <c r="X108" s="350"/>
      <c r="Y108" s="350"/>
      <c r="Z108" s="350"/>
      <c r="AA108" s="350"/>
      <c r="AB108" s="350"/>
      <c r="AC108" s="350"/>
      <c r="AD108" s="350"/>
      <c r="AE108" s="350"/>
    </row>
    <row r="109" s="350" customFormat="1" ht="24" customHeight="1">
      <c r="A109" s="33">
        <v>98</v>
      </c>
      <c r="B109" s="42" t="s">
        <v>181</v>
      </c>
      <c r="C109" s="215">
        <f>D109+K109+L109+M109+N109+O109+P109+Q109+R109+S109+T109</f>
        <v>2290444.2999999998</v>
      </c>
      <c r="D109" s="215">
        <f>SUM(E109:I109)</f>
        <v>2290444.2999999998</v>
      </c>
      <c r="E109" s="92">
        <v>0</v>
      </c>
      <c r="F109" s="92">
        <v>2290444.2999999998</v>
      </c>
      <c r="G109" s="92">
        <v>0</v>
      </c>
      <c r="H109" s="92">
        <v>0</v>
      </c>
      <c r="I109" s="92">
        <v>0</v>
      </c>
      <c r="J109" s="398">
        <v>0</v>
      </c>
      <c r="K109" s="79">
        <v>0</v>
      </c>
      <c r="L109" s="79">
        <v>0</v>
      </c>
      <c r="M109" s="79">
        <v>0</v>
      </c>
      <c r="N109" s="92">
        <v>0</v>
      </c>
      <c r="O109" s="79">
        <v>0</v>
      </c>
      <c r="P109" s="92">
        <v>0</v>
      </c>
      <c r="Q109" s="79">
        <v>0</v>
      </c>
      <c r="R109" s="79">
        <v>0</v>
      </c>
      <c r="S109" s="79">
        <v>0</v>
      </c>
      <c r="T109" s="79">
        <v>0</v>
      </c>
      <c r="U109" s="350"/>
      <c r="V109" s="350"/>
      <c r="W109" s="350"/>
      <c r="X109" s="350"/>
      <c r="Y109" s="350"/>
      <c r="Z109" s="350"/>
      <c r="AA109" s="350"/>
      <c r="AB109" s="350"/>
      <c r="AC109" s="350"/>
      <c r="AD109" s="350"/>
      <c r="AE109" s="350"/>
    </row>
    <row r="110" s="350" customFormat="1" ht="24" customHeight="1">
      <c r="A110" s="122">
        <v>99</v>
      </c>
      <c r="B110" s="42" t="s">
        <v>982</v>
      </c>
      <c r="C110" s="215">
        <f>D110+K110+L110+M110+N110+O110+P110+Q110+R110+S110+T110</f>
        <v>8786046.040000001</v>
      </c>
      <c r="D110" s="215">
        <f>SUM(E110:I110)</f>
        <v>0</v>
      </c>
      <c r="E110" s="92">
        <v>0</v>
      </c>
      <c r="F110" s="79">
        <v>0</v>
      </c>
      <c r="G110" s="79">
        <v>0</v>
      </c>
      <c r="H110" s="92">
        <v>0</v>
      </c>
      <c r="I110" s="79">
        <v>0</v>
      </c>
      <c r="J110" s="398">
        <v>0</v>
      </c>
      <c r="K110" s="79">
        <v>0</v>
      </c>
      <c r="L110" s="92">
        <v>8604155.4600000009</v>
      </c>
      <c r="M110" s="79">
        <v>0</v>
      </c>
      <c r="N110" s="79">
        <v>0</v>
      </c>
      <c r="O110" s="79">
        <v>0</v>
      </c>
      <c r="P110" s="92">
        <v>181890.57999999999</v>
      </c>
      <c r="Q110" s="79">
        <v>0</v>
      </c>
      <c r="R110" s="79">
        <v>0</v>
      </c>
      <c r="S110" s="79">
        <v>0</v>
      </c>
      <c r="T110" s="79">
        <v>0</v>
      </c>
      <c r="U110" s="350"/>
      <c r="V110" s="350"/>
      <c r="W110" s="350"/>
      <c r="X110" s="350"/>
      <c r="Y110" s="350"/>
      <c r="Z110" s="350"/>
      <c r="AA110" s="350"/>
      <c r="AB110" s="350"/>
      <c r="AC110" s="350"/>
      <c r="AD110" s="350"/>
      <c r="AE110" s="350"/>
      <c r="AF110" s="350"/>
      <c r="AG110" s="350"/>
      <c r="AH110" s="350"/>
      <c r="AI110" s="350"/>
    </row>
    <row r="111" s="350" customFormat="1" ht="24" customHeight="1">
      <c r="A111" s="33">
        <v>100</v>
      </c>
      <c r="B111" s="42" t="s">
        <v>983</v>
      </c>
      <c r="C111" s="215">
        <f>D111+K111+L111+M111+N111+O111+P111+Q111+R111+S111+T111</f>
        <v>163729.57999999999</v>
      </c>
      <c r="D111" s="215">
        <f>SUM(E111:I111)</f>
        <v>0</v>
      </c>
      <c r="E111" s="92">
        <v>0</v>
      </c>
      <c r="F111" s="79">
        <v>0</v>
      </c>
      <c r="G111" s="79">
        <v>0</v>
      </c>
      <c r="H111" s="92">
        <v>0</v>
      </c>
      <c r="I111" s="79">
        <v>0</v>
      </c>
      <c r="J111" s="398">
        <v>0</v>
      </c>
      <c r="K111" s="79">
        <v>0</v>
      </c>
      <c r="L111" s="92">
        <v>0</v>
      </c>
      <c r="M111" s="79">
        <v>0</v>
      </c>
      <c r="N111" s="79">
        <v>0</v>
      </c>
      <c r="O111" s="79">
        <v>0</v>
      </c>
      <c r="P111" s="92">
        <v>163729.57999999999</v>
      </c>
      <c r="Q111" s="79">
        <v>0</v>
      </c>
      <c r="R111" s="79">
        <v>0</v>
      </c>
      <c r="S111" s="79">
        <v>0</v>
      </c>
      <c r="T111" s="79">
        <v>0</v>
      </c>
      <c r="U111" s="350"/>
      <c r="V111" s="350"/>
      <c r="W111" s="350"/>
      <c r="X111" s="350"/>
      <c r="Y111" s="350"/>
      <c r="Z111" s="350"/>
      <c r="AA111" s="350"/>
      <c r="AB111" s="350"/>
      <c r="AC111" s="350"/>
      <c r="AD111" s="350"/>
      <c r="AE111" s="350"/>
    </row>
    <row r="112" s="350" customFormat="1" ht="24" customHeight="1">
      <c r="A112" s="122">
        <v>101</v>
      </c>
      <c r="B112" s="42" t="s">
        <v>984</v>
      </c>
      <c r="C112" s="215">
        <f>D112+K112+L112+M112+N112+O112+P112+Q112+R112+S112+T112</f>
        <v>220295.20000000001</v>
      </c>
      <c r="D112" s="215">
        <f>SUM(E112:I112)</f>
        <v>0</v>
      </c>
      <c r="E112" s="92">
        <v>0</v>
      </c>
      <c r="F112" s="158">
        <v>0</v>
      </c>
      <c r="G112" s="79">
        <v>0</v>
      </c>
      <c r="H112" s="92">
        <v>0</v>
      </c>
      <c r="I112" s="158">
        <v>0</v>
      </c>
      <c r="J112" s="398">
        <v>0</v>
      </c>
      <c r="K112" s="158">
        <v>0</v>
      </c>
      <c r="L112" s="79">
        <v>0</v>
      </c>
      <c r="M112" s="158">
        <v>0</v>
      </c>
      <c r="N112" s="79">
        <v>0</v>
      </c>
      <c r="O112" s="158">
        <v>0</v>
      </c>
      <c r="P112" s="92">
        <v>220295.20000000001</v>
      </c>
      <c r="Q112" s="158">
        <v>0</v>
      </c>
      <c r="R112" s="79">
        <v>0</v>
      </c>
      <c r="S112" s="158">
        <v>0</v>
      </c>
      <c r="T112" s="79">
        <v>0</v>
      </c>
      <c r="U112" s="350"/>
      <c r="V112" s="350"/>
      <c r="W112" s="350"/>
      <c r="X112" s="350"/>
      <c r="Y112" s="350"/>
      <c r="Z112" s="350"/>
      <c r="AA112" s="350"/>
      <c r="AB112" s="350"/>
      <c r="AC112" s="350"/>
      <c r="AD112" s="350"/>
      <c r="AE112" s="350"/>
    </row>
    <row r="113" s="350" customFormat="1" ht="24" customHeight="1">
      <c r="A113" s="33">
        <v>102</v>
      </c>
      <c r="B113" s="42" t="s">
        <v>186</v>
      </c>
      <c r="C113" s="215">
        <f>D113+K113+L113+M113+N113+O113+P113+Q113+R113+S113+T113</f>
        <v>5559673.54</v>
      </c>
      <c r="D113" s="215">
        <f>SUM(E113:I113)</f>
        <v>0</v>
      </c>
      <c r="E113" s="92">
        <v>0</v>
      </c>
      <c r="F113" s="79">
        <v>0</v>
      </c>
      <c r="G113" s="79">
        <v>0</v>
      </c>
      <c r="H113" s="92">
        <v>0</v>
      </c>
      <c r="I113" s="79">
        <v>0</v>
      </c>
      <c r="J113" s="398">
        <v>0</v>
      </c>
      <c r="K113" s="79">
        <v>0</v>
      </c>
      <c r="L113" s="79">
        <v>0</v>
      </c>
      <c r="M113" s="79">
        <v>0</v>
      </c>
      <c r="N113" s="92">
        <v>5559673.54</v>
      </c>
      <c r="O113" s="79">
        <v>0</v>
      </c>
      <c r="P113" s="79">
        <v>0</v>
      </c>
      <c r="Q113" s="79">
        <v>0</v>
      </c>
      <c r="R113" s="79">
        <v>0</v>
      </c>
      <c r="S113" s="79">
        <v>0</v>
      </c>
      <c r="T113" s="79">
        <v>0</v>
      </c>
      <c r="U113" s="350"/>
      <c r="V113" s="350"/>
      <c r="W113" s="350"/>
      <c r="X113" s="350"/>
      <c r="Y113" s="350"/>
      <c r="Z113" s="350"/>
      <c r="AA113" s="350"/>
      <c r="AB113" s="350"/>
      <c r="AC113" s="350"/>
      <c r="AD113" s="350"/>
      <c r="AE113" s="350"/>
    </row>
    <row r="114" s="350" customFormat="1" ht="24" customHeight="1">
      <c r="A114" s="122">
        <v>103</v>
      </c>
      <c r="B114" s="42" t="s">
        <v>985</v>
      </c>
      <c r="C114" s="215">
        <f>D114+K114+L114+M114+N114+O114+P114+Q114+R114+S114+T114</f>
        <v>6562018.6600000001</v>
      </c>
      <c r="D114" s="215">
        <f>SUM(E114:I114)</f>
        <v>0</v>
      </c>
      <c r="E114" s="92">
        <v>0</v>
      </c>
      <c r="F114" s="79">
        <v>0</v>
      </c>
      <c r="G114" s="79">
        <v>0</v>
      </c>
      <c r="H114" s="92">
        <v>0</v>
      </c>
      <c r="I114" s="79">
        <v>0</v>
      </c>
      <c r="J114" s="398">
        <v>2</v>
      </c>
      <c r="K114" s="92">
        <v>6447135.7999999998</v>
      </c>
      <c r="L114" s="79">
        <v>0</v>
      </c>
      <c r="M114" s="79">
        <v>0</v>
      </c>
      <c r="N114" s="79">
        <v>0</v>
      </c>
      <c r="O114" s="79">
        <v>0</v>
      </c>
      <c r="P114" s="92">
        <v>114882.86</v>
      </c>
      <c r="Q114" s="79">
        <v>0</v>
      </c>
      <c r="R114" s="79">
        <v>0</v>
      </c>
      <c r="S114" s="79">
        <v>0</v>
      </c>
      <c r="T114" s="79">
        <v>0</v>
      </c>
      <c r="U114" s="350"/>
      <c r="V114" s="350"/>
      <c r="W114" s="350"/>
      <c r="X114" s="350"/>
      <c r="Y114" s="350"/>
      <c r="Z114" s="350"/>
      <c r="AA114" s="350"/>
      <c r="AB114" s="350"/>
      <c r="AC114" s="350"/>
      <c r="AD114" s="350"/>
      <c r="AE114" s="350"/>
    </row>
    <row r="115" s="350" customFormat="1" ht="24" customHeight="1">
      <c r="A115" s="33">
        <v>104</v>
      </c>
      <c r="B115" s="42" t="s">
        <v>986</v>
      </c>
      <c r="C115" s="215">
        <f>D115+K115+L115+M115+N115+O115+P115+Q115+R115+S115+T115</f>
        <v>5559998.6600000001</v>
      </c>
      <c r="D115" s="215">
        <f>SUM(E115:I115)</f>
        <v>4964117.4800000004</v>
      </c>
      <c r="E115" s="92">
        <v>4964117.4800000004</v>
      </c>
      <c r="F115" s="79">
        <v>0</v>
      </c>
      <c r="G115" s="79">
        <v>0</v>
      </c>
      <c r="H115" s="92">
        <v>0</v>
      </c>
      <c r="I115" s="79">
        <v>0</v>
      </c>
      <c r="J115" s="398">
        <v>0</v>
      </c>
      <c r="K115" s="79">
        <v>0</v>
      </c>
      <c r="L115" s="79">
        <v>0</v>
      </c>
      <c r="M115" s="79">
        <v>0</v>
      </c>
      <c r="N115" s="92">
        <v>0</v>
      </c>
      <c r="O115" s="79">
        <v>0</v>
      </c>
      <c r="P115" s="79">
        <f>275160.04+320721.14</f>
        <v>595881.17999999993</v>
      </c>
      <c r="Q115" s="79">
        <v>0</v>
      </c>
      <c r="R115" s="79">
        <v>0</v>
      </c>
      <c r="S115" s="79">
        <v>0</v>
      </c>
      <c r="T115" s="79">
        <v>0</v>
      </c>
      <c r="U115" s="350"/>
      <c r="V115" s="350"/>
      <c r="W115" s="350"/>
      <c r="X115" s="350"/>
      <c r="Y115" s="350"/>
      <c r="Z115" s="350"/>
      <c r="AA115" s="350"/>
      <c r="AB115" s="350"/>
      <c r="AC115" s="350"/>
      <c r="AD115" s="350"/>
      <c r="AE115" s="350"/>
    </row>
    <row r="116" s="399" customFormat="1" ht="24" customHeight="1">
      <c r="A116" s="122">
        <v>105</v>
      </c>
      <c r="B116" s="42" t="s">
        <v>987</v>
      </c>
      <c r="C116" s="215">
        <f>D116+K116+L116+M116+N116+O116+P116+Q116+R116+S116+T116</f>
        <v>200350.98000000001</v>
      </c>
      <c r="D116" s="215">
        <f>SUM(E116:I116)</f>
        <v>0</v>
      </c>
      <c r="E116" s="92">
        <v>0</v>
      </c>
      <c r="F116" s="158">
        <v>0</v>
      </c>
      <c r="G116" s="79">
        <v>0</v>
      </c>
      <c r="H116" s="92">
        <v>0</v>
      </c>
      <c r="I116" s="158">
        <v>0</v>
      </c>
      <c r="J116" s="398">
        <v>0</v>
      </c>
      <c r="K116" s="158">
        <v>0</v>
      </c>
      <c r="L116" s="79">
        <v>0</v>
      </c>
      <c r="M116" s="158">
        <v>0</v>
      </c>
      <c r="N116" s="92">
        <v>0</v>
      </c>
      <c r="O116" s="158">
        <v>0</v>
      </c>
      <c r="P116" s="92">
        <v>200350.98000000001</v>
      </c>
      <c r="Q116" s="158">
        <v>0</v>
      </c>
      <c r="R116" s="79">
        <v>0</v>
      </c>
      <c r="S116" s="158">
        <v>0</v>
      </c>
      <c r="T116" s="79">
        <v>0</v>
      </c>
      <c r="U116" s="399"/>
      <c r="V116" s="399"/>
      <c r="W116" s="399"/>
      <c r="X116" s="399"/>
      <c r="Y116" s="399"/>
      <c r="Z116" s="399"/>
      <c r="AA116" s="399"/>
      <c r="AB116" s="399"/>
      <c r="AC116" s="399"/>
      <c r="AD116" s="399"/>
      <c r="AE116" s="399"/>
      <c r="AF116" s="399"/>
      <c r="AG116" s="399"/>
      <c r="AH116" s="399"/>
      <c r="AI116" s="399"/>
    </row>
    <row r="117" s="350" customFormat="1" ht="24" customHeight="1">
      <c r="A117" s="33">
        <v>106</v>
      </c>
      <c r="B117" s="42" t="s">
        <v>988</v>
      </c>
      <c r="C117" s="215">
        <f>D117+K117+L117+M117+N117+O117+P117+Q117+R117+S117+T117</f>
        <v>17165455</v>
      </c>
      <c r="D117" s="215">
        <f>SUM(E117:I117)</f>
        <v>0</v>
      </c>
      <c r="E117" s="92">
        <v>0</v>
      </c>
      <c r="F117" s="79">
        <v>0</v>
      </c>
      <c r="G117" s="79">
        <v>0</v>
      </c>
      <c r="H117" s="92">
        <v>0</v>
      </c>
      <c r="I117" s="79">
        <v>0</v>
      </c>
      <c r="J117" s="398">
        <v>0</v>
      </c>
      <c r="K117" s="79">
        <v>0</v>
      </c>
      <c r="L117" s="92">
        <v>16380805.75</v>
      </c>
      <c r="M117" s="79">
        <v>0</v>
      </c>
      <c r="N117" s="79">
        <v>0</v>
      </c>
      <c r="O117" s="79">
        <v>0</v>
      </c>
      <c r="P117" s="92">
        <f>229396.52+173266.34+381986.39</f>
        <v>784649.25</v>
      </c>
      <c r="Q117" s="79">
        <v>0</v>
      </c>
      <c r="R117" s="79">
        <v>0</v>
      </c>
      <c r="S117" s="79">
        <v>0</v>
      </c>
      <c r="T117" s="79">
        <v>0</v>
      </c>
      <c r="U117" s="350"/>
      <c r="V117" s="350"/>
      <c r="W117" s="350"/>
      <c r="X117" s="350"/>
      <c r="Y117" s="350"/>
      <c r="Z117" s="350"/>
      <c r="AA117" s="350"/>
      <c r="AB117" s="350"/>
      <c r="AC117" s="350"/>
      <c r="AD117" s="350"/>
      <c r="AE117" s="350"/>
      <c r="AF117" s="350"/>
      <c r="AG117" s="350"/>
      <c r="AH117" s="350"/>
      <c r="AI117" s="350"/>
    </row>
    <row r="118" s="350" customFormat="1" ht="24" customHeight="1">
      <c r="A118" s="122">
        <v>107</v>
      </c>
      <c r="B118" s="42" t="s">
        <v>989</v>
      </c>
      <c r="C118" s="215">
        <f>D118+K118+L118+M118+N118+O118+P118+Q118+R118+S118+T118</f>
        <v>189520</v>
      </c>
      <c r="D118" s="215">
        <f>SUM(E118:I118)</f>
        <v>0</v>
      </c>
      <c r="E118" s="92">
        <v>0</v>
      </c>
      <c r="F118" s="79">
        <v>0</v>
      </c>
      <c r="G118" s="79">
        <v>0</v>
      </c>
      <c r="H118" s="92">
        <v>0</v>
      </c>
      <c r="I118" s="79">
        <v>0</v>
      </c>
      <c r="J118" s="398">
        <v>0</v>
      </c>
      <c r="K118" s="79">
        <v>0</v>
      </c>
      <c r="L118" s="79">
        <v>0</v>
      </c>
      <c r="M118" s="79">
        <v>0</v>
      </c>
      <c r="N118" s="79">
        <v>0</v>
      </c>
      <c r="O118" s="79">
        <v>0</v>
      </c>
      <c r="P118" s="92">
        <v>189520</v>
      </c>
      <c r="Q118" s="79">
        <v>0</v>
      </c>
      <c r="R118" s="79">
        <v>0</v>
      </c>
      <c r="S118" s="79">
        <v>0</v>
      </c>
      <c r="T118" s="79">
        <v>0</v>
      </c>
      <c r="U118" s="350"/>
      <c r="V118" s="350"/>
      <c r="W118" s="350"/>
      <c r="X118" s="350"/>
      <c r="Y118" s="350"/>
      <c r="Z118" s="350"/>
      <c r="AA118" s="350"/>
      <c r="AB118" s="350"/>
      <c r="AC118" s="350"/>
      <c r="AD118" s="350"/>
      <c r="AE118" s="350"/>
    </row>
    <row r="119" s="350" customFormat="1" ht="24" customHeight="1">
      <c r="A119" s="33">
        <v>108</v>
      </c>
      <c r="B119" s="42" t="s">
        <v>990</v>
      </c>
      <c r="C119" s="215">
        <f>D119+K119+L119+M119+N119+O119+P119+Q119+R119+S119+T119</f>
        <v>221624.47</v>
      </c>
      <c r="D119" s="215">
        <f>SUM(E119:I119)</f>
        <v>0</v>
      </c>
      <c r="E119" s="92">
        <v>0</v>
      </c>
      <c r="F119" s="92">
        <v>0</v>
      </c>
      <c r="G119" s="79">
        <v>0</v>
      </c>
      <c r="H119" s="92">
        <v>0</v>
      </c>
      <c r="I119" s="92">
        <v>0</v>
      </c>
      <c r="J119" s="398">
        <v>0</v>
      </c>
      <c r="K119" s="79">
        <v>0</v>
      </c>
      <c r="L119" s="79">
        <v>0</v>
      </c>
      <c r="M119" s="79">
        <v>0</v>
      </c>
      <c r="N119" s="79">
        <v>0</v>
      </c>
      <c r="O119" s="79">
        <v>0</v>
      </c>
      <c r="P119" s="92">
        <v>221624.47</v>
      </c>
      <c r="Q119" s="79">
        <v>0</v>
      </c>
      <c r="R119" s="79">
        <v>0</v>
      </c>
      <c r="S119" s="79">
        <v>0</v>
      </c>
      <c r="T119" s="79">
        <v>0</v>
      </c>
      <c r="U119" s="350"/>
      <c r="V119" s="350"/>
      <c r="W119" s="350"/>
      <c r="X119" s="350"/>
      <c r="Y119" s="350"/>
      <c r="Z119" s="350"/>
      <c r="AA119" s="350"/>
      <c r="AB119" s="350"/>
      <c r="AC119" s="350"/>
      <c r="AD119" s="350"/>
      <c r="AE119" s="350"/>
      <c r="AF119" s="350"/>
      <c r="AG119" s="350"/>
      <c r="AH119" s="350"/>
      <c r="AI119" s="350"/>
    </row>
    <row r="120" s="350" customFormat="1" ht="24" customHeight="1">
      <c r="A120" s="122">
        <v>109</v>
      </c>
      <c r="B120" s="52" t="s">
        <v>991</v>
      </c>
      <c r="C120" s="215">
        <f>D120+K120+L120+M120+N120+O120+P120+Q120+R120+S120+T120</f>
        <v>6353757.7700000014</v>
      </c>
      <c r="D120" s="215">
        <f>SUM(E120:I120)</f>
        <v>6080434.3200000012</v>
      </c>
      <c r="E120" s="92">
        <v>2773249.2000000002</v>
      </c>
      <c r="F120" s="92">
        <v>2646851.3500000001</v>
      </c>
      <c r="G120" s="79">
        <v>0</v>
      </c>
      <c r="H120" s="92">
        <v>332717.40999999997</v>
      </c>
      <c r="I120" s="92">
        <v>327616.35999999999</v>
      </c>
      <c r="J120" s="398">
        <v>0</v>
      </c>
      <c r="K120" s="79">
        <v>0</v>
      </c>
      <c r="L120" s="79">
        <v>0</v>
      </c>
      <c r="M120" s="79">
        <v>0</v>
      </c>
      <c r="N120" s="79">
        <v>0</v>
      </c>
      <c r="O120" s="79">
        <v>0</v>
      </c>
      <c r="P120" s="92">
        <v>273323.45000000001</v>
      </c>
      <c r="Q120" s="79">
        <v>0</v>
      </c>
      <c r="R120" s="79">
        <v>0</v>
      </c>
      <c r="S120" s="79">
        <v>0</v>
      </c>
      <c r="T120" s="79">
        <v>0</v>
      </c>
      <c r="U120" s="350"/>
      <c r="V120" s="350"/>
      <c r="W120" s="350"/>
      <c r="X120" s="350"/>
      <c r="Y120" s="350"/>
      <c r="Z120" s="350"/>
      <c r="AA120" s="350"/>
      <c r="AB120" s="350"/>
      <c r="AC120" s="350"/>
      <c r="AD120" s="350"/>
      <c r="AE120" s="350"/>
    </row>
    <row r="121" s="350" customFormat="1" ht="24" customHeight="1">
      <c r="A121" s="33">
        <v>110</v>
      </c>
      <c r="B121" s="53" t="s">
        <v>992</v>
      </c>
      <c r="C121" s="215">
        <f>D121+K121+L121+M121+N121+O121+P121+Q121+R121+S121+T121</f>
        <v>190384.10000000001</v>
      </c>
      <c r="D121" s="215">
        <f>SUM(E121:I121)</f>
        <v>0</v>
      </c>
      <c r="E121" s="92">
        <v>0</v>
      </c>
      <c r="F121" s="92">
        <v>0</v>
      </c>
      <c r="G121" s="92">
        <v>0</v>
      </c>
      <c r="H121" s="92">
        <v>0</v>
      </c>
      <c r="I121" s="92">
        <v>0</v>
      </c>
      <c r="J121" s="398">
        <v>0</v>
      </c>
      <c r="K121" s="79">
        <v>0</v>
      </c>
      <c r="L121" s="79">
        <v>0</v>
      </c>
      <c r="M121" s="79">
        <v>0</v>
      </c>
      <c r="N121" s="92">
        <v>0</v>
      </c>
      <c r="O121" s="79">
        <v>0</v>
      </c>
      <c r="P121" s="92">
        <v>190384.10000000001</v>
      </c>
      <c r="Q121" s="79">
        <v>0</v>
      </c>
      <c r="R121" s="79">
        <v>0</v>
      </c>
      <c r="S121" s="79">
        <v>0</v>
      </c>
      <c r="T121" s="79">
        <v>0</v>
      </c>
      <c r="U121" s="350"/>
      <c r="V121" s="350"/>
      <c r="W121" s="350"/>
      <c r="X121" s="350"/>
      <c r="Y121" s="350"/>
      <c r="Z121" s="350"/>
      <c r="AA121" s="350"/>
      <c r="AB121" s="350"/>
      <c r="AC121" s="350"/>
      <c r="AD121" s="350"/>
      <c r="AE121" s="350"/>
      <c r="AF121" s="350"/>
      <c r="AG121" s="350"/>
      <c r="AH121" s="350"/>
      <c r="AI121" s="350"/>
    </row>
    <row r="122" s="350" customFormat="1" ht="24" customHeight="1">
      <c r="A122" s="122">
        <v>111</v>
      </c>
      <c r="B122" s="53" t="s">
        <v>196</v>
      </c>
      <c r="C122" s="215">
        <f>D122+K122+L122+M122+N122+O122+P122+Q122+R122+S122+T122</f>
        <v>5555915.9100000001</v>
      </c>
      <c r="D122" s="215">
        <f>SUM(E122:I122)</f>
        <v>0</v>
      </c>
      <c r="E122" s="92">
        <v>0</v>
      </c>
      <c r="F122" s="79">
        <v>0</v>
      </c>
      <c r="G122" s="79">
        <v>0</v>
      </c>
      <c r="H122" s="92">
        <v>0</v>
      </c>
      <c r="I122" s="79">
        <v>0</v>
      </c>
      <c r="J122" s="398">
        <v>0</v>
      </c>
      <c r="K122" s="79">
        <v>0</v>
      </c>
      <c r="L122" s="92">
        <v>5555915.9100000001</v>
      </c>
      <c r="M122" s="79">
        <v>0</v>
      </c>
      <c r="N122" s="79">
        <v>0</v>
      </c>
      <c r="O122" s="79">
        <v>0</v>
      </c>
      <c r="P122" s="79">
        <v>0</v>
      </c>
      <c r="Q122" s="79">
        <v>0</v>
      </c>
      <c r="R122" s="79">
        <v>0</v>
      </c>
      <c r="S122" s="79">
        <v>0</v>
      </c>
      <c r="T122" s="79">
        <v>0</v>
      </c>
      <c r="U122" s="350"/>
      <c r="V122" s="350"/>
      <c r="W122" s="350"/>
      <c r="X122" s="350"/>
      <c r="Y122" s="350"/>
      <c r="Z122" s="350"/>
      <c r="AA122" s="350"/>
      <c r="AB122" s="350"/>
      <c r="AC122" s="350"/>
      <c r="AD122" s="350"/>
      <c r="AE122" s="350"/>
    </row>
    <row r="123" s="350" customFormat="1" ht="24" customHeight="1">
      <c r="A123" s="33">
        <v>112</v>
      </c>
      <c r="B123" s="53" t="s">
        <v>993</v>
      </c>
      <c r="C123" s="215">
        <f>D123+K123+L123+M123+N123+O123+P123+Q123+R123+S123+T123</f>
        <v>293968.81</v>
      </c>
      <c r="D123" s="215">
        <f>SUM(E123:I123)</f>
        <v>0</v>
      </c>
      <c r="E123" s="92">
        <v>0</v>
      </c>
      <c r="F123" s="92">
        <v>0</v>
      </c>
      <c r="G123" s="92">
        <v>0</v>
      </c>
      <c r="H123" s="92">
        <v>0</v>
      </c>
      <c r="I123" s="92">
        <v>0</v>
      </c>
      <c r="J123" s="398">
        <v>0</v>
      </c>
      <c r="K123" s="79">
        <v>0</v>
      </c>
      <c r="L123" s="79">
        <v>0</v>
      </c>
      <c r="M123" s="79">
        <v>0</v>
      </c>
      <c r="N123" s="92">
        <v>0</v>
      </c>
      <c r="O123" s="79">
        <v>0</v>
      </c>
      <c r="P123" s="92">
        <v>293968.81</v>
      </c>
      <c r="Q123" s="79">
        <v>0</v>
      </c>
      <c r="R123" s="79">
        <v>0</v>
      </c>
      <c r="S123" s="79">
        <v>0</v>
      </c>
      <c r="T123" s="79">
        <v>0</v>
      </c>
      <c r="U123" s="350"/>
      <c r="V123" s="350"/>
      <c r="W123" s="350"/>
      <c r="X123" s="350"/>
      <c r="Y123" s="350"/>
      <c r="Z123" s="350"/>
      <c r="AA123" s="350"/>
      <c r="AB123" s="350"/>
      <c r="AC123" s="350"/>
      <c r="AD123" s="350"/>
      <c r="AE123" s="350"/>
    </row>
    <row r="124" s="399" customFormat="1" ht="24" customHeight="1">
      <c r="A124" s="122">
        <v>113</v>
      </c>
      <c r="B124" s="42" t="s">
        <v>994</v>
      </c>
      <c r="C124" s="215">
        <f>D124+K124+L124+M124+N124+O124+P124+Q124+R124+S124+T124</f>
        <v>135276.94</v>
      </c>
      <c r="D124" s="215">
        <f>SUM(E124:I124)</f>
        <v>0</v>
      </c>
      <c r="E124" s="92">
        <v>0</v>
      </c>
      <c r="F124" s="158">
        <v>0</v>
      </c>
      <c r="G124" s="79">
        <v>0</v>
      </c>
      <c r="H124" s="92">
        <v>0</v>
      </c>
      <c r="I124" s="92">
        <v>0</v>
      </c>
      <c r="J124" s="345">
        <v>0</v>
      </c>
      <c r="K124" s="79">
        <v>0</v>
      </c>
      <c r="L124" s="92">
        <v>0</v>
      </c>
      <c r="M124" s="158">
        <v>0</v>
      </c>
      <c r="N124" s="79">
        <v>0</v>
      </c>
      <c r="O124" s="158">
        <v>0</v>
      </c>
      <c r="P124" s="92">
        <v>135276.94</v>
      </c>
      <c r="Q124" s="158">
        <v>0</v>
      </c>
      <c r="R124" s="79">
        <v>0</v>
      </c>
      <c r="S124" s="158">
        <v>0</v>
      </c>
      <c r="T124" s="79">
        <v>0</v>
      </c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</row>
    <row r="125" s="350" customFormat="1" ht="24" customHeight="1">
      <c r="A125" s="33">
        <v>114</v>
      </c>
      <c r="B125" s="42" t="s">
        <v>995</v>
      </c>
      <c r="C125" s="215">
        <f>D125+K125+L125+M125+N125+O125+P125+Q125+R125+S125+T125</f>
        <v>8412000.1400000006</v>
      </c>
      <c r="D125" s="215">
        <f>SUM(E125:I125)</f>
        <v>0</v>
      </c>
      <c r="E125" s="92">
        <v>0</v>
      </c>
      <c r="F125" s="79">
        <v>0</v>
      </c>
      <c r="G125" s="79">
        <v>0</v>
      </c>
      <c r="H125" s="92">
        <v>0</v>
      </c>
      <c r="I125" s="92">
        <v>0</v>
      </c>
      <c r="J125" s="398">
        <v>0</v>
      </c>
      <c r="K125" s="79">
        <v>0</v>
      </c>
      <c r="L125" s="92">
        <v>8224301.7300000004</v>
      </c>
      <c r="M125" s="79">
        <v>0</v>
      </c>
      <c r="N125" s="79">
        <v>0</v>
      </c>
      <c r="O125" s="79">
        <v>0</v>
      </c>
      <c r="P125" s="92">
        <v>187698.41</v>
      </c>
      <c r="Q125" s="79">
        <v>0</v>
      </c>
      <c r="R125" s="79">
        <v>0</v>
      </c>
      <c r="S125" s="79">
        <v>0</v>
      </c>
      <c r="T125" s="79">
        <v>0</v>
      </c>
      <c r="U125" s="350"/>
      <c r="V125" s="350"/>
      <c r="W125" s="350"/>
      <c r="X125" s="350"/>
      <c r="Y125" s="350"/>
      <c r="Z125" s="350"/>
      <c r="AA125" s="350"/>
      <c r="AB125" s="350"/>
      <c r="AC125" s="350"/>
      <c r="AD125" s="350"/>
      <c r="AE125" s="350"/>
    </row>
    <row r="126" s="350" customFormat="1" ht="24" customHeight="1">
      <c r="A126" s="122">
        <v>115</v>
      </c>
      <c r="B126" s="42" t="s">
        <v>996</v>
      </c>
      <c r="C126" s="215">
        <f>D126+K126+L126+M126+N126+O126+P126+Q126+R126+S126+T126</f>
        <v>9240034.6799999997</v>
      </c>
      <c r="D126" s="215">
        <f>SUM(E126:I126)</f>
        <v>0</v>
      </c>
      <c r="E126" s="92">
        <v>0</v>
      </c>
      <c r="F126" s="79">
        <v>0</v>
      </c>
      <c r="G126" s="79">
        <v>0</v>
      </c>
      <c r="H126" s="92">
        <v>0</v>
      </c>
      <c r="I126" s="92">
        <v>0</v>
      </c>
      <c r="J126" s="398">
        <v>0</v>
      </c>
      <c r="K126" s="79">
        <v>0</v>
      </c>
      <c r="L126" s="92">
        <v>8968243.6899999995</v>
      </c>
      <c r="M126" s="79">
        <v>0</v>
      </c>
      <c r="N126" s="79">
        <v>0</v>
      </c>
      <c r="O126" s="79">
        <v>0</v>
      </c>
      <c r="P126" s="92">
        <v>271790.98999999999</v>
      </c>
      <c r="Q126" s="79">
        <v>0</v>
      </c>
      <c r="R126" s="79">
        <v>0</v>
      </c>
      <c r="S126" s="79">
        <v>0</v>
      </c>
      <c r="T126" s="79">
        <v>0</v>
      </c>
      <c r="U126" s="350"/>
      <c r="V126" s="350"/>
      <c r="W126" s="350"/>
      <c r="X126" s="350"/>
      <c r="Y126" s="350"/>
      <c r="Z126" s="350"/>
      <c r="AA126" s="350"/>
      <c r="AB126" s="350"/>
      <c r="AC126" s="350"/>
      <c r="AD126" s="350"/>
      <c r="AE126" s="350"/>
    </row>
    <row r="127" s="350" customFormat="1" ht="24" customHeight="1">
      <c r="A127" s="33">
        <v>116</v>
      </c>
      <c r="B127" s="42" t="s">
        <v>202</v>
      </c>
      <c r="C127" s="215">
        <f>D127+K127+L127+M127+N127+O127+P127+Q127+R127+S127+T127</f>
        <v>9536674.4700000007</v>
      </c>
      <c r="D127" s="215">
        <f>SUM(E127:I127)</f>
        <v>0</v>
      </c>
      <c r="E127" s="92">
        <v>0</v>
      </c>
      <c r="F127" s="79">
        <v>0</v>
      </c>
      <c r="G127" s="79">
        <v>0</v>
      </c>
      <c r="H127" s="92">
        <v>0</v>
      </c>
      <c r="I127" s="92">
        <v>0</v>
      </c>
      <c r="J127" s="398">
        <v>0</v>
      </c>
      <c r="K127" s="79">
        <v>0</v>
      </c>
      <c r="L127" s="92">
        <v>0</v>
      </c>
      <c r="M127" s="79">
        <v>0</v>
      </c>
      <c r="N127" s="79">
        <v>0</v>
      </c>
      <c r="O127" s="79">
        <v>0</v>
      </c>
      <c r="P127" s="92">
        <v>0</v>
      </c>
      <c r="Q127" s="79">
        <v>0</v>
      </c>
      <c r="R127" s="79">
        <v>0</v>
      </c>
      <c r="S127" s="79">
        <v>9536674.4700000007</v>
      </c>
      <c r="T127" s="79">
        <v>0</v>
      </c>
      <c r="U127" s="350"/>
      <c r="V127" s="350"/>
      <c r="W127" s="350"/>
      <c r="X127" s="350"/>
      <c r="Y127" s="350"/>
      <c r="Z127" s="350"/>
      <c r="AA127" s="350"/>
      <c r="AB127" s="350"/>
      <c r="AC127" s="350"/>
      <c r="AD127" s="350"/>
      <c r="AE127" s="350"/>
    </row>
    <row r="128" s="350" customFormat="1" ht="24" customHeight="1">
      <c r="A128" s="122">
        <v>117</v>
      </c>
      <c r="B128" s="42" t="s">
        <v>204</v>
      </c>
      <c r="C128" s="215">
        <f>D128+K128+L128+M128+N128+O128+P128+Q128+R128+S128+T128</f>
        <v>1598815.3200000001</v>
      </c>
      <c r="D128" s="215">
        <f>SUM(E128:I128)</f>
        <v>1598815.3200000001</v>
      </c>
      <c r="E128" s="92">
        <v>0</v>
      </c>
      <c r="F128" s="158">
        <v>0</v>
      </c>
      <c r="G128" s="79">
        <v>1598815.3200000001</v>
      </c>
      <c r="H128" s="92">
        <v>0</v>
      </c>
      <c r="I128" s="92">
        <v>0</v>
      </c>
      <c r="J128" s="345">
        <v>0</v>
      </c>
      <c r="K128" s="79">
        <v>0</v>
      </c>
      <c r="L128" s="92">
        <v>0</v>
      </c>
      <c r="M128" s="158">
        <v>0</v>
      </c>
      <c r="N128" s="79">
        <v>0</v>
      </c>
      <c r="O128" s="158">
        <v>0</v>
      </c>
      <c r="P128" s="92">
        <v>0</v>
      </c>
      <c r="Q128" s="158">
        <v>0</v>
      </c>
      <c r="R128" s="79">
        <v>0</v>
      </c>
      <c r="S128" s="158">
        <v>0</v>
      </c>
      <c r="T128" s="79">
        <v>0</v>
      </c>
      <c r="U128" s="399"/>
      <c r="V128" s="399"/>
      <c r="W128" s="399"/>
      <c r="X128" s="399"/>
      <c r="Y128" s="399"/>
      <c r="Z128" s="399"/>
      <c r="AA128" s="399"/>
      <c r="AB128" s="399"/>
      <c r="AC128" s="399"/>
      <c r="AD128" s="399"/>
      <c r="AE128" s="399"/>
    </row>
    <row r="129" s="350" customFormat="1" ht="24" customHeight="1">
      <c r="A129" s="33">
        <v>118</v>
      </c>
      <c r="B129" s="42" t="s">
        <v>997</v>
      </c>
      <c r="C129" s="215">
        <f>D129+K129+L129+M129+N129+O129+P129+Q129+R129+S129+T129</f>
        <v>3473605.5100000002</v>
      </c>
      <c r="D129" s="215">
        <f>SUM(E129:I129)</f>
        <v>3196083.9100000001</v>
      </c>
      <c r="E129" s="92">
        <v>3196083.9100000001</v>
      </c>
      <c r="F129" s="79">
        <v>0</v>
      </c>
      <c r="G129" s="79">
        <v>0</v>
      </c>
      <c r="H129" s="92">
        <v>0</v>
      </c>
      <c r="I129" s="92">
        <v>0</v>
      </c>
      <c r="J129" s="398">
        <v>0</v>
      </c>
      <c r="K129" s="79">
        <v>0</v>
      </c>
      <c r="L129" s="92">
        <v>0</v>
      </c>
      <c r="M129" s="79">
        <v>0</v>
      </c>
      <c r="N129" s="79">
        <v>0</v>
      </c>
      <c r="O129" s="79">
        <v>0</v>
      </c>
      <c r="P129" s="92">
        <v>277521.59999999998</v>
      </c>
      <c r="Q129" s="79">
        <v>0</v>
      </c>
      <c r="R129" s="79">
        <v>0</v>
      </c>
      <c r="S129" s="79">
        <v>0</v>
      </c>
      <c r="T129" s="79">
        <v>0</v>
      </c>
      <c r="U129" s="350"/>
      <c r="V129" s="350"/>
      <c r="W129" s="350"/>
      <c r="X129" s="350"/>
      <c r="Y129" s="350"/>
      <c r="Z129" s="350"/>
      <c r="AA129" s="350"/>
      <c r="AB129" s="350"/>
      <c r="AC129" s="350"/>
      <c r="AD129" s="350"/>
      <c r="AE129" s="350"/>
    </row>
    <row r="130" s="350" customFormat="1" ht="24" customHeight="1">
      <c r="A130" s="122">
        <v>119</v>
      </c>
      <c r="B130" s="42" t="s">
        <v>998</v>
      </c>
      <c r="C130" s="215">
        <f>D130+K130+L130+M130+N130+O130+P130+Q130+R130+S130+T130</f>
        <v>275400.20000000001</v>
      </c>
      <c r="D130" s="215">
        <f>SUM(E130:I130)</f>
        <v>0</v>
      </c>
      <c r="E130" s="92">
        <v>0</v>
      </c>
      <c r="F130" s="158">
        <v>0</v>
      </c>
      <c r="G130" s="79">
        <v>0</v>
      </c>
      <c r="H130" s="92">
        <v>0</v>
      </c>
      <c r="I130" s="158">
        <v>0</v>
      </c>
      <c r="J130" s="398">
        <v>0</v>
      </c>
      <c r="K130" s="158">
        <v>0</v>
      </c>
      <c r="L130" s="92">
        <v>0</v>
      </c>
      <c r="M130" s="158">
        <v>0</v>
      </c>
      <c r="N130" s="79">
        <v>0</v>
      </c>
      <c r="O130" s="158">
        <v>0</v>
      </c>
      <c r="P130" s="92">
        <v>275400.20000000001</v>
      </c>
      <c r="Q130" s="158">
        <v>0</v>
      </c>
      <c r="R130" s="79">
        <v>0</v>
      </c>
      <c r="S130" s="158">
        <v>0</v>
      </c>
      <c r="T130" s="79">
        <v>0</v>
      </c>
      <c r="U130" s="350"/>
      <c r="V130" s="350"/>
      <c r="W130" s="350"/>
      <c r="X130" s="350"/>
      <c r="Y130" s="350"/>
      <c r="Z130" s="350"/>
      <c r="AA130" s="350"/>
      <c r="AB130" s="350"/>
      <c r="AC130" s="350"/>
      <c r="AD130" s="350"/>
      <c r="AE130" s="350"/>
    </row>
    <row r="131" s="350" customFormat="1" ht="24" customHeight="1">
      <c r="A131" s="33">
        <v>120</v>
      </c>
      <c r="B131" s="42" t="s">
        <v>999</v>
      </c>
      <c r="C131" s="215">
        <f>D131+K131+L131+M131+N131+O131+P131+Q131+R131+S131+T131</f>
        <v>15913259.58</v>
      </c>
      <c r="D131" s="215">
        <f>SUM(E131:I131)</f>
        <v>5842342.6699999999</v>
      </c>
      <c r="E131" s="92">
        <v>0</v>
      </c>
      <c r="F131" s="92">
        <v>5385992.2699999996</v>
      </c>
      <c r="G131" s="92">
        <v>0</v>
      </c>
      <c r="H131" s="92">
        <v>456350.40000000002</v>
      </c>
      <c r="I131" s="92">
        <v>0</v>
      </c>
      <c r="J131" s="398">
        <v>0</v>
      </c>
      <c r="K131" s="79">
        <v>0</v>
      </c>
      <c r="L131" s="92">
        <v>9541608.6099999994</v>
      </c>
      <c r="M131" s="79">
        <v>0</v>
      </c>
      <c r="N131" s="79">
        <v>0</v>
      </c>
      <c r="O131" s="79">
        <v>0</v>
      </c>
      <c r="P131" s="92">
        <v>529308.30000000005</v>
      </c>
      <c r="Q131" s="79">
        <v>0</v>
      </c>
      <c r="R131" s="79">
        <v>0</v>
      </c>
      <c r="S131" s="79">
        <v>0</v>
      </c>
      <c r="T131" s="79">
        <v>0</v>
      </c>
      <c r="U131" s="350"/>
      <c r="V131" s="350"/>
      <c r="W131" s="350"/>
      <c r="X131" s="350"/>
      <c r="Y131" s="350"/>
      <c r="Z131" s="350"/>
      <c r="AA131" s="350"/>
      <c r="AB131" s="350"/>
      <c r="AC131" s="350"/>
      <c r="AD131" s="350"/>
      <c r="AE131" s="350"/>
    </row>
    <row r="132" s="350" customFormat="1" ht="24" customHeight="1">
      <c r="A132" s="122">
        <v>121</v>
      </c>
      <c r="B132" s="42" t="s">
        <v>1000</v>
      </c>
      <c r="C132" s="215">
        <f>D132+K132+L132+M132+N132+O132+P132+Q132+R132+S132+T132</f>
        <v>541588.65000000002</v>
      </c>
      <c r="D132" s="215">
        <f>SUM(E132:I132)</f>
        <v>0</v>
      </c>
      <c r="E132" s="92">
        <v>0</v>
      </c>
      <c r="F132" s="92">
        <v>0</v>
      </c>
      <c r="G132" s="92">
        <v>0</v>
      </c>
      <c r="H132" s="92">
        <v>0</v>
      </c>
      <c r="I132" s="92">
        <v>0</v>
      </c>
      <c r="J132" s="398">
        <v>0</v>
      </c>
      <c r="K132" s="79">
        <v>0</v>
      </c>
      <c r="L132" s="79">
        <v>0</v>
      </c>
      <c r="M132" s="79">
        <v>0</v>
      </c>
      <c r="N132" s="92">
        <v>0</v>
      </c>
      <c r="O132" s="79">
        <v>0</v>
      </c>
      <c r="P132" s="92">
        <f>262744.15+278844.5</f>
        <v>541588.65000000002</v>
      </c>
      <c r="Q132" s="79">
        <v>0</v>
      </c>
      <c r="R132" s="79">
        <v>0</v>
      </c>
      <c r="S132" s="79">
        <v>0</v>
      </c>
      <c r="T132" s="79">
        <v>0</v>
      </c>
      <c r="U132" s="350"/>
      <c r="V132" s="350"/>
      <c r="W132" s="350"/>
      <c r="X132" s="350"/>
      <c r="Y132" s="350"/>
      <c r="Z132" s="350"/>
      <c r="AA132" s="350"/>
      <c r="AB132" s="350"/>
      <c r="AC132" s="350"/>
      <c r="AD132" s="350"/>
      <c r="AE132" s="350"/>
    </row>
    <row r="133" s="350" customFormat="1" ht="24" customHeight="1">
      <c r="A133" s="33">
        <v>122</v>
      </c>
      <c r="B133" s="42" t="s">
        <v>1001</v>
      </c>
      <c r="C133" s="215">
        <f>D133+K133+L133+M133+N133+O133+P133+Q133+R133+S133+T133</f>
        <v>117955.60000000001</v>
      </c>
      <c r="D133" s="215">
        <f>SUM(E133:I133)</f>
        <v>0</v>
      </c>
      <c r="E133" s="92">
        <v>0</v>
      </c>
      <c r="F133" s="79">
        <v>0</v>
      </c>
      <c r="G133" s="92">
        <v>0</v>
      </c>
      <c r="H133" s="92">
        <v>0</v>
      </c>
      <c r="I133" s="92">
        <v>0</v>
      </c>
      <c r="J133" s="398">
        <v>0</v>
      </c>
      <c r="K133" s="79">
        <v>0</v>
      </c>
      <c r="L133" s="79">
        <v>0</v>
      </c>
      <c r="M133" s="79">
        <v>0</v>
      </c>
      <c r="N133" s="79">
        <v>0</v>
      </c>
      <c r="O133" s="79">
        <v>0</v>
      </c>
      <c r="P133" s="92">
        <v>117955.60000000001</v>
      </c>
      <c r="Q133" s="79">
        <v>0</v>
      </c>
      <c r="R133" s="79">
        <v>0</v>
      </c>
      <c r="S133" s="79">
        <v>0</v>
      </c>
      <c r="T133" s="79">
        <v>0</v>
      </c>
      <c r="U133" s="350"/>
      <c r="V133" s="350"/>
      <c r="W133" s="350"/>
      <c r="X133" s="350"/>
      <c r="Y133" s="350"/>
      <c r="Z133" s="350"/>
      <c r="AA133" s="350"/>
      <c r="AB133" s="350"/>
      <c r="AC133" s="350"/>
      <c r="AD133" s="350"/>
      <c r="AE133" s="350"/>
    </row>
    <row r="134" s="350" customFormat="1" ht="24" customHeight="1">
      <c r="A134" s="122">
        <v>123</v>
      </c>
      <c r="B134" s="42" t="s">
        <v>1002</v>
      </c>
      <c r="C134" s="215">
        <f>D134+K134+L134+M134+N134+O134+P134+Q134+R134+S134+T134</f>
        <v>9352855.7899999991</v>
      </c>
      <c r="D134" s="215">
        <f>SUM(E134:I134)</f>
        <v>0</v>
      </c>
      <c r="E134" s="92">
        <v>0</v>
      </c>
      <c r="F134" s="79">
        <v>0</v>
      </c>
      <c r="G134" s="79">
        <v>0</v>
      </c>
      <c r="H134" s="92">
        <v>0</v>
      </c>
      <c r="I134" s="92">
        <v>0</v>
      </c>
      <c r="J134" s="398">
        <v>0</v>
      </c>
      <c r="K134" s="79">
        <v>0</v>
      </c>
      <c r="L134" s="92">
        <v>9155428.8399999999</v>
      </c>
      <c r="M134" s="79">
        <v>0</v>
      </c>
      <c r="N134" s="79">
        <v>0</v>
      </c>
      <c r="O134" s="79">
        <v>0</v>
      </c>
      <c r="P134" s="92">
        <v>197426.95000000001</v>
      </c>
      <c r="Q134" s="79">
        <v>0</v>
      </c>
      <c r="R134" s="79">
        <v>0</v>
      </c>
      <c r="S134" s="79">
        <v>0</v>
      </c>
      <c r="T134" s="79">
        <v>0</v>
      </c>
      <c r="U134" s="350"/>
      <c r="V134" s="350"/>
      <c r="W134" s="350"/>
      <c r="X134" s="350"/>
      <c r="Y134" s="350"/>
      <c r="Z134" s="350"/>
      <c r="AA134" s="350"/>
      <c r="AB134" s="350"/>
      <c r="AC134" s="350"/>
      <c r="AD134" s="350"/>
      <c r="AE134" s="350"/>
    </row>
    <row r="135" s="350" customFormat="1" ht="24" customHeight="1">
      <c r="A135" s="33">
        <v>124</v>
      </c>
      <c r="B135" s="42" t="s">
        <v>1003</v>
      </c>
      <c r="C135" s="215">
        <f>D135+K135+L135+M135+N135+O135+P135+Q135+R135+S135+T135</f>
        <v>11312793.350000001</v>
      </c>
      <c r="D135" s="215">
        <f>SUM(E135:I135)</f>
        <v>11013824.600000001</v>
      </c>
      <c r="E135" s="92">
        <v>3862969.2000000002</v>
      </c>
      <c r="F135" s="92">
        <v>7150855.4000000004</v>
      </c>
      <c r="G135" s="79">
        <v>0</v>
      </c>
      <c r="H135" s="92">
        <v>0</v>
      </c>
      <c r="I135" s="92">
        <v>0</v>
      </c>
      <c r="J135" s="398">
        <v>0</v>
      </c>
      <c r="K135" s="79">
        <v>0</v>
      </c>
      <c r="L135" s="92">
        <v>0</v>
      </c>
      <c r="M135" s="79">
        <v>0</v>
      </c>
      <c r="N135" s="79">
        <v>0</v>
      </c>
      <c r="O135" s="79">
        <v>0</v>
      </c>
      <c r="P135" s="92">
        <v>298968.75</v>
      </c>
      <c r="Q135" s="79">
        <v>0</v>
      </c>
      <c r="R135" s="79">
        <v>0</v>
      </c>
      <c r="S135" s="79">
        <v>0</v>
      </c>
      <c r="T135" s="79">
        <v>0</v>
      </c>
      <c r="U135" s="350"/>
      <c r="V135" s="350"/>
      <c r="W135" s="350"/>
      <c r="X135" s="350"/>
      <c r="Y135" s="350"/>
      <c r="Z135" s="350"/>
      <c r="AA135" s="350"/>
      <c r="AB135" s="350"/>
      <c r="AC135" s="350"/>
      <c r="AD135" s="350"/>
      <c r="AE135" s="350"/>
    </row>
    <row r="136" s="350" customFormat="1" ht="24" customHeight="1">
      <c r="A136" s="122">
        <v>125</v>
      </c>
      <c r="B136" s="42" t="s">
        <v>1004</v>
      </c>
      <c r="C136" s="215">
        <f>D136+K136+L136+M136+N136+O136+P136+Q136+R136+S136+T136</f>
        <v>514458</v>
      </c>
      <c r="D136" s="215">
        <f>SUM(E136:I136)</f>
        <v>0</v>
      </c>
      <c r="E136" s="92">
        <v>0</v>
      </c>
      <c r="F136" s="158">
        <v>0</v>
      </c>
      <c r="G136" s="79">
        <v>0</v>
      </c>
      <c r="H136" s="92">
        <v>0</v>
      </c>
      <c r="I136" s="158">
        <v>0</v>
      </c>
      <c r="J136" s="398">
        <v>0</v>
      </c>
      <c r="K136" s="158">
        <v>0</v>
      </c>
      <c r="L136" s="92">
        <v>0</v>
      </c>
      <c r="M136" s="158">
        <v>0</v>
      </c>
      <c r="N136" s="92">
        <v>0</v>
      </c>
      <c r="O136" s="158">
        <v>0</v>
      </c>
      <c r="P136" s="79">
        <v>514458</v>
      </c>
      <c r="Q136" s="92">
        <v>0</v>
      </c>
      <c r="R136" s="92">
        <v>0</v>
      </c>
      <c r="S136" s="158">
        <v>0</v>
      </c>
      <c r="T136" s="79">
        <v>0</v>
      </c>
      <c r="U136" s="350"/>
      <c r="V136" s="350"/>
      <c r="W136" s="350"/>
      <c r="X136" s="350"/>
      <c r="Y136" s="350"/>
      <c r="Z136" s="350"/>
      <c r="AA136" s="350"/>
      <c r="AB136" s="350"/>
      <c r="AC136" s="350"/>
      <c r="AD136" s="350"/>
      <c r="AE136" s="350"/>
    </row>
    <row r="137" s="350" customFormat="1" ht="24" customHeight="1">
      <c r="A137" s="33">
        <v>126</v>
      </c>
      <c r="B137" s="42" t="s">
        <v>1005</v>
      </c>
      <c r="C137" s="215">
        <f>D137+K137+L137+M137+N137+O137+P137+Q137+R137+S137+T137</f>
        <v>1028916</v>
      </c>
      <c r="D137" s="215">
        <f>SUM(E137:I137)</f>
        <v>0</v>
      </c>
      <c r="E137" s="92">
        <v>0</v>
      </c>
      <c r="F137" s="79">
        <v>0</v>
      </c>
      <c r="G137" s="158">
        <v>0</v>
      </c>
      <c r="H137" s="92">
        <v>0</v>
      </c>
      <c r="I137" s="79">
        <v>0</v>
      </c>
      <c r="J137" s="398">
        <v>0</v>
      </c>
      <c r="K137" s="79">
        <v>0</v>
      </c>
      <c r="L137" s="92">
        <v>0</v>
      </c>
      <c r="M137" s="79">
        <v>0</v>
      </c>
      <c r="N137" s="92">
        <v>0</v>
      </c>
      <c r="O137" s="79">
        <v>0</v>
      </c>
      <c r="P137" s="158">
        <f>514458+514458</f>
        <v>1028916</v>
      </c>
      <c r="Q137" s="92">
        <v>0</v>
      </c>
      <c r="R137" s="92">
        <v>0</v>
      </c>
      <c r="S137" s="79">
        <v>0</v>
      </c>
      <c r="T137" s="79">
        <v>0</v>
      </c>
      <c r="U137" s="350"/>
      <c r="V137" s="350"/>
      <c r="W137" s="350"/>
      <c r="X137" s="350"/>
      <c r="Y137" s="350"/>
      <c r="Z137" s="350"/>
      <c r="AA137" s="350"/>
      <c r="AB137" s="350"/>
      <c r="AC137" s="350"/>
      <c r="AD137" s="350"/>
      <c r="AE137" s="350"/>
    </row>
    <row r="138" s="350" customFormat="1" ht="24" customHeight="1">
      <c r="A138" s="122">
        <v>127</v>
      </c>
      <c r="B138" s="42" t="s">
        <v>1006</v>
      </c>
      <c r="C138" s="215">
        <f>D138+K138+L138+M138+N138+O138+P138+Q138+R138+S138+T138</f>
        <v>1008050.04</v>
      </c>
      <c r="D138" s="215">
        <f>SUM(E138:I138)</f>
        <v>0</v>
      </c>
      <c r="E138" s="92">
        <v>0</v>
      </c>
      <c r="F138" s="79">
        <v>0</v>
      </c>
      <c r="G138" s="79">
        <v>0</v>
      </c>
      <c r="H138" s="92">
        <v>0</v>
      </c>
      <c r="I138" s="79">
        <v>0</v>
      </c>
      <c r="J138" s="398">
        <v>0</v>
      </c>
      <c r="K138" s="79">
        <v>0</v>
      </c>
      <c r="L138" s="92">
        <v>0</v>
      </c>
      <c r="M138" s="79">
        <v>0</v>
      </c>
      <c r="N138" s="92">
        <v>0</v>
      </c>
      <c r="O138" s="79">
        <v>0</v>
      </c>
      <c r="P138" s="79">
        <f>509294.54+498755.5</f>
        <v>1008050.04</v>
      </c>
      <c r="Q138" s="92">
        <v>0</v>
      </c>
      <c r="R138" s="92">
        <v>0</v>
      </c>
      <c r="S138" s="79">
        <v>0</v>
      </c>
      <c r="T138" s="79">
        <v>0</v>
      </c>
      <c r="U138" s="350"/>
      <c r="V138" s="350"/>
      <c r="W138" s="350"/>
      <c r="X138" s="350"/>
      <c r="Y138" s="350"/>
      <c r="Z138" s="350"/>
      <c r="AA138" s="350"/>
      <c r="AB138" s="350"/>
      <c r="AC138" s="350"/>
      <c r="AD138" s="350"/>
      <c r="AE138" s="350"/>
    </row>
    <row r="139" s="350" customFormat="1" ht="24" customHeight="1">
      <c r="A139" s="33">
        <v>128</v>
      </c>
      <c r="B139" s="42" t="s">
        <v>1007</v>
      </c>
      <c r="C139" s="215">
        <f>D139+K139+L139+M139+N139+O139+P139+Q139+R139+S139+T139</f>
        <v>1018685.6899999999</v>
      </c>
      <c r="D139" s="215">
        <f>SUM(E139:I139)</f>
        <v>0</v>
      </c>
      <c r="E139" s="92">
        <v>0</v>
      </c>
      <c r="F139" s="79">
        <v>0</v>
      </c>
      <c r="G139" s="79">
        <v>0</v>
      </c>
      <c r="H139" s="92">
        <v>0</v>
      </c>
      <c r="I139" s="79">
        <v>0</v>
      </c>
      <c r="J139" s="398">
        <v>0</v>
      </c>
      <c r="K139" s="79">
        <v>0</v>
      </c>
      <c r="L139" s="92">
        <v>0</v>
      </c>
      <c r="M139" s="79">
        <v>0</v>
      </c>
      <c r="N139" s="92">
        <v>0</v>
      </c>
      <c r="O139" s="79">
        <v>0</v>
      </c>
      <c r="P139" s="79">
        <f>504227.69+514458</f>
        <v>1018685.6899999999</v>
      </c>
      <c r="Q139" s="92">
        <v>0</v>
      </c>
      <c r="R139" s="92">
        <v>0</v>
      </c>
      <c r="S139" s="79">
        <v>0</v>
      </c>
      <c r="T139" s="79">
        <v>0</v>
      </c>
      <c r="U139" s="350"/>
      <c r="V139" s="350"/>
      <c r="W139" s="350"/>
      <c r="X139" s="350"/>
      <c r="Y139" s="350"/>
      <c r="Z139" s="350"/>
      <c r="AA139" s="350"/>
      <c r="AB139" s="350"/>
      <c r="AC139" s="350"/>
      <c r="AD139" s="350"/>
      <c r="AE139" s="350"/>
    </row>
    <row r="140" s="350" customFormat="1" ht="24" customHeight="1">
      <c r="A140" s="122">
        <v>129</v>
      </c>
      <c r="B140" s="42" t="s">
        <v>222</v>
      </c>
      <c r="C140" s="215">
        <f>D140+K140+L140+M140+N140+O140+P140+Q140+R140+S140+T140</f>
        <v>1310089.47</v>
      </c>
      <c r="D140" s="215">
        <f>SUM(E140:I140)</f>
        <v>1310089.47</v>
      </c>
      <c r="E140" s="92">
        <v>1310089.47</v>
      </c>
      <c r="F140" s="79">
        <v>0</v>
      </c>
      <c r="G140" s="79">
        <v>0</v>
      </c>
      <c r="H140" s="92">
        <v>0</v>
      </c>
      <c r="I140" s="79">
        <v>0</v>
      </c>
      <c r="J140" s="398">
        <v>0</v>
      </c>
      <c r="K140" s="79">
        <v>0</v>
      </c>
      <c r="L140" s="79">
        <v>0</v>
      </c>
      <c r="M140" s="79">
        <v>0</v>
      </c>
      <c r="N140" s="79">
        <v>0</v>
      </c>
      <c r="O140" s="79">
        <v>0</v>
      </c>
      <c r="P140" s="79">
        <v>0</v>
      </c>
      <c r="Q140" s="79">
        <v>0</v>
      </c>
      <c r="R140" s="79">
        <v>0</v>
      </c>
      <c r="S140" s="79">
        <v>0</v>
      </c>
      <c r="T140" s="79">
        <v>0</v>
      </c>
      <c r="U140" s="350"/>
      <c r="V140" s="350"/>
      <c r="W140" s="350"/>
      <c r="X140" s="350"/>
      <c r="Y140" s="350"/>
      <c r="Z140" s="350"/>
      <c r="AA140" s="350"/>
      <c r="AB140" s="350"/>
      <c r="AC140" s="350"/>
      <c r="AD140" s="350"/>
      <c r="AE140" s="350"/>
    </row>
    <row r="141" s="350" customFormat="1" ht="24" customHeight="1">
      <c r="A141" s="33">
        <v>130</v>
      </c>
      <c r="B141" s="42" t="s">
        <v>223</v>
      </c>
      <c r="C141" s="215">
        <f>D141+K141+L141+M141+N141+O141+P141+Q141+R141+S141+T141</f>
        <v>15549197.84</v>
      </c>
      <c r="D141" s="215">
        <f>SUM(E141:I141)</f>
        <v>0</v>
      </c>
      <c r="E141" s="92">
        <v>0</v>
      </c>
      <c r="F141" s="79">
        <v>0</v>
      </c>
      <c r="G141" s="79">
        <v>0</v>
      </c>
      <c r="H141" s="92">
        <v>0</v>
      </c>
      <c r="I141" s="79">
        <v>0</v>
      </c>
      <c r="J141" s="398">
        <v>0</v>
      </c>
      <c r="K141" s="79">
        <v>0</v>
      </c>
      <c r="L141" s="92">
        <v>8642848.9800000004</v>
      </c>
      <c r="M141" s="79">
        <v>0</v>
      </c>
      <c r="N141" s="92">
        <v>6906348.8600000003</v>
      </c>
      <c r="O141" s="79">
        <v>0</v>
      </c>
      <c r="P141" s="79">
        <v>0</v>
      </c>
      <c r="Q141" s="79">
        <v>0</v>
      </c>
      <c r="R141" s="79">
        <v>0</v>
      </c>
      <c r="S141" s="79">
        <v>0</v>
      </c>
      <c r="T141" s="79">
        <v>0</v>
      </c>
      <c r="U141" s="350"/>
      <c r="V141" s="350"/>
      <c r="W141" s="350"/>
      <c r="X141" s="350"/>
      <c r="Y141" s="350"/>
      <c r="Z141" s="350"/>
      <c r="AA141" s="350"/>
      <c r="AB141" s="350"/>
      <c r="AC141" s="350"/>
      <c r="AD141" s="350"/>
      <c r="AE141" s="350"/>
    </row>
    <row r="142" s="350" customFormat="1" ht="24" customHeight="1">
      <c r="A142" s="122">
        <v>131</v>
      </c>
      <c r="B142" s="42" t="s">
        <v>1008</v>
      </c>
      <c r="C142" s="215">
        <f>D142+K142+L142+M142+N142+O142+P142+Q142+R142+S142+T142</f>
        <v>140930.76999999999</v>
      </c>
      <c r="D142" s="215">
        <f>SUM(E142:I142)</f>
        <v>0</v>
      </c>
      <c r="E142" s="92">
        <v>0</v>
      </c>
      <c r="F142" s="92">
        <v>0</v>
      </c>
      <c r="G142" s="92">
        <v>0</v>
      </c>
      <c r="H142" s="92">
        <v>0</v>
      </c>
      <c r="I142" s="92">
        <v>0</v>
      </c>
      <c r="J142" s="398">
        <v>0</v>
      </c>
      <c r="K142" s="79">
        <v>0</v>
      </c>
      <c r="L142" s="79">
        <v>0</v>
      </c>
      <c r="M142" s="79">
        <v>0</v>
      </c>
      <c r="N142" s="79">
        <v>0</v>
      </c>
      <c r="O142" s="79">
        <v>0</v>
      </c>
      <c r="P142" s="92">
        <f>110004+30926.77</f>
        <v>140930.76999999999</v>
      </c>
      <c r="Q142" s="79">
        <v>0</v>
      </c>
      <c r="R142" s="79">
        <v>0</v>
      </c>
      <c r="S142" s="79">
        <v>0</v>
      </c>
      <c r="T142" s="79">
        <v>0</v>
      </c>
      <c r="U142" s="350"/>
      <c r="V142" s="350"/>
      <c r="W142" s="350"/>
      <c r="X142" s="350"/>
      <c r="Y142" s="350"/>
      <c r="Z142" s="350"/>
      <c r="AA142" s="350"/>
      <c r="AB142" s="350"/>
      <c r="AC142" s="350"/>
      <c r="AD142" s="350"/>
      <c r="AE142" s="350"/>
      <c r="AF142" s="350"/>
      <c r="AG142" s="350"/>
      <c r="AH142" s="350"/>
      <c r="AI142" s="350"/>
      <c r="AJ142" s="350"/>
      <c r="AK142" s="350"/>
    </row>
    <row r="143" s="350" customFormat="1" ht="24" customHeight="1">
      <c r="A143" s="33">
        <v>132</v>
      </c>
      <c r="B143" s="42" t="s">
        <v>226</v>
      </c>
      <c r="C143" s="215">
        <f>D143+K143+L143+M143+N143+O143+P143+Q143+R143+S143+T143</f>
        <v>8178061.9699999997</v>
      </c>
      <c r="D143" s="215">
        <f>SUM(E143:I143)</f>
        <v>0</v>
      </c>
      <c r="E143" s="92">
        <v>0</v>
      </c>
      <c r="F143" s="79">
        <v>0</v>
      </c>
      <c r="G143" s="79">
        <v>0</v>
      </c>
      <c r="H143" s="92">
        <v>0</v>
      </c>
      <c r="I143" s="79">
        <v>0</v>
      </c>
      <c r="J143" s="398">
        <v>0</v>
      </c>
      <c r="K143" s="79">
        <v>0</v>
      </c>
      <c r="L143" s="79">
        <v>0</v>
      </c>
      <c r="M143" s="79">
        <v>0</v>
      </c>
      <c r="N143" s="92">
        <v>8178061.9699999997</v>
      </c>
      <c r="O143" s="79">
        <v>0</v>
      </c>
      <c r="P143" s="79">
        <v>0</v>
      </c>
      <c r="Q143" s="79">
        <v>0</v>
      </c>
      <c r="R143" s="79">
        <v>0</v>
      </c>
      <c r="S143" s="79">
        <v>0</v>
      </c>
      <c r="T143" s="79">
        <v>0</v>
      </c>
      <c r="U143" s="350"/>
      <c r="V143" s="350"/>
      <c r="W143" s="350"/>
      <c r="X143" s="350"/>
      <c r="Y143" s="350"/>
      <c r="Z143" s="350"/>
      <c r="AA143" s="350"/>
      <c r="AB143" s="350"/>
      <c r="AC143" s="350"/>
      <c r="AD143" s="350"/>
      <c r="AE143" s="350"/>
    </row>
    <row r="144" s="350" customFormat="1" ht="24" customHeight="1">
      <c r="A144" s="122">
        <v>133</v>
      </c>
      <c r="B144" s="42" t="s">
        <v>229</v>
      </c>
      <c r="C144" s="215">
        <f>D144+K144+L144+M144+N144+O144+P144+Q144+R144+S144+T144</f>
        <v>5887256.4100000001</v>
      </c>
      <c r="D144" s="215">
        <f>SUM(E144:I144)</f>
        <v>0</v>
      </c>
      <c r="E144" s="92">
        <v>0</v>
      </c>
      <c r="F144" s="79">
        <v>0</v>
      </c>
      <c r="G144" s="79">
        <v>0</v>
      </c>
      <c r="H144" s="92">
        <v>0</v>
      </c>
      <c r="I144" s="79">
        <v>0</v>
      </c>
      <c r="J144" s="398">
        <v>0</v>
      </c>
      <c r="K144" s="79">
        <v>0</v>
      </c>
      <c r="L144" s="92">
        <v>0</v>
      </c>
      <c r="M144" s="79">
        <v>0</v>
      </c>
      <c r="N144" s="92">
        <v>5887256.4100000001</v>
      </c>
      <c r="O144" s="79">
        <v>0</v>
      </c>
      <c r="P144" s="79">
        <v>0</v>
      </c>
      <c r="Q144" s="79">
        <v>0</v>
      </c>
      <c r="R144" s="79">
        <v>0</v>
      </c>
      <c r="S144" s="79">
        <v>0</v>
      </c>
      <c r="T144" s="79">
        <v>0</v>
      </c>
      <c r="U144" s="350"/>
      <c r="V144" s="350"/>
      <c r="W144" s="350"/>
      <c r="X144" s="350"/>
      <c r="Y144" s="350"/>
      <c r="Z144" s="350"/>
      <c r="AA144" s="350"/>
      <c r="AB144" s="350"/>
      <c r="AC144" s="350"/>
      <c r="AD144" s="350"/>
      <c r="AE144" s="350"/>
    </row>
    <row r="145" s="350" customFormat="1" ht="24" customHeight="1">
      <c r="A145" s="33">
        <v>134</v>
      </c>
      <c r="B145" s="55" t="s">
        <v>231</v>
      </c>
      <c r="C145" s="215">
        <f>D145+K145+L145+M145+N145+O145+P145+Q145+R145+S145+T145</f>
        <v>969284.57000000007</v>
      </c>
      <c r="D145" s="215">
        <f>SUM(E145:I145)</f>
        <v>969284.57000000007</v>
      </c>
      <c r="E145" s="404">
        <v>0</v>
      </c>
      <c r="F145" s="404">
        <v>796272.18000000005</v>
      </c>
      <c r="G145" s="404">
        <v>0</v>
      </c>
      <c r="H145" s="404">
        <v>0</v>
      </c>
      <c r="I145" s="92">
        <v>173012.39000000001</v>
      </c>
      <c r="J145" s="405">
        <v>0</v>
      </c>
      <c r="K145" s="404">
        <v>0</v>
      </c>
      <c r="L145" s="404">
        <v>0</v>
      </c>
      <c r="M145" s="404">
        <v>0</v>
      </c>
      <c r="N145" s="404">
        <v>0</v>
      </c>
      <c r="O145" s="404">
        <v>0</v>
      </c>
      <c r="P145" s="404">
        <v>0</v>
      </c>
      <c r="Q145" s="404">
        <v>0</v>
      </c>
      <c r="R145" s="404">
        <v>0</v>
      </c>
      <c r="S145" s="404">
        <v>0</v>
      </c>
      <c r="T145" s="404">
        <v>0</v>
      </c>
      <c r="U145" s="350"/>
      <c r="V145" s="350"/>
      <c r="W145" s="350"/>
      <c r="X145" s="350"/>
      <c r="Y145" s="350"/>
      <c r="Z145" s="350"/>
      <c r="AA145" s="350"/>
      <c r="AB145" s="350"/>
      <c r="AC145" s="350"/>
      <c r="AD145" s="350"/>
      <c r="AE145" s="350"/>
    </row>
    <row r="146" s="399" customFormat="1" ht="24" customHeight="1">
      <c r="A146" s="122">
        <v>135</v>
      </c>
      <c r="B146" s="55" t="s">
        <v>232</v>
      </c>
      <c r="C146" s="215">
        <f>D146+K146+L146+M146+N146+O146+P146+Q146+R146+S146+T146</f>
        <v>3325198.6499999999</v>
      </c>
      <c r="D146" s="215">
        <f>SUM(E146:I146)</f>
        <v>0</v>
      </c>
      <c r="E146" s="406">
        <v>0</v>
      </c>
      <c r="F146" s="404">
        <v>0</v>
      </c>
      <c r="G146" s="406">
        <v>0</v>
      </c>
      <c r="H146" s="404">
        <v>0</v>
      </c>
      <c r="I146" s="92">
        <v>0</v>
      </c>
      <c r="J146" s="407">
        <v>1</v>
      </c>
      <c r="K146" s="404">
        <v>3325198.6499999999</v>
      </c>
      <c r="L146" s="406">
        <v>0</v>
      </c>
      <c r="M146" s="404">
        <v>0</v>
      </c>
      <c r="N146" s="406">
        <v>0</v>
      </c>
      <c r="O146" s="404">
        <v>0</v>
      </c>
      <c r="P146" s="406">
        <v>0</v>
      </c>
      <c r="Q146" s="404">
        <v>0</v>
      </c>
      <c r="R146" s="406">
        <v>0</v>
      </c>
      <c r="S146" s="404">
        <v>0</v>
      </c>
      <c r="T146" s="404">
        <v>0</v>
      </c>
      <c r="U146" s="399"/>
      <c r="V146" s="399"/>
      <c r="W146" s="399"/>
      <c r="X146" s="399"/>
      <c r="Y146" s="399"/>
      <c r="Z146" s="399"/>
      <c r="AA146" s="399"/>
      <c r="AB146" s="399"/>
      <c r="AC146" s="399"/>
      <c r="AD146" s="399"/>
      <c r="AE146" s="399"/>
    </row>
    <row r="147" s="350" customFormat="1" ht="24" customHeight="1">
      <c r="A147" s="33">
        <v>136</v>
      </c>
      <c r="B147" s="42" t="s">
        <v>1009</v>
      </c>
      <c r="C147" s="215">
        <f>D147+K147+L147+M147+N147+O147+P147+Q147+R147+S147+T147</f>
        <v>261674.29999999999</v>
      </c>
      <c r="D147" s="215">
        <f>SUM(E147:I147)</f>
        <v>0</v>
      </c>
      <c r="E147" s="92">
        <v>0</v>
      </c>
      <c r="F147" s="79">
        <v>0</v>
      </c>
      <c r="G147" s="79">
        <v>0</v>
      </c>
      <c r="H147" s="92">
        <v>0</v>
      </c>
      <c r="I147" s="92">
        <v>0</v>
      </c>
      <c r="J147" s="398">
        <v>0</v>
      </c>
      <c r="K147" s="79">
        <v>0</v>
      </c>
      <c r="L147" s="79">
        <v>0</v>
      </c>
      <c r="M147" s="79">
        <v>0</v>
      </c>
      <c r="N147" s="79">
        <v>0</v>
      </c>
      <c r="O147" s="79">
        <v>0</v>
      </c>
      <c r="P147" s="79">
        <v>261674.29999999999</v>
      </c>
      <c r="Q147" s="79">
        <v>0</v>
      </c>
      <c r="R147" s="79">
        <v>0</v>
      </c>
      <c r="S147" s="92">
        <v>0</v>
      </c>
      <c r="T147" s="79">
        <v>0</v>
      </c>
      <c r="U147" s="350"/>
      <c r="V147" s="350"/>
      <c r="W147" s="350"/>
      <c r="X147" s="350"/>
      <c r="Y147" s="350"/>
      <c r="Z147" s="350"/>
      <c r="AA147" s="350"/>
      <c r="AB147" s="350"/>
      <c r="AC147" s="350"/>
      <c r="AD147" s="350"/>
      <c r="AE147" s="350"/>
    </row>
    <row r="148" s="350" customFormat="1" ht="24" customHeight="1">
      <c r="A148" s="122">
        <v>137</v>
      </c>
      <c r="B148" s="42" t="s">
        <v>234</v>
      </c>
      <c r="C148" s="215">
        <f>D148+K148+L148+M148+N148+O148+P148+Q148+R148+S148+T148</f>
        <v>30017079.82</v>
      </c>
      <c r="D148" s="215">
        <f>SUM(E148:I148)</f>
        <v>0</v>
      </c>
      <c r="E148" s="92">
        <v>0</v>
      </c>
      <c r="F148" s="79">
        <v>0</v>
      </c>
      <c r="G148" s="79">
        <v>0</v>
      </c>
      <c r="H148" s="92">
        <v>0</v>
      </c>
      <c r="I148" s="92">
        <v>0</v>
      </c>
      <c r="J148" s="398">
        <v>0</v>
      </c>
      <c r="K148" s="79">
        <v>0</v>
      </c>
      <c r="L148" s="79">
        <v>0</v>
      </c>
      <c r="M148" s="79">
        <v>0</v>
      </c>
      <c r="N148" s="79">
        <v>0</v>
      </c>
      <c r="O148" s="79">
        <v>0</v>
      </c>
      <c r="P148" s="79">
        <v>0</v>
      </c>
      <c r="Q148" s="79">
        <v>0</v>
      </c>
      <c r="R148" s="79">
        <v>0</v>
      </c>
      <c r="S148" s="92">
        <v>30017079.82</v>
      </c>
      <c r="T148" s="79">
        <v>0</v>
      </c>
      <c r="U148" s="350"/>
      <c r="V148" s="350"/>
      <c r="W148" s="350"/>
      <c r="X148" s="350"/>
      <c r="Y148" s="350"/>
      <c r="Z148" s="350"/>
      <c r="AA148" s="350"/>
      <c r="AB148" s="350"/>
      <c r="AC148" s="350"/>
      <c r="AD148" s="350"/>
      <c r="AE148" s="350"/>
    </row>
    <row r="149" s="350" customFormat="1" ht="24" customHeight="1">
      <c r="A149" s="33">
        <v>138</v>
      </c>
      <c r="B149" s="42" t="s">
        <v>1010</v>
      </c>
      <c r="C149" s="215">
        <f>D149+K149+L149+M149+N149+O149+P149+Q149+R149+S149+T149</f>
        <v>350610.91999999998</v>
      </c>
      <c r="D149" s="215">
        <f>SUM(E149:I149)</f>
        <v>0</v>
      </c>
      <c r="E149" s="92">
        <v>0</v>
      </c>
      <c r="F149" s="79">
        <v>0</v>
      </c>
      <c r="G149" s="79">
        <v>0</v>
      </c>
      <c r="H149" s="92">
        <v>0</v>
      </c>
      <c r="I149" s="92">
        <v>0</v>
      </c>
      <c r="J149" s="398">
        <v>0</v>
      </c>
      <c r="K149" s="79">
        <v>0</v>
      </c>
      <c r="L149" s="92">
        <v>0</v>
      </c>
      <c r="M149" s="79">
        <v>0</v>
      </c>
      <c r="N149" s="79">
        <v>0</v>
      </c>
      <c r="O149" s="79">
        <v>0</v>
      </c>
      <c r="P149" s="92">
        <v>350610.91999999998</v>
      </c>
      <c r="Q149" s="79">
        <v>0</v>
      </c>
      <c r="R149" s="79">
        <v>0</v>
      </c>
      <c r="S149" s="79">
        <v>0</v>
      </c>
      <c r="T149" s="79">
        <v>0</v>
      </c>
      <c r="U149" s="350"/>
      <c r="V149" s="350"/>
      <c r="W149" s="350"/>
      <c r="X149" s="350"/>
      <c r="Y149" s="350"/>
      <c r="Z149" s="350"/>
      <c r="AA149" s="350"/>
      <c r="AB149" s="350"/>
      <c r="AC149" s="350"/>
      <c r="AD149" s="350"/>
      <c r="AE149" s="350"/>
    </row>
    <row r="150" s="350" customFormat="1" ht="24" customHeight="1">
      <c r="A150" s="122">
        <v>139</v>
      </c>
      <c r="B150" s="42" t="s">
        <v>236</v>
      </c>
      <c r="C150" s="215">
        <f>D150+K150+L150+M150+N150+O150+P150+Q150+R150+S150+T150</f>
        <v>421821.95999999996</v>
      </c>
      <c r="D150" s="215">
        <f>SUM(E150:I150)</f>
        <v>421821.95999999996</v>
      </c>
      <c r="E150" s="92">
        <v>0</v>
      </c>
      <c r="F150" s="79">
        <v>0</v>
      </c>
      <c r="G150" s="79">
        <v>0</v>
      </c>
      <c r="H150" s="92">
        <v>137228.85000000001</v>
      </c>
      <c r="I150" s="92">
        <v>284593.10999999999</v>
      </c>
      <c r="J150" s="398">
        <v>0</v>
      </c>
      <c r="K150" s="79">
        <v>0</v>
      </c>
      <c r="L150" s="79">
        <v>0</v>
      </c>
      <c r="M150" s="79">
        <v>0</v>
      </c>
      <c r="N150" s="79">
        <v>0</v>
      </c>
      <c r="O150" s="79">
        <v>0</v>
      </c>
      <c r="P150" s="92">
        <v>0</v>
      </c>
      <c r="Q150" s="79">
        <v>0</v>
      </c>
      <c r="R150" s="79">
        <v>0</v>
      </c>
      <c r="S150" s="79">
        <v>0</v>
      </c>
      <c r="T150" s="79">
        <v>0</v>
      </c>
      <c r="U150" s="350"/>
      <c r="V150" s="350"/>
      <c r="W150" s="350"/>
      <c r="X150" s="350"/>
      <c r="Y150" s="350"/>
      <c r="Z150" s="350"/>
      <c r="AA150" s="350"/>
      <c r="AB150" s="350"/>
      <c r="AC150" s="350"/>
      <c r="AD150" s="350"/>
      <c r="AE150" s="350"/>
    </row>
    <row r="151" s="350" customFormat="1" ht="24" customHeight="1">
      <c r="A151" s="33">
        <v>140</v>
      </c>
      <c r="B151" s="42" t="s">
        <v>1011</v>
      </c>
      <c r="C151" s="215">
        <f>D151+K151+L151+M151+N151+O151+P151+Q151+R151+S151+T151</f>
        <v>1177186.9200000002</v>
      </c>
      <c r="D151" s="215">
        <f>SUM(E151:I151)</f>
        <v>980419.20000000007</v>
      </c>
      <c r="E151" s="92">
        <v>0</v>
      </c>
      <c r="F151" s="92">
        <v>0</v>
      </c>
      <c r="G151" s="92">
        <v>0</v>
      </c>
      <c r="H151" s="92">
        <v>424148.40000000002</v>
      </c>
      <c r="I151" s="92">
        <v>556270.80000000005</v>
      </c>
      <c r="J151" s="398">
        <v>0</v>
      </c>
      <c r="K151" s="79">
        <v>0</v>
      </c>
      <c r="L151" s="79">
        <v>0</v>
      </c>
      <c r="M151" s="79">
        <v>0</v>
      </c>
      <c r="N151" s="79">
        <v>0</v>
      </c>
      <c r="O151" s="79">
        <v>0</v>
      </c>
      <c r="P151" s="92">
        <v>196767.72</v>
      </c>
      <c r="Q151" s="79">
        <v>0</v>
      </c>
      <c r="R151" s="79">
        <v>0</v>
      </c>
      <c r="S151" s="79">
        <v>0</v>
      </c>
      <c r="T151" s="79">
        <v>0</v>
      </c>
      <c r="U151" s="350"/>
      <c r="V151" s="350"/>
      <c r="W151" s="350"/>
      <c r="X151" s="350"/>
      <c r="Y151" s="350"/>
      <c r="Z151" s="350"/>
      <c r="AA151" s="350"/>
      <c r="AB151" s="350"/>
      <c r="AC151" s="350"/>
      <c r="AD151" s="350"/>
      <c r="AE151" s="350"/>
    </row>
    <row r="152" s="350" customFormat="1" ht="24" customHeight="1">
      <c r="A152" s="122">
        <v>141</v>
      </c>
      <c r="B152" s="42" t="s">
        <v>1012</v>
      </c>
      <c r="C152" s="215">
        <f>D152+K152+L152+M152+N152+O152+P152+Q152+R152+S152+T152</f>
        <v>137006.10999999999</v>
      </c>
      <c r="D152" s="215">
        <f>SUM(E152:I152)</f>
        <v>0</v>
      </c>
      <c r="E152" s="92">
        <v>0</v>
      </c>
      <c r="F152" s="92">
        <v>0</v>
      </c>
      <c r="G152" s="92">
        <v>0</v>
      </c>
      <c r="H152" s="92">
        <v>0</v>
      </c>
      <c r="I152" s="92">
        <v>0</v>
      </c>
      <c r="J152" s="398">
        <v>0</v>
      </c>
      <c r="K152" s="79">
        <v>0</v>
      </c>
      <c r="L152" s="92">
        <v>0</v>
      </c>
      <c r="M152" s="79">
        <v>0</v>
      </c>
      <c r="N152" s="79">
        <v>0</v>
      </c>
      <c r="O152" s="79">
        <v>0</v>
      </c>
      <c r="P152" s="92">
        <v>137006.10999999999</v>
      </c>
      <c r="Q152" s="79">
        <v>0</v>
      </c>
      <c r="R152" s="79">
        <v>0</v>
      </c>
      <c r="S152" s="79">
        <v>0</v>
      </c>
      <c r="T152" s="79">
        <v>0</v>
      </c>
      <c r="U152" s="350"/>
      <c r="V152" s="350"/>
      <c r="W152" s="350"/>
      <c r="X152" s="350"/>
      <c r="Y152" s="350"/>
      <c r="Z152" s="350"/>
      <c r="AA152" s="350"/>
      <c r="AB152" s="350"/>
      <c r="AC152" s="350"/>
      <c r="AD152" s="350"/>
      <c r="AE152" s="350"/>
    </row>
    <row r="153" s="350" customFormat="1" ht="24" customHeight="1">
      <c r="A153" s="33">
        <v>142</v>
      </c>
      <c r="B153" s="42" t="s">
        <v>1013</v>
      </c>
      <c r="C153" s="215">
        <f>D153+K153+L153+M153+N153+O153+P153+Q153+R153+S153+T153</f>
        <v>2428516.8599999999</v>
      </c>
      <c r="D153" s="215">
        <f>SUM(E153:I153)</f>
        <v>2192886.54</v>
      </c>
      <c r="E153" s="92">
        <v>0</v>
      </c>
      <c r="F153" s="92">
        <v>2192886.54</v>
      </c>
      <c r="G153" s="79">
        <v>0</v>
      </c>
      <c r="H153" s="92">
        <v>0</v>
      </c>
      <c r="I153" s="79">
        <v>0</v>
      </c>
      <c r="J153" s="398">
        <v>0</v>
      </c>
      <c r="K153" s="79">
        <v>0</v>
      </c>
      <c r="L153" s="79">
        <v>0</v>
      </c>
      <c r="M153" s="79">
        <v>0</v>
      </c>
      <c r="N153" s="79">
        <v>0</v>
      </c>
      <c r="O153" s="79">
        <v>0</v>
      </c>
      <c r="P153" s="92">
        <v>235630.32000000001</v>
      </c>
      <c r="Q153" s="79">
        <v>0</v>
      </c>
      <c r="R153" s="79">
        <v>0</v>
      </c>
      <c r="S153" s="79">
        <v>0</v>
      </c>
      <c r="T153" s="79">
        <v>0</v>
      </c>
      <c r="U153" s="350"/>
      <c r="V153" s="350"/>
      <c r="W153" s="350"/>
      <c r="X153" s="350"/>
      <c r="Y153" s="350"/>
      <c r="Z153" s="350"/>
      <c r="AA153" s="350"/>
      <c r="AB153" s="350"/>
      <c r="AC153" s="350"/>
      <c r="AD153" s="350"/>
      <c r="AE153" s="350"/>
    </row>
    <row r="154" s="350" customFormat="1" ht="24" customHeight="1">
      <c r="A154" s="122">
        <v>143</v>
      </c>
      <c r="B154" s="42" t="s">
        <v>1014</v>
      </c>
      <c r="C154" s="215">
        <f>D154+K154+L154+M154+N154+O154+P154+Q154+R154+S154+T154</f>
        <v>128679.39</v>
      </c>
      <c r="D154" s="215">
        <f>SUM(E154:I154)</f>
        <v>0</v>
      </c>
      <c r="E154" s="92">
        <v>0</v>
      </c>
      <c r="F154" s="79">
        <v>0</v>
      </c>
      <c r="G154" s="79">
        <v>0</v>
      </c>
      <c r="H154" s="92">
        <v>0</v>
      </c>
      <c r="I154" s="79">
        <v>0</v>
      </c>
      <c r="J154" s="398">
        <v>0</v>
      </c>
      <c r="K154" s="79">
        <v>0</v>
      </c>
      <c r="L154" s="92">
        <v>0</v>
      </c>
      <c r="M154" s="79">
        <v>0</v>
      </c>
      <c r="N154" s="79">
        <v>0</v>
      </c>
      <c r="O154" s="79">
        <v>0</v>
      </c>
      <c r="P154" s="92">
        <v>128679.39</v>
      </c>
      <c r="Q154" s="79">
        <v>0</v>
      </c>
      <c r="R154" s="79">
        <v>0</v>
      </c>
      <c r="S154" s="79">
        <v>0</v>
      </c>
      <c r="T154" s="79">
        <v>0</v>
      </c>
      <c r="U154" s="350"/>
      <c r="V154" s="350"/>
      <c r="W154" s="350"/>
      <c r="X154" s="350"/>
      <c r="Y154" s="350"/>
      <c r="Z154" s="350"/>
      <c r="AA154" s="350"/>
      <c r="AB154" s="350"/>
      <c r="AC154" s="350"/>
      <c r="AD154" s="350"/>
      <c r="AE154" s="350"/>
    </row>
    <row r="155" s="350" customFormat="1" ht="24" customHeight="1">
      <c r="A155" s="33">
        <v>144</v>
      </c>
      <c r="B155" s="42" t="s">
        <v>241</v>
      </c>
      <c r="C155" s="215">
        <f>D155+K155+L155+M155+N155+O155+P155+Q155+R155+S155+T155</f>
        <v>2060329.8300000001</v>
      </c>
      <c r="D155" s="215">
        <f>SUM(E155:I155)</f>
        <v>0</v>
      </c>
      <c r="E155" s="92">
        <v>0</v>
      </c>
      <c r="F155" s="79">
        <v>0</v>
      </c>
      <c r="G155" s="79">
        <v>0</v>
      </c>
      <c r="H155" s="92">
        <v>0</v>
      </c>
      <c r="I155" s="79">
        <v>0</v>
      </c>
      <c r="J155" s="398">
        <v>0</v>
      </c>
      <c r="K155" s="79">
        <v>0</v>
      </c>
      <c r="L155" s="92">
        <v>0</v>
      </c>
      <c r="M155" s="79">
        <v>0</v>
      </c>
      <c r="N155" s="92">
        <v>2060329.8300000001</v>
      </c>
      <c r="O155" s="79">
        <v>0</v>
      </c>
      <c r="P155" s="79">
        <v>0</v>
      </c>
      <c r="Q155" s="79">
        <v>0</v>
      </c>
      <c r="R155" s="79">
        <v>0</v>
      </c>
      <c r="S155" s="79">
        <v>0</v>
      </c>
      <c r="T155" s="79">
        <v>0</v>
      </c>
      <c r="U155" s="350"/>
      <c r="V155" s="350"/>
      <c r="W155" s="350"/>
      <c r="X155" s="350"/>
      <c r="Y155" s="350"/>
      <c r="Z155" s="350"/>
      <c r="AA155" s="350"/>
      <c r="AB155" s="350"/>
      <c r="AC155" s="350"/>
      <c r="AD155" s="350"/>
      <c r="AE155" s="350"/>
    </row>
    <row r="156" s="399" customFormat="1" ht="24" customHeight="1">
      <c r="A156" s="122">
        <v>145</v>
      </c>
      <c r="B156" s="42" t="s">
        <v>1015</v>
      </c>
      <c r="C156" s="215">
        <f>D156+K156+L156+M156+N156+O156+P156+Q156+R156+S156+T156</f>
        <v>207514.73000000001</v>
      </c>
      <c r="D156" s="215">
        <f>SUM(E156:I156)</f>
        <v>0</v>
      </c>
      <c r="E156" s="92">
        <v>0</v>
      </c>
      <c r="F156" s="158">
        <v>0</v>
      </c>
      <c r="G156" s="79">
        <v>0</v>
      </c>
      <c r="H156" s="92">
        <v>0</v>
      </c>
      <c r="I156" s="158">
        <v>0</v>
      </c>
      <c r="J156" s="398">
        <v>0</v>
      </c>
      <c r="K156" s="158">
        <v>0</v>
      </c>
      <c r="L156" s="92">
        <v>0</v>
      </c>
      <c r="M156" s="158">
        <v>0</v>
      </c>
      <c r="N156" s="79">
        <v>0</v>
      </c>
      <c r="O156" s="158">
        <v>0</v>
      </c>
      <c r="P156" s="92">
        <v>207514.73000000001</v>
      </c>
      <c r="Q156" s="158">
        <v>0</v>
      </c>
      <c r="R156" s="79">
        <v>0</v>
      </c>
      <c r="S156" s="158">
        <v>0</v>
      </c>
      <c r="T156" s="79">
        <v>0</v>
      </c>
      <c r="U156" s="399"/>
      <c r="V156" s="399"/>
      <c r="W156" s="399"/>
      <c r="X156" s="399"/>
      <c r="Y156" s="399"/>
      <c r="Z156" s="399"/>
      <c r="AA156" s="399"/>
      <c r="AB156" s="399"/>
      <c r="AC156" s="399"/>
      <c r="AD156" s="399"/>
      <c r="AE156" s="399"/>
    </row>
    <row r="157" s="350" customFormat="1" ht="24" customHeight="1">
      <c r="A157" s="33">
        <v>146</v>
      </c>
      <c r="B157" s="42" t="s">
        <v>1016</v>
      </c>
      <c r="C157" s="215">
        <f>D157+K157+L157+M157+N157+O157+P157+Q157+R157+S157+T157</f>
        <v>156972</v>
      </c>
      <c r="D157" s="215">
        <f>SUM(E157:I157)</f>
        <v>0</v>
      </c>
      <c r="E157" s="92">
        <v>0</v>
      </c>
      <c r="F157" s="92">
        <v>0</v>
      </c>
      <c r="G157" s="79">
        <v>0</v>
      </c>
      <c r="H157" s="92">
        <v>0</v>
      </c>
      <c r="I157" s="92">
        <v>0</v>
      </c>
      <c r="J157" s="398">
        <v>0</v>
      </c>
      <c r="K157" s="79">
        <v>0</v>
      </c>
      <c r="L157" s="79">
        <v>0</v>
      </c>
      <c r="M157" s="79">
        <v>0</v>
      </c>
      <c r="N157" s="79">
        <v>0</v>
      </c>
      <c r="O157" s="79">
        <v>0</v>
      </c>
      <c r="P157" s="79">
        <v>156972</v>
      </c>
      <c r="Q157" s="79">
        <v>0</v>
      </c>
      <c r="R157" s="79">
        <v>0</v>
      </c>
      <c r="S157" s="79">
        <v>0</v>
      </c>
      <c r="T157" s="79">
        <v>0</v>
      </c>
      <c r="U157" s="350"/>
      <c r="V157" s="350"/>
      <c r="W157" s="350"/>
      <c r="X157" s="350"/>
      <c r="Y157" s="350"/>
      <c r="Z157" s="350"/>
      <c r="AA157" s="350"/>
      <c r="AB157" s="350"/>
      <c r="AC157" s="350"/>
      <c r="AD157" s="350"/>
      <c r="AE157" s="350"/>
    </row>
    <row r="158" s="31" customFormat="1" ht="21" customHeight="1">
      <c r="A158" s="122">
        <v>147</v>
      </c>
      <c r="B158" s="42" t="s">
        <v>1017</v>
      </c>
      <c r="C158" s="215">
        <f>D158+K158+L158+M158+N158+O158+P158+Q158+R158+S158+T158</f>
        <v>326452.75</v>
      </c>
      <c r="D158" s="215">
        <f>SUM(E158:I158)</f>
        <v>0</v>
      </c>
      <c r="E158" s="92">
        <v>0</v>
      </c>
      <c r="F158" s="92">
        <v>0</v>
      </c>
      <c r="G158" s="79">
        <v>0</v>
      </c>
      <c r="H158" s="92">
        <v>0</v>
      </c>
      <c r="I158" s="79">
        <v>0</v>
      </c>
      <c r="J158" s="398">
        <v>0</v>
      </c>
      <c r="K158" s="79">
        <v>0</v>
      </c>
      <c r="L158" s="92">
        <v>0</v>
      </c>
      <c r="M158" s="79">
        <v>0</v>
      </c>
      <c r="N158" s="79">
        <v>0</v>
      </c>
      <c r="O158" s="79">
        <v>0</v>
      </c>
      <c r="P158" s="92">
        <v>326452.75</v>
      </c>
      <c r="Q158" s="79">
        <v>0</v>
      </c>
      <c r="R158" s="79">
        <v>0</v>
      </c>
      <c r="S158" s="79">
        <v>0</v>
      </c>
      <c r="T158" s="79"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</row>
    <row r="159" s="31" customFormat="1" ht="22.5" customHeight="1">
      <c r="A159" s="33">
        <v>148</v>
      </c>
      <c r="B159" s="52" t="s">
        <v>247</v>
      </c>
      <c r="C159" s="215">
        <f>D159+K159+L159+M159+N159+O159+P159+Q159+R159+S159+T159</f>
        <v>427178.23999999999</v>
      </c>
      <c r="D159" s="215">
        <f>SUM(E159:I159)</f>
        <v>427178.23999999999</v>
      </c>
      <c r="E159" s="92">
        <v>0</v>
      </c>
      <c r="F159" s="79">
        <v>0</v>
      </c>
      <c r="G159" s="92">
        <v>427178.23999999999</v>
      </c>
      <c r="H159" s="92">
        <v>0</v>
      </c>
      <c r="I159" s="79">
        <v>0</v>
      </c>
      <c r="J159" s="398">
        <v>0</v>
      </c>
      <c r="K159" s="79">
        <v>0</v>
      </c>
      <c r="L159" s="79">
        <v>0</v>
      </c>
      <c r="M159" s="79">
        <v>0</v>
      </c>
      <c r="N159" s="79">
        <v>0</v>
      </c>
      <c r="O159" s="79">
        <v>0</v>
      </c>
      <c r="P159" s="92">
        <v>0</v>
      </c>
      <c r="Q159" s="79">
        <v>0</v>
      </c>
      <c r="R159" s="79">
        <v>0</v>
      </c>
      <c r="S159" s="79">
        <v>0</v>
      </c>
      <c r="T159" s="79"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</row>
    <row r="160" s="31" customFormat="1" ht="22.5" customHeight="1">
      <c r="A160" s="122">
        <v>149</v>
      </c>
      <c r="B160" s="42" t="s">
        <v>1018</v>
      </c>
      <c r="C160" s="215">
        <f>D160+K160+L160+M160+N160+O160+P160+Q160+R160+S160+T160</f>
        <v>275116.64000000001</v>
      </c>
      <c r="D160" s="215">
        <f>SUM(E160:I160)</f>
        <v>0</v>
      </c>
      <c r="E160" s="92">
        <v>0</v>
      </c>
      <c r="F160" s="158">
        <v>0</v>
      </c>
      <c r="G160" s="79">
        <v>0</v>
      </c>
      <c r="H160" s="92">
        <v>0</v>
      </c>
      <c r="I160" s="158">
        <v>0</v>
      </c>
      <c r="J160" s="398">
        <v>0</v>
      </c>
      <c r="K160" s="158">
        <v>0</v>
      </c>
      <c r="L160" s="92">
        <v>0</v>
      </c>
      <c r="M160" s="158">
        <v>0</v>
      </c>
      <c r="N160" s="79">
        <v>0</v>
      </c>
      <c r="O160" s="158">
        <v>0</v>
      </c>
      <c r="P160" s="92">
        <v>275116.64000000001</v>
      </c>
      <c r="Q160" s="158">
        <v>0</v>
      </c>
      <c r="R160" s="79">
        <v>0</v>
      </c>
      <c r="S160" s="158">
        <v>0</v>
      </c>
      <c r="T160" s="79">
        <v>0</v>
      </c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</row>
    <row r="161" s="47" customFormat="1" ht="22.5" customHeight="1">
      <c r="A161" s="33">
        <v>150</v>
      </c>
      <c r="B161" s="42" t="s">
        <v>1019</v>
      </c>
      <c r="C161" s="215">
        <f>D161+K161+L161+M161+N161+O161+P161+Q161+R161+S161+T161</f>
        <v>289965.01000000001</v>
      </c>
      <c r="D161" s="215">
        <f>SUM(E161:I161)</f>
        <v>0</v>
      </c>
      <c r="E161" s="92">
        <v>0</v>
      </c>
      <c r="F161" s="79">
        <v>0</v>
      </c>
      <c r="G161" s="158">
        <v>0</v>
      </c>
      <c r="H161" s="92">
        <v>0</v>
      </c>
      <c r="I161" s="79">
        <v>0</v>
      </c>
      <c r="J161" s="398">
        <v>0</v>
      </c>
      <c r="K161" s="79">
        <v>0</v>
      </c>
      <c r="L161" s="79">
        <v>0</v>
      </c>
      <c r="M161" s="79">
        <v>0</v>
      </c>
      <c r="N161" s="92">
        <v>0</v>
      </c>
      <c r="O161" s="79">
        <v>0</v>
      </c>
      <c r="P161" s="92">
        <v>289965.01000000001</v>
      </c>
      <c r="Q161" s="79">
        <v>0</v>
      </c>
      <c r="R161" s="79">
        <v>0</v>
      </c>
      <c r="S161" s="79">
        <v>0</v>
      </c>
      <c r="T161" s="79">
        <v>0</v>
      </c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</row>
    <row r="162" s="31" customFormat="1" ht="22.5" customHeight="1">
      <c r="A162" s="122">
        <v>151</v>
      </c>
      <c r="B162" s="42" t="s">
        <v>250</v>
      </c>
      <c r="C162" s="215">
        <f>D162+K162+L162+M162+N162+O162+P162+Q162+R162+S162+T162</f>
        <v>3058413.2799999998</v>
      </c>
      <c r="D162" s="215">
        <f>SUM(E162:I162)</f>
        <v>0</v>
      </c>
      <c r="E162" s="92">
        <v>0</v>
      </c>
      <c r="F162" s="92">
        <v>0</v>
      </c>
      <c r="G162" s="92">
        <v>0</v>
      </c>
      <c r="H162" s="92">
        <v>0</v>
      </c>
      <c r="I162" s="92">
        <v>0</v>
      </c>
      <c r="J162" s="398">
        <v>0</v>
      </c>
      <c r="K162" s="79">
        <v>0</v>
      </c>
      <c r="L162" s="79">
        <v>0</v>
      </c>
      <c r="M162" s="79">
        <v>0</v>
      </c>
      <c r="N162" s="92">
        <v>3058413.2799999998</v>
      </c>
      <c r="O162" s="79">
        <v>0</v>
      </c>
      <c r="P162" s="92">
        <v>0</v>
      </c>
      <c r="Q162" s="79">
        <v>0</v>
      </c>
      <c r="R162" s="79">
        <v>0</v>
      </c>
      <c r="S162" s="79">
        <v>0</v>
      </c>
      <c r="T162" s="79"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</row>
    <row r="163" s="31" customFormat="1" ht="22.5" customHeight="1">
      <c r="A163" s="33">
        <v>152</v>
      </c>
      <c r="B163" s="42" t="s">
        <v>251</v>
      </c>
      <c r="C163" s="215">
        <f>D163+K163+L163+M163+N163+O163+P163+Q163+R163+S163+T163</f>
        <v>4386728.75</v>
      </c>
      <c r="D163" s="215">
        <f>SUM(E163:I163)</f>
        <v>0</v>
      </c>
      <c r="E163" s="92">
        <v>0</v>
      </c>
      <c r="F163" s="79">
        <v>0</v>
      </c>
      <c r="G163" s="79">
        <v>0</v>
      </c>
      <c r="H163" s="92">
        <v>0</v>
      </c>
      <c r="I163" s="79">
        <v>0</v>
      </c>
      <c r="J163" s="398">
        <v>0</v>
      </c>
      <c r="K163" s="79">
        <v>0</v>
      </c>
      <c r="L163" s="79">
        <v>0</v>
      </c>
      <c r="M163" s="79">
        <v>0</v>
      </c>
      <c r="N163" s="92">
        <v>4386728.75</v>
      </c>
      <c r="O163" s="79">
        <v>0</v>
      </c>
      <c r="P163" s="79">
        <v>0</v>
      </c>
      <c r="Q163" s="79">
        <v>0</v>
      </c>
      <c r="R163" s="79">
        <v>0</v>
      </c>
      <c r="S163" s="79">
        <v>0</v>
      </c>
      <c r="T163" s="79"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</row>
    <row r="164" s="60" customFormat="1" ht="22.5" customHeight="1">
      <c r="A164" s="122">
        <v>153</v>
      </c>
      <c r="B164" s="42" t="s">
        <v>252</v>
      </c>
      <c r="C164" s="215">
        <f>D164+K164+L164+M164+N164+O164+P164+Q164+R164+S164+T164</f>
        <v>9531206.9800000004</v>
      </c>
      <c r="D164" s="215">
        <f>SUM(E164:I164)</f>
        <v>0</v>
      </c>
      <c r="E164" s="92">
        <v>0</v>
      </c>
      <c r="F164" s="79">
        <v>0</v>
      </c>
      <c r="G164" s="79">
        <v>0</v>
      </c>
      <c r="H164" s="92">
        <v>0</v>
      </c>
      <c r="I164" s="79">
        <v>0</v>
      </c>
      <c r="J164" s="398">
        <v>0</v>
      </c>
      <c r="K164" s="79">
        <v>0</v>
      </c>
      <c r="L164" s="92">
        <v>0</v>
      </c>
      <c r="M164" s="79">
        <v>0</v>
      </c>
      <c r="N164" s="92">
        <v>9531206.9800000004</v>
      </c>
      <c r="O164" s="79">
        <v>0</v>
      </c>
      <c r="P164" s="79">
        <v>0</v>
      </c>
      <c r="Q164" s="79">
        <v>0</v>
      </c>
      <c r="R164" s="79">
        <v>0</v>
      </c>
      <c r="S164" s="79">
        <v>0</v>
      </c>
      <c r="T164" s="79">
        <v>0</v>
      </c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</row>
    <row r="165" s="350" customFormat="1" ht="24" customHeight="1">
      <c r="A165" s="33">
        <v>154</v>
      </c>
      <c r="B165" s="42" t="s">
        <v>253</v>
      </c>
      <c r="C165" s="215">
        <f>D165+K165+L165+M165+N165+O165+P165+Q165+R165+S165+T165</f>
        <v>8320024.5300000003</v>
      </c>
      <c r="D165" s="215">
        <f>SUM(E165:I165)</f>
        <v>0</v>
      </c>
      <c r="E165" s="92">
        <v>0</v>
      </c>
      <c r="F165" s="79">
        <v>0</v>
      </c>
      <c r="G165" s="79">
        <v>0</v>
      </c>
      <c r="H165" s="92">
        <v>0</v>
      </c>
      <c r="I165" s="79">
        <v>0</v>
      </c>
      <c r="J165" s="398">
        <v>0</v>
      </c>
      <c r="K165" s="79">
        <v>0</v>
      </c>
      <c r="L165" s="92">
        <v>8320024.5300000003</v>
      </c>
      <c r="M165" s="79">
        <v>0</v>
      </c>
      <c r="N165" s="92">
        <v>0</v>
      </c>
      <c r="O165" s="79">
        <v>0</v>
      </c>
      <c r="P165" s="79">
        <v>0</v>
      </c>
      <c r="Q165" s="79">
        <v>0</v>
      </c>
      <c r="R165" s="79">
        <v>0</v>
      </c>
      <c r="S165" s="79">
        <v>0</v>
      </c>
      <c r="T165" s="79">
        <v>0</v>
      </c>
      <c r="U165" s="350"/>
      <c r="V165" s="350"/>
      <c r="W165" s="350"/>
      <c r="X165" s="350"/>
      <c r="Y165" s="350"/>
      <c r="Z165" s="350"/>
      <c r="AA165" s="350"/>
      <c r="AB165" s="350"/>
      <c r="AC165" s="350"/>
      <c r="AD165" s="350"/>
      <c r="AE165" s="350"/>
    </row>
    <row r="166" s="350" customFormat="1" ht="24" customHeight="1">
      <c r="A166" s="122">
        <v>155</v>
      </c>
      <c r="B166" s="42" t="s">
        <v>254</v>
      </c>
      <c r="C166" s="215">
        <f>D166+K166+L166+M166+N166+O166+P166+Q166+R166+S166+T166</f>
        <v>508697.59000000003</v>
      </c>
      <c r="D166" s="215">
        <f>SUM(E166:I166)</f>
        <v>508697.59000000003</v>
      </c>
      <c r="E166" s="92">
        <v>0</v>
      </c>
      <c r="F166" s="79">
        <v>0</v>
      </c>
      <c r="G166" s="79">
        <v>0</v>
      </c>
      <c r="H166" s="92">
        <v>508697.59000000003</v>
      </c>
      <c r="I166" s="79">
        <v>0</v>
      </c>
      <c r="J166" s="398">
        <v>0</v>
      </c>
      <c r="K166" s="79">
        <v>0</v>
      </c>
      <c r="L166" s="79">
        <v>0</v>
      </c>
      <c r="M166" s="79">
        <v>0</v>
      </c>
      <c r="N166" s="79">
        <v>0</v>
      </c>
      <c r="O166" s="79">
        <v>0</v>
      </c>
      <c r="P166" s="79">
        <v>0</v>
      </c>
      <c r="Q166" s="79">
        <v>0</v>
      </c>
      <c r="R166" s="79">
        <v>0</v>
      </c>
      <c r="S166" s="79">
        <v>0</v>
      </c>
      <c r="T166" s="79">
        <v>0</v>
      </c>
      <c r="U166" s="350"/>
      <c r="V166" s="350"/>
      <c r="W166" s="350"/>
      <c r="X166" s="350"/>
      <c r="Y166" s="350"/>
      <c r="Z166" s="350"/>
      <c r="AA166" s="350"/>
      <c r="AB166" s="350"/>
      <c r="AC166" s="350"/>
      <c r="AD166" s="350"/>
      <c r="AE166" s="350"/>
    </row>
    <row r="167" s="350" customFormat="1" ht="24" customHeight="1">
      <c r="A167" s="33">
        <v>156</v>
      </c>
      <c r="B167" s="42" t="s">
        <v>1020</v>
      </c>
      <c r="C167" s="215">
        <f>D167+K167+L167+M167+N167+O167+P167+Q167+R167+S167+T167</f>
        <v>341152.75</v>
      </c>
      <c r="D167" s="215">
        <f>SUM(E167:I167)</f>
        <v>0</v>
      </c>
      <c r="E167" s="92">
        <v>0</v>
      </c>
      <c r="F167" s="79">
        <v>0</v>
      </c>
      <c r="G167" s="79">
        <v>0</v>
      </c>
      <c r="H167" s="92">
        <v>0</v>
      </c>
      <c r="I167" s="92">
        <v>0</v>
      </c>
      <c r="J167" s="398">
        <v>0</v>
      </c>
      <c r="K167" s="79">
        <v>0</v>
      </c>
      <c r="L167" s="92">
        <v>0</v>
      </c>
      <c r="M167" s="79">
        <v>0</v>
      </c>
      <c r="N167" s="92">
        <v>0</v>
      </c>
      <c r="O167" s="79">
        <v>0</v>
      </c>
      <c r="P167" s="92">
        <v>341152.75</v>
      </c>
      <c r="Q167" s="79">
        <v>0</v>
      </c>
      <c r="R167" s="79">
        <v>0</v>
      </c>
      <c r="S167" s="79">
        <v>0</v>
      </c>
      <c r="T167" s="79">
        <v>0</v>
      </c>
      <c r="U167" s="350"/>
      <c r="V167" s="350"/>
      <c r="W167" s="350"/>
      <c r="X167" s="350"/>
      <c r="Y167" s="350"/>
      <c r="Z167" s="350"/>
      <c r="AA167" s="350"/>
      <c r="AB167" s="350"/>
      <c r="AC167" s="350"/>
      <c r="AD167" s="350"/>
      <c r="AE167" s="350"/>
    </row>
    <row r="168" s="350" customFormat="1" ht="24" customHeight="1">
      <c r="A168" s="122">
        <v>157</v>
      </c>
      <c r="B168" s="42" t="s">
        <v>1021</v>
      </c>
      <c r="C168" s="215">
        <f>D168+K168+L168+M168+N168+O168+P168+Q168+R168+S168+T168</f>
        <v>275867.20000000001</v>
      </c>
      <c r="D168" s="215">
        <f>SUM(E168:I168)</f>
        <v>0</v>
      </c>
      <c r="E168" s="92">
        <v>0</v>
      </c>
      <c r="F168" s="92">
        <v>0</v>
      </c>
      <c r="G168" s="92">
        <v>0</v>
      </c>
      <c r="H168" s="92">
        <v>0</v>
      </c>
      <c r="I168" s="92">
        <v>0</v>
      </c>
      <c r="J168" s="398">
        <v>0</v>
      </c>
      <c r="K168" s="79">
        <v>0</v>
      </c>
      <c r="L168" s="79">
        <v>0</v>
      </c>
      <c r="M168" s="79">
        <v>0</v>
      </c>
      <c r="N168" s="92">
        <v>0</v>
      </c>
      <c r="O168" s="79">
        <v>0</v>
      </c>
      <c r="P168" s="92">
        <v>275867.20000000001</v>
      </c>
      <c r="Q168" s="79">
        <v>0</v>
      </c>
      <c r="R168" s="79">
        <v>0</v>
      </c>
      <c r="S168" s="79">
        <v>0</v>
      </c>
      <c r="T168" s="79">
        <v>0</v>
      </c>
      <c r="U168" s="350"/>
      <c r="V168" s="350"/>
      <c r="W168" s="350"/>
      <c r="X168" s="350"/>
      <c r="Y168" s="350"/>
      <c r="Z168" s="350"/>
      <c r="AA168" s="350"/>
      <c r="AB168" s="350"/>
      <c r="AC168" s="350"/>
      <c r="AD168" s="350"/>
      <c r="AE168" s="350"/>
    </row>
    <row r="169" s="350" customFormat="1" ht="24" customHeight="1">
      <c r="A169" s="33">
        <v>158</v>
      </c>
      <c r="B169" s="42" t="s">
        <v>1022</v>
      </c>
      <c r="C169" s="215">
        <f>D169+K169+L169+M169+N169+O169+P169+Q169+R169+S169+T169</f>
        <v>16067994.93</v>
      </c>
      <c r="D169" s="215">
        <f>SUM(E169:I169)</f>
        <v>0</v>
      </c>
      <c r="E169" s="92">
        <v>0</v>
      </c>
      <c r="F169" s="79">
        <v>0</v>
      </c>
      <c r="G169" s="79">
        <v>0</v>
      </c>
      <c r="H169" s="92">
        <v>0</v>
      </c>
      <c r="I169" s="92">
        <v>0</v>
      </c>
      <c r="J169" s="398">
        <v>0</v>
      </c>
      <c r="K169" s="79">
        <v>0</v>
      </c>
      <c r="L169" s="92">
        <v>15733375.1</v>
      </c>
      <c r="M169" s="79">
        <v>0</v>
      </c>
      <c r="N169" s="79">
        <v>0</v>
      </c>
      <c r="O169" s="79">
        <v>0</v>
      </c>
      <c r="P169" s="92">
        <v>334619.83000000002</v>
      </c>
      <c r="Q169" s="79">
        <v>0</v>
      </c>
      <c r="R169" s="79">
        <v>0</v>
      </c>
      <c r="S169" s="79">
        <v>0</v>
      </c>
      <c r="T169" s="79">
        <v>0</v>
      </c>
      <c r="U169" s="350"/>
      <c r="V169" s="350"/>
      <c r="W169" s="350"/>
      <c r="X169" s="350"/>
      <c r="Y169" s="350"/>
      <c r="Z169" s="350"/>
      <c r="AA169" s="350"/>
      <c r="AB169" s="350"/>
      <c r="AC169" s="350"/>
      <c r="AD169" s="350"/>
      <c r="AE169" s="350"/>
    </row>
    <row r="170" s="350" customFormat="1" ht="24" customHeight="1">
      <c r="A170" s="122">
        <v>159</v>
      </c>
      <c r="B170" s="42" t="s">
        <v>258</v>
      </c>
      <c r="C170" s="215">
        <f>D170+K170+L170+M170+N170+O170+P170+Q170+R170+S170+T170</f>
        <v>417499.58000000002</v>
      </c>
      <c r="D170" s="215">
        <f>SUM(E170:I170)</f>
        <v>417499.58000000002</v>
      </c>
      <c r="E170" s="92">
        <v>0</v>
      </c>
      <c r="F170" s="158">
        <v>0</v>
      </c>
      <c r="G170" s="79">
        <v>0</v>
      </c>
      <c r="H170" s="92">
        <v>0</v>
      </c>
      <c r="I170" s="92">
        <v>417499.58000000002</v>
      </c>
      <c r="J170" s="345">
        <v>0</v>
      </c>
      <c r="K170" s="79">
        <v>0</v>
      </c>
      <c r="L170" s="158">
        <v>0</v>
      </c>
      <c r="M170" s="79">
        <v>0</v>
      </c>
      <c r="N170" s="158">
        <v>0</v>
      </c>
      <c r="O170" s="79">
        <v>0</v>
      </c>
      <c r="P170" s="158">
        <v>0</v>
      </c>
      <c r="Q170" s="79">
        <v>0</v>
      </c>
      <c r="R170" s="158">
        <v>0</v>
      </c>
      <c r="S170" s="79">
        <v>0</v>
      </c>
      <c r="T170" s="79">
        <v>0</v>
      </c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</row>
    <row r="171" s="350" customFormat="1" ht="24" customHeight="1">
      <c r="A171" s="33">
        <v>160</v>
      </c>
      <c r="B171" s="42" t="s">
        <v>1023</v>
      </c>
      <c r="C171" s="215">
        <f>D171+K171+L171+M171+N171+O171+P171+Q171+R171+S171+T171</f>
        <v>878766.18999999994</v>
      </c>
      <c r="D171" s="215">
        <f>SUM(E171:I171)</f>
        <v>416007.78999999998</v>
      </c>
      <c r="E171" s="92">
        <v>416007.78999999998</v>
      </c>
      <c r="F171" s="79">
        <v>0</v>
      </c>
      <c r="G171" s="79">
        <v>0</v>
      </c>
      <c r="H171" s="92">
        <v>0</v>
      </c>
      <c r="I171" s="79">
        <v>0</v>
      </c>
      <c r="J171" s="398">
        <v>0</v>
      </c>
      <c r="K171" s="79">
        <v>0</v>
      </c>
      <c r="L171" s="79">
        <v>0</v>
      </c>
      <c r="M171" s="79">
        <v>0</v>
      </c>
      <c r="N171" s="79">
        <v>0</v>
      </c>
      <c r="O171" s="79">
        <v>0</v>
      </c>
      <c r="P171" s="92">
        <f>231379.2+231379.2</f>
        <v>462758.40000000002</v>
      </c>
      <c r="Q171" s="79">
        <v>0</v>
      </c>
      <c r="R171" s="79">
        <v>0</v>
      </c>
      <c r="S171" s="79">
        <v>0</v>
      </c>
      <c r="T171" s="79">
        <v>0</v>
      </c>
      <c r="U171" s="350"/>
      <c r="V171" s="350"/>
      <c r="W171" s="350"/>
      <c r="X171" s="350"/>
      <c r="Y171" s="350"/>
      <c r="Z171" s="350"/>
      <c r="AA171" s="350"/>
      <c r="AB171" s="350"/>
      <c r="AC171" s="350"/>
      <c r="AD171" s="350"/>
      <c r="AE171" s="350"/>
    </row>
    <row r="172" s="350" customFormat="1" ht="24" customHeight="1">
      <c r="A172" s="122">
        <v>161</v>
      </c>
      <c r="B172" s="53" t="s">
        <v>260</v>
      </c>
      <c r="C172" s="215">
        <f>D172+K172+L172+M172+N172+O172+P172+Q172+R172+S172+T172</f>
        <v>3321610.6300000004</v>
      </c>
      <c r="D172" s="215">
        <f>SUM(E172:I172)</f>
        <v>3321610.6300000004</v>
      </c>
      <c r="E172" s="92">
        <v>2864583.6800000002</v>
      </c>
      <c r="F172" s="79">
        <v>0</v>
      </c>
      <c r="G172" s="79">
        <v>0</v>
      </c>
      <c r="H172" s="92">
        <v>457026.95000000001</v>
      </c>
      <c r="I172" s="79">
        <v>0</v>
      </c>
      <c r="J172" s="398">
        <v>0</v>
      </c>
      <c r="K172" s="79">
        <v>0</v>
      </c>
      <c r="L172" s="92">
        <v>0</v>
      </c>
      <c r="M172" s="79">
        <v>0</v>
      </c>
      <c r="N172" s="79">
        <v>0</v>
      </c>
      <c r="O172" s="79">
        <v>0</v>
      </c>
      <c r="P172" s="92">
        <v>0</v>
      </c>
      <c r="Q172" s="79">
        <v>0</v>
      </c>
      <c r="R172" s="79">
        <v>0</v>
      </c>
      <c r="S172" s="79">
        <v>0</v>
      </c>
      <c r="T172" s="79">
        <v>0</v>
      </c>
      <c r="U172" s="350"/>
      <c r="V172" s="350"/>
      <c r="W172" s="350"/>
      <c r="X172" s="350"/>
      <c r="Y172" s="350"/>
      <c r="Z172" s="350"/>
      <c r="AA172" s="350"/>
      <c r="AB172" s="350"/>
      <c r="AC172" s="350"/>
      <c r="AD172" s="350"/>
      <c r="AE172" s="350"/>
    </row>
    <row r="173" s="350" customFormat="1" ht="24" customHeight="1">
      <c r="A173" s="33">
        <v>162</v>
      </c>
      <c r="B173" s="53" t="s">
        <v>261</v>
      </c>
      <c r="C173" s="215">
        <f>D173+K173+L173+M173+N173+O173+P173+Q173+R173+S173+T173</f>
        <v>552648.25</v>
      </c>
      <c r="D173" s="215">
        <f>SUM(E173:I173)</f>
        <v>552648.25</v>
      </c>
      <c r="E173" s="92">
        <v>552648.25</v>
      </c>
      <c r="F173" s="79">
        <v>0</v>
      </c>
      <c r="G173" s="92">
        <v>0</v>
      </c>
      <c r="H173" s="92">
        <v>0</v>
      </c>
      <c r="I173" s="92">
        <v>0</v>
      </c>
      <c r="J173" s="398">
        <v>0</v>
      </c>
      <c r="K173" s="79">
        <v>0</v>
      </c>
      <c r="L173" s="79">
        <v>0</v>
      </c>
      <c r="M173" s="79">
        <v>0</v>
      </c>
      <c r="N173" s="79">
        <v>0</v>
      </c>
      <c r="O173" s="79">
        <v>0</v>
      </c>
      <c r="P173" s="79">
        <v>0</v>
      </c>
      <c r="Q173" s="79">
        <v>0</v>
      </c>
      <c r="R173" s="79">
        <v>0</v>
      </c>
      <c r="S173" s="79">
        <v>0</v>
      </c>
      <c r="T173" s="79">
        <v>0</v>
      </c>
      <c r="U173" s="350"/>
      <c r="V173" s="350"/>
      <c r="W173" s="350"/>
      <c r="X173" s="350"/>
      <c r="Y173" s="350"/>
      <c r="Z173" s="350"/>
      <c r="AA173" s="350"/>
      <c r="AB173" s="350"/>
      <c r="AC173" s="350"/>
      <c r="AD173" s="350"/>
      <c r="AE173" s="350"/>
      <c r="AF173" s="350"/>
      <c r="AG173" s="350"/>
      <c r="AH173" s="350"/>
      <c r="AI173" s="350"/>
    </row>
    <row r="174" s="350" customFormat="1" ht="24" customHeight="1">
      <c r="A174" s="122">
        <v>163</v>
      </c>
      <c r="B174" s="53" t="s">
        <v>1024</v>
      </c>
      <c r="C174" s="215">
        <f>D174+K174+L174+M174+N174+O174+P174+Q174+R174+S174+T174</f>
        <v>265265.28999999998</v>
      </c>
      <c r="D174" s="215">
        <f>SUM(E174:I174)</f>
        <v>0</v>
      </c>
      <c r="E174" s="92">
        <v>0</v>
      </c>
      <c r="F174" s="158">
        <v>0</v>
      </c>
      <c r="G174" s="79">
        <v>0</v>
      </c>
      <c r="H174" s="92">
        <v>0</v>
      </c>
      <c r="I174" s="158">
        <v>0</v>
      </c>
      <c r="J174" s="398">
        <v>0</v>
      </c>
      <c r="K174" s="158">
        <v>0</v>
      </c>
      <c r="L174" s="92">
        <v>0</v>
      </c>
      <c r="M174" s="158">
        <v>0</v>
      </c>
      <c r="N174" s="79">
        <v>0</v>
      </c>
      <c r="O174" s="158">
        <v>0</v>
      </c>
      <c r="P174" s="92">
        <v>265265.28999999998</v>
      </c>
      <c r="Q174" s="158">
        <v>0</v>
      </c>
      <c r="R174" s="79">
        <v>0</v>
      </c>
      <c r="S174" s="158">
        <v>0</v>
      </c>
      <c r="T174" s="79">
        <v>0</v>
      </c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350"/>
      <c r="AG174" s="350"/>
      <c r="AH174" s="350"/>
      <c r="AI174" s="350"/>
    </row>
    <row r="175" s="350" customFormat="1" ht="24" customHeight="1">
      <c r="A175" s="33">
        <v>164</v>
      </c>
      <c r="B175" s="53" t="s">
        <v>1025</v>
      </c>
      <c r="C175" s="215">
        <f>D175+K175+L175+M175+N175+O175+P175+Q175+R175+S175+T175</f>
        <v>198337.28</v>
      </c>
      <c r="D175" s="215">
        <f>SUM(E175:I175)</f>
        <v>0</v>
      </c>
      <c r="E175" s="92">
        <v>0</v>
      </c>
      <c r="F175" s="79">
        <v>0</v>
      </c>
      <c r="G175" s="158">
        <v>0</v>
      </c>
      <c r="H175" s="92">
        <v>0</v>
      </c>
      <c r="I175" s="79">
        <v>0</v>
      </c>
      <c r="J175" s="398">
        <v>0</v>
      </c>
      <c r="K175" s="79">
        <v>0</v>
      </c>
      <c r="L175" s="92">
        <v>0</v>
      </c>
      <c r="M175" s="79">
        <v>0</v>
      </c>
      <c r="N175" s="79">
        <v>0</v>
      </c>
      <c r="O175" s="79">
        <v>0</v>
      </c>
      <c r="P175" s="92">
        <v>198337.28</v>
      </c>
      <c r="Q175" s="79">
        <v>0</v>
      </c>
      <c r="R175" s="79">
        <v>0</v>
      </c>
      <c r="S175" s="79">
        <v>0</v>
      </c>
      <c r="T175" s="79">
        <v>0</v>
      </c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</row>
    <row r="176" s="350" customFormat="1" ht="24" customHeight="1">
      <c r="A176" s="122">
        <v>165</v>
      </c>
      <c r="B176" s="42" t="s">
        <v>1026</v>
      </c>
      <c r="C176" s="215">
        <f>D176+K176+L176+M176+N176+O176+P176+Q176+R176+S176+T176</f>
        <v>7217703.7599999998</v>
      </c>
      <c r="D176" s="215">
        <f>SUM(E176:I176)</f>
        <v>0</v>
      </c>
      <c r="E176" s="92">
        <v>0</v>
      </c>
      <c r="F176" s="79">
        <v>0</v>
      </c>
      <c r="G176" s="79">
        <v>0</v>
      </c>
      <c r="H176" s="92">
        <v>0</v>
      </c>
      <c r="I176" s="79">
        <v>0</v>
      </c>
      <c r="J176" s="398">
        <v>2</v>
      </c>
      <c r="K176" s="92">
        <v>7157417.4199999999</v>
      </c>
      <c r="L176" s="79">
        <v>0</v>
      </c>
      <c r="M176" s="79">
        <v>0</v>
      </c>
      <c r="N176" s="79">
        <v>0</v>
      </c>
      <c r="O176" s="79">
        <v>0</v>
      </c>
      <c r="P176" s="92">
        <v>60286.339999999997</v>
      </c>
      <c r="Q176" s="79">
        <v>0</v>
      </c>
      <c r="R176" s="79">
        <v>0</v>
      </c>
      <c r="S176" s="79">
        <v>0</v>
      </c>
      <c r="T176" s="79">
        <v>0</v>
      </c>
      <c r="U176" s="350"/>
      <c r="V176" s="350"/>
      <c r="W176" s="350"/>
      <c r="X176" s="350"/>
      <c r="Y176" s="350"/>
      <c r="Z176" s="350"/>
      <c r="AA176" s="350"/>
      <c r="AB176" s="350"/>
      <c r="AC176" s="350"/>
      <c r="AD176" s="350"/>
      <c r="AE176" s="350"/>
    </row>
    <row r="177" s="350" customFormat="1" ht="24" customHeight="1">
      <c r="A177" s="33">
        <v>166</v>
      </c>
      <c r="B177" s="42" t="s">
        <v>265</v>
      </c>
      <c r="C177" s="215">
        <f>D177+K177+L177+M177+N177+O177+P177+Q177+R177+S177+T177</f>
        <v>6686341.6799999997</v>
      </c>
      <c r="D177" s="215">
        <f>SUM(E177:I177)</f>
        <v>0</v>
      </c>
      <c r="E177" s="92">
        <v>0</v>
      </c>
      <c r="F177" s="400">
        <v>0</v>
      </c>
      <c r="G177" s="400">
        <v>0</v>
      </c>
      <c r="H177" s="92">
        <v>0</v>
      </c>
      <c r="I177" s="400">
        <v>0</v>
      </c>
      <c r="J177" s="402">
        <v>0</v>
      </c>
      <c r="K177" s="92">
        <v>0</v>
      </c>
      <c r="L177" s="400">
        <v>6686341.6799999997</v>
      </c>
      <c r="M177" s="400">
        <v>0</v>
      </c>
      <c r="N177" s="400">
        <v>0</v>
      </c>
      <c r="O177" s="400">
        <v>0</v>
      </c>
      <c r="P177" s="400">
        <v>0</v>
      </c>
      <c r="Q177" s="400">
        <v>0</v>
      </c>
      <c r="R177" s="400">
        <v>0</v>
      </c>
      <c r="S177" s="400">
        <v>0</v>
      </c>
      <c r="T177" s="79">
        <v>0</v>
      </c>
      <c r="U177" s="350"/>
      <c r="V177" s="350"/>
      <c r="W177" s="350"/>
      <c r="X177" s="350"/>
      <c r="Y177" s="350"/>
      <c r="Z177" s="350"/>
      <c r="AA177" s="350"/>
      <c r="AB177" s="350"/>
      <c r="AC177" s="350"/>
      <c r="AD177" s="350"/>
      <c r="AE177" s="350"/>
    </row>
    <row r="178" s="399" customFormat="1" ht="24" customHeight="1">
      <c r="A178" s="122">
        <v>167</v>
      </c>
      <c r="B178" s="42" t="s">
        <v>1027</v>
      </c>
      <c r="C178" s="215">
        <f>D178+K178+L178+M178+N178+O178+P178+Q178+R178+S178+T178</f>
        <v>200414.45999999999</v>
      </c>
      <c r="D178" s="215">
        <f>SUM(E178:I178)</f>
        <v>0</v>
      </c>
      <c r="E178" s="92">
        <v>0</v>
      </c>
      <c r="F178" s="79">
        <v>0</v>
      </c>
      <c r="G178" s="79">
        <v>0</v>
      </c>
      <c r="H178" s="92">
        <v>0</v>
      </c>
      <c r="I178" s="79">
        <v>0</v>
      </c>
      <c r="J178" s="398">
        <v>0</v>
      </c>
      <c r="K178" s="158">
        <v>0</v>
      </c>
      <c r="L178" s="79">
        <v>0</v>
      </c>
      <c r="M178" s="79">
        <v>0</v>
      </c>
      <c r="N178" s="92">
        <v>0</v>
      </c>
      <c r="O178" s="79">
        <v>0</v>
      </c>
      <c r="P178" s="92">
        <v>200414.45999999999</v>
      </c>
      <c r="Q178" s="79">
        <v>0</v>
      </c>
      <c r="R178" s="79">
        <v>0</v>
      </c>
      <c r="S178" s="79">
        <v>0</v>
      </c>
      <c r="T178" s="79">
        <v>0</v>
      </c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</row>
    <row r="179" s="350" customFormat="1" ht="24" customHeight="1">
      <c r="A179" s="33">
        <v>168</v>
      </c>
      <c r="B179" s="42" t="s">
        <v>268</v>
      </c>
      <c r="C179" s="215">
        <f>D179+K179+L179+M179+N179+O179+P179+Q179+R179+S179+T179</f>
        <v>6231042.2599999998</v>
      </c>
      <c r="D179" s="215">
        <f>SUM(E179:I179)</f>
        <v>0</v>
      </c>
      <c r="E179" s="92">
        <v>0</v>
      </c>
      <c r="F179" s="79">
        <v>0</v>
      </c>
      <c r="G179" s="79">
        <v>0</v>
      </c>
      <c r="H179" s="92">
        <v>0</v>
      </c>
      <c r="I179" s="79">
        <v>0</v>
      </c>
      <c r="J179" s="398">
        <v>2</v>
      </c>
      <c r="K179" s="92">
        <v>6231042.2599999998</v>
      </c>
      <c r="L179" s="79">
        <v>0</v>
      </c>
      <c r="M179" s="79">
        <v>0</v>
      </c>
      <c r="N179" s="79">
        <v>0</v>
      </c>
      <c r="O179" s="79">
        <v>0</v>
      </c>
      <c r="P179" s="79">
        <v>0</v>
      </c>
      <c r="Q179" s="79">
        <v>0</v>
      </c>
      <c r="R179" s="79">
        <v>0</v>
      </c>
      <c r="S179" s="79">
        <v>0</v>
      </c>
      <c r="T179" s="79">
        <v>0</v>
      </c>
      <c r="U179" s="350"/>
      <c r="V179" s="350"/>
      <c r="W179" s="350"/>
      <c r="X179" s="350"/>
      <c r="Y179" s="350"/>
      <c r="Z179" s="350"/>
      <c r="AA179" s="350"/>
      <c r="AB179" s="350"/>
      <c r="AC179" s="350"/>
      <c r="AD179" s="350"/>
      <c r="AE179" s="350"/>
    </row>
    <row r="180" s="350" customFormat="1" ht="24" customHeight="1">
      <c r="A180" s="122">
        <v>169</v>
      </c>
      <c r="B180" s="42" t="s">
        <v>1028</v>
      </c>
      <c r="C180" s="215">
        <f>D180+K180+L180+M180+N180+O180+P180+Q180+R180+S180+T180</f>
        <v>4281748.3700000001</v>
      </c>
      <c r="D180" s="215">
        <f>SUM(E180:I180)</f>
        <v>3995273.98</v>
      </c>
      <c r="E180" s="92">
        <v>0</v>
      </c>
      <c r="F180" s="92">
        <v>3995273.98</v>
      </c>
      <c r="G180" s="79">
        <v>0</v>
      </c>
      <c r="H180" s="92">
        <v>0</v>
      </c>
      <c r="I180" s="79">
        <v>0</v>
      </c>
      <c r="J180" s="398">
        <v>0</v>
      </c>
      <c r="K180" s="79">
        <v>0</v>
      </c>
      <c r="L180" s="79">
        <v>0</v>
      </c>
      <c r="M180" s="79">
        <v>0</v>
      </c>
      <c r="N180" s="92">
        <v>0</v>
      </c>
      <c r="O180" s="79">
        <v>0</v>
      </c>
      <c r="P180" s="92">
        <v>286474.39000000001</v>
      </c>
      <c r="Q180" s="79">
        <v>0</v>
      </c>
      <c r="R180" s="79">
        <v>0</v>
      </c>
      <c r="S180" s="79">
        <v>0</v>
      </c>
      <c r="T180" s="79">
        <v>0</v>
      </c>
      <c r="U180" s="350"/>
      <c r="V180" s="350"/>
      <c r="W180" s="350"/>
      <c r="X180" s="350"/>
      <c r="Y180" s="350"/>
      <c r="Z180" s="350"/>
      <c r="AA180" s="350"/>
      <c r="AB180" s="350"/>
      <c r="AC180" s="350"/>
      <c r="AD180" s="350"/>
      <c r="AE180" s="350"/>
    </row>
    <row r="181" s="350" customFormat="1" ht="24" customHeight="1">
      <c r="A181" s="33">
        <v>170</v>
      </c>
      <c r="B181" s="42" t="s">
        <v>271</v>
      </c>
      <c r="C181" s="215">
        <f>D181+K181+L181+M181+N181+O181+P181+Q181+R181+S181+T181</f>
        <v>7099353.2000000002</v>
      </c>
      <c r="D181" s="215">
        <f>SUM(E181:I181)</f>
        <v>0</v>
      </c>
      <c r="E181" s="92">
        <v>0</v>
      </c>
      <c r="F181" s="92">
        <v>0</v>
      </c>
      <c r="G181" s="158">
        <v>0</v>
      </c>
      <c r="H181" s="92">
        <v>0</v>
      </c>
      <c r="I181" s="158">
        <v>0</v>
      </c>
      <c r="J181" s="398">
        <v>0</v>
      </c>
      <c r="K181" s="158">
        <v>0</v>
      </c>
      <c r="L181" s="79">
        <v>0</v>
      </c>
      <c r="M181" s="158">
        <v>0</v>
      </c>
      <c r="N181" s="92">
        <v>7099353.2000000002</v>
      </c>
      <c r="O181" s="158">
        <v>0</v>
      </c>
      <c r="P181" s="92">
        <v>0</v>
      </c>
      <c r="Q181" s="158">
        <v>0</v>
      </c>
      <c r="R181" s="79">
        <v>0</v>
      </c>
      <c r="S181" s="158">
        <v>0</v>
      </c>
      <c r="T181" s="79">
        <v>0</v>
      </c>
      <c r="U181" s="399"/>
      <c r="V181" s="399"/>
      <c r="W181" s="399"/>
      <c r="X181" s="399"/>
      <c r="Y181" s="399"/>
      <c r="Z181" s="399"/>
      <c r="AA181" s="399"/>
      <c r="AB181" s="399"/>
      <c r="AC181" s="399"/>
      <c r="AD181" s="399"/>
      <c r="AE181" s="399"/>
    </row>
    <row r="182" s="350" customFormat="1" ht="24" customHeight="1">
      <c r="A182" s="122">
        <v>171</v>
      </c>
      <c r="B182" s="42" t="s">
        <v>272</v>
      </c>
      <c r="C182" s="215">
        <f>D182+K182+L182+M182+N182+O182+P182+Q182+R182+S182+T182</f>
        <v>305150.22999999998</v>
      </c>
      <c r="D182" s="215">
        <f>SUM(E182:I182)</f>
        <v>305150.22999999998</v>
      </c>
      <c r="E182" s="92">
        <v>0</v>
      </c>
      <c r="F182" s="79">
        <v>0</v>
      </c>
      <c r="G182" s="79">
        <v>0</v>
      </c>
      <c r="H182" s="92">
        <v>305150.22999999998</v>
      </c>
      <c r="I182" s="79">
        <v>0</v>
      </c>
      <c r="J182" s="398">
        <v>0</v>
      </c>
      <c r="K182" s="79">
        <v>0</v>
      </c>
      <c r="L182" s="79">
        <v>0</v>
      </c>
      <c r="M182" s="79">
        <v>0</v>
      </c>
      <c r="N182" s="79">
        <v>0</v>
      </c>
      <c r="O182" s="79">
        <v>0</v>
      </c>
      <c r="P182" s="79">
        <v>0</v>
      </c>
      <c r="Q182" s="79">
        <v>0</v>
      </c>
      <c r="R182" s="79">
        <v>0</v>
      </c>
      <c r="S182" s="79">
        <v>0</v>
      </c>
      <c r="T182" s="79">
        <v>0</v>
      </c>
      <c r="U182" s="350"/>
      <c r="V182" s="350"/>
      <c r="W182" s="350"/>
      <c r="X182" s="350"/>
      <c r="Y182" s="350"/>
      <c r="Z182" s="350"/>
      <c r="AA182" s="350"/>
      <c r="AB182" s="350"/>
      <c r="AC182" s="350"/>
      <c r="AD182" s="350"/>
      <c r="AE182" s="350"/>
    </row>
    <row r="183" s="350" customFormat="1" ht="24" customHeight="1">
      <c r="A183" s="33">
        <v>172</v>
      </c>
      <c r="B183" s="42" t="s">
        <v>1029</v>
      </c>
      <c r="C183" s="215">
        <f>D183+K183+L183+M183+N183+O183+P183+Q183+R183+S183+T183</f>
        <v>369205.76000000001</v>
      </c>
      <c r="D183" s="215">
        <f>SUM(E183:I183)</f>
        <v>0</v>
      </c>
      <c r="E183" s="92">
        <v>0</v>
      </c>
      <c r="F183" s="79">
        <v>0</v>
      </c>
      <c r="G183" s="92">
        <v>0</v>
      </c>
      <c r="H183" s="92">
        <v>0</v>
      </c>
      <c r="I183" s="79">
        <v>0</v>
      </c>
      <c r="J183" s="398">
        <v>0</v>
      </c>
      <c r="K183" s="79">
        <v>0</v>
      </c>
      <c r="L183" s="79">
        <v>0</v>
      </c>
      <c r="M183" s="79">
        <v>0</v>
      </c>
      <c r="N183" s="79">
        <v>0</v>
      </c>
      <c r="O183" s="79">
        <v>0</v>
      </c>
      <c r="P183" s="79">
        <v>369205.76000000001</v>
      </c>
      <c r="Q183" s="79">
        <v>0</v>
      </c>
      <c r="R183" s="79">
        <v>0</v>
      </c>
      <c r="S183" s="79">
        <v>0</v>
      </c>
      <c r="T183" s="79">
        <v>0</v>
      </c>
      <c r="U183" s="350"/>
      <c r="V183" s="350"/>
      <c r="W183" s="350"/>
      <c r="X183" s="350"/>
      <c r="Y183" s="350"/>
      <c r="Z183" s="350"/>
      <c r="AA183" s="350"/>
      <c r="AB183" s="350"/>
      <c r="AC183" s="350"/>
      <c r="AD183" s="350"/>
      <c r="AE183" s="350"/>
    </row>
    <row r="184" s="350" customFormat="1" ht="24" customHeight="1">
      <c r="A184" s="122">
        <v>173</v>
      </c>
      <c r="B184" s="42" t="s">
        <v>1030</v>
      </c>
      <c r="C184" s="215">
        <f>D184+K184+L184+M184+N184+O184+P184+Q184+R184+S184+T184</f>
        <v>197832.14000000001</v>
      </c>
      <c r="D184" s="215">
        <f>SUM(E184:I184)</f>
        <v>0</v>
      </c>
      <c r="E184" s="92">
        <v>0</v>
      </c>
      <c r="F184" s="79">
        <v>0</v>
      </c>
      <c r="G184" s="79">
        <v>0</v>
      </c>
      <c r="H184" s="92">
        <v>0</v>
      </c>
      <c r="I184" s="79">
        <v>0</v>
      </c>
      <c r="J184" s="398">
        <v>0</v>
      </c>
      <c r="K184" s="79">
        <v>0</v>
      </c>
      <c r="L184" s="92">
        <v>0</v>
      </c>
      <c r="M184" s="79">
        <v>0</v>
      </c>
      <c r="N184" s="79">
        <v>0</v>
      </c>
      <c r="O184" s="79">
        <v>0</v>
      </c>
      <c r="P184" s="92">
        <v>197832.14000000001</v>
      </c>
      <c r="Q184" s="79">
        <v>0</v>
      </c>
      <c r="R184" s="79">
        <v>0</v>
      </c>
      <c r="S184" s="79">
        <v>0</v>
      </c>
      <c r="T184" s="79">
        <v>0</v>
      </c>
      <c r="U184" s="350"/>
      <c r="V184" s="350"/>
      <c r="W184" s="350"/>
      <c r="X184" s="350"/>
      <c r="Y184" s="350"/>
      <c r="Z184" s="350"/>
      <c r="AA184" s="350"/>
      <c r="AB184" s="350"/>
      <c r="AC184" s="350"/>
      <c r="AD184" s="350"/>
      <c r="AE184" s="350"/>
    </row>
    <row r="185" s="350" customFormat="1" ht="24" customHeight="1">
      <c r="A185" s="33">
        <v>174</v>
      </c>
      <c r="B185" s="42" t="s">
        <v>1031</v>
      </c>
      <c r="C185" s="215">
        <f>D185+K185+L185+M185+N185+O185+P185+Q185+R185+S185+T185</f>
        <v>899393.77999999991</v>
      </c>
      <c r="D185" s="215">
        <f>SUM(E185:I185)</f>
        <v>740410.93999999994</v>
      </c>
      <c r="E185" s="92">
        <v>0</v>
      </c>
      <c r="F185" s="92">
        <v>740410.93999999994</v>
      </c>
      <c r="G185" s="79">
        <v>0</v>
      </c>
      <c r="H185" s="92">
        <v>0</v>
      </c>
      <c r="I185" s="92">
        <v>0</v>
      </c>
      <c r="J185" s="398">
        <v>0</v>
      </c>
      <c r="K185" s="79">
        <v>0</v>
      </c>
      <c r="L185" s="79">
        <v>0</v>
      </c>
      <c r="M185" s="79">
        <v>0</v>
      </c>
      <c r="N185" s="79">
        <v>0</v>
      </c>
      <c r="O185" s="79">
        <v>0</v>
      </c>
      <c r="P185" s="92">
        <v>158982.84</v>
      </c>
      <c r="Q185" s="79">
        <v>0</v>
      </c>
      <c r="R185" s="79">
        <v>0</v>
      </c>
      <c r="S185" s="79">
        <v>0</v>
      </c>
      <c r="T185" s="79">
        <v>0</v>
      </c>
      <c r="U185" s="350"/>
      <c r="V185" s="350"/>
      <c r="W185" s="350"/>
      <c r="X185" s="350"/>
      <c r="Y185" s="350"/>
      <c r="Z185" s="350"/>
      <c r="AA185" s="350"/>
      <c r="AB185" s="350"/>
      <c r="AC185" s="350"/>
      <c r="AD185" s="350"/>
      <c r="AE185" s="350"/>
    </row>
    <row r="186" s="350" customFormat="1" ht="24" customHeight="1">
      <c r="A186" s="122">
        <v>175</v>
      </c>
      <c r="B186" s="42" t="s">
        <v>1032</v>
      </c>
      <c r="C186" s="215">
        <f>D186+K186+L186+M186+N186+O186+P186+Q186+R186+S186+T186</f>
        <v>2920463.1300000004</v>
      </c>
      <c r="D186" s="215">
        <f>SUM(E186:I186)</f>
        <v>2626701.4700000002</v>
      </c>
      <c r="E186" s="92">
        <v>2626701.4700000002</v>
      </c>
      <c r="F186" s="92">
        <v>0</v>
      </c>
      <c r="G186" s="79">
        <v>0</v>
      </c>
      <c r="H186" s="92">
        <v>0</v>
      </c>
      <c r="I186" s="79">
        <v>0</v>
      </c>
      <c r="J186" s="398">
        <v>0</v>
      </c>
      <c r="K186" s="79">
        <v>0</v>
      </c>
      <c r="L186" s="79">
        <v>0</v>
      </c>
      <c r="M186" s="79">
        <v>0</v>
      </c>
      <c r="N186" s="79">
        <v>0</v>
      </c>
      <c r="O186" s="79">
        <v>0</v>
      </c>
      <c r="P186" s="92">
        <v>293761.65999999997</v>
      </c>
      <c r="Q186" s="79">
        <v>0</v>
      </c>
      <c r="R186" s="79">
        <v>0</v>
      </c>
      <c r="S186" s="79">
        <v>0</v>
      </c>
      <c r="T186" s="79">
        <v>0</v>
      </c>
      <c r="U186" s="350"/>
      <c r="V186" s="350"/>
      <c r="W186" s="350"/>
      <c r="X186" s="350"/>
      <c r="Y186" s="350"/>
      <c r="Z186" s="350"/>
      <c r="AA186" s="350"/>
      <c r="AB186" s="350"/>
      <c r="AC186" s="350"/>
      <c r="AD186" s="350"/>
      <c r="AE186" s="350"/>
    </row>
    <row r="187" s="350" customFormat="1" ht="24" customHeight="1">
      <c r="A187" s="33">
        <v>176</v>
      </c>
      <c r="B187" s="42" t="s">
        <v>277</v>
      </c>
      <c r="C187" s="215">
        <f>D187+K187+L187+M187+N187+O187+P187+Q187+R187+S187+T187</f>
        <v>2970493.5</v>
      </c>
      <c r="D187" s="215">
        <f>SUM(E187:I187)</f>
        <v>0</v>
      </c>
      <c r="E187" s="92">
        <v>0</v>
      </c>
      <c r="F187" s="400">
        <v>0</v>
      </c>
      <c r="G187" s="400">
        <v>0</v>
      </c>
      <c r="H187" s="92">
        <v>0</v>
      </c>
      <c r="I187" s="400">
        <v>0</v>
      </c>
      <c r="J187" s="402">
        <v>1</v>
      </c>
      <c r="K187" s="92">
        <v>2970493.5</v>
      </c>
      <c r="L187" s="400">
        <v>0</v>
      </c>
      <c r="M187" s="400">
        <v>0</v>
      </c>
      <c r="N187" s="400">
        <v>0</v>
      </c>
      <c r="O187" s="400">
        <v>0</v>
      </c>
      <c r="P187" s="400">
        <v>0</v>
      </c>
      <c r="Q187" s="400">
        <v>0</v>
      </c>
      <c r="R187" s="400">
        <v>0</v>
      </c>
      <c r="S187" s="400">
        <v>0</v>
      </c>
      <c r="T187" s="79">
        <v>0</v>
      </c>
      <c r="U187" s="350"/>
      <c r="V187" s="350"/>
      <c r="W187" s="350"/>
      <c r="X187" s="350"/>
      <c r="Y187" s="350"/>
      <c r="Z187" s="350"/>
      <c r="AA187" s="350"/>
      <c r="AB187" s="350"/>
      <c r="AC187" s="350"/>
      <c r="AD187" s="350"/>
      <c r="AE187" s="350"/>
    </row>
    <row r="188" s="350" customFormat="1" ht="24" customHeight="1">
      <c r="A188" s="122">
        <v>177</v>
      </c>
      <c r="B188" s="42" t="s">
        <v>1033</v>
      </c>
      <c r="C188" s="215">
        <f>D188+K188+L188+M188+N188+O188+P188+Q188+R188+S188+T188</f>
        <v>19837780.93</v>
      </c>
      <c r="D188" s="215">
        <f>SUM(E188:I188)</f>
        <v>18661328.84</v>
      </c>
      <c r="E188" s="92">
        <v>0</v>
      </c>
      <c r="F188" s="79">
        <v>0</v>
      </c>
      <c r="G188" s="79">
        <v>15433981.1</v>
      </c>
      <c r="H188" s="92">
        <v>2252506.9399999999</v>
      </c>
      <c r="I188" s="79">
        <v>974840.80000000005</v>
      </c>
      <c r="J188" s="398">
        <v>0</v>
      </c>
      <c r="K188" s="92">
        <v>0</v>
      </c>
      <c r="L188" s="79">
        <v>0</v>
      </c>
      <c r="M188" s="79">
        <v>0</v>
      </c>
      <c r="N188" s="79">
        <v>0</v>
      </c>
      <c r="O188" s="79">
        <v>0</v>
      </c>
      <c r="P188" s="79">
        <f>556325.79+620126.3</f>
        <v>1176452.0900000001</v>
      </c>
      <c r="Q188" s="79">
        <v>0</v>
      </c>
      <c r="R188" s="79">
        <v>0</v>
      </c>
      <c r="S188" s="79">
        <v>0</v>
      </c>
      <c r="T188" s="79">
        <v>0</v>
      </c>
      <c r="U188" s="350"/>
      <c r="V188" s="350"/>
      <c r="W188" s="350"/>
      <c r="X188" s="350"/>
      <c r="Y188" s="350"/>
      <c r="Z188" s="350"/>
      <c r="AA188" s="350"/>
      <c r="AB188" s="350"/>
      <c r="AC188" s="350"/>
      <c r="AD188" s="350"/>
      <c r="AE188" s="350"/>
    </row>
    <row r="189" s="350" customFormat="1" ht="24" customHeight="1">
      <c r="A189" s="33">
        <v>178</v>
      </c>
      <c r="B189" s="42" t="s">
        <v>1034</v>
      </c>
      <c r="C189" s="215">
        <f>D189+K189+L189+M189+N189+O189+P189+Q189+R189+S189+T189</f>
        <v>278214.34999999998</v>
      </c>
      <c r="D189" s="215">
        <f>SUM(E189:I189)</f>
        <v>0</v>
      </c>
      <c r="E189" s="92">
        <v>0</v>
      </c>
      <c r="F189" s="92">
        <v>0</v>
      </c>
      <c r="G189" s="92">
        <v>0</v>
      </c>
      <c r="H189" s="92">
        <v>0</v>
      </c>
      <c r="I189" s="92">
        <v>0</v>
      </c>
      <c r="J189" s="398">
        <v>0</v>
      </c>
      <c r="K189" s="79">
        <v>0</v>
      </c>
      <c r="L189" s="79">
        <v>0</v>
      </c>
      <c r="M189" s="79">
        <v>0</v>
      </c>
      <c r="N189" s="79">
        <v>0</v>
      </c>
      <c r="O189" s="79">
        <v>0</v>
      </c>
      <c r="P189" s="92">
        <v>278214.34999999998</v>
      </c>
      <c r="Q189" s="79">
        <v>0</v>
      </c>
      <c r="R189" s="79">
        <v>0</v>
      </c>
      <c r="S189" s="79">
        <v>0</v>
      </c>
      <c r="T189" s="79">
        <v>0</v>
      </c>
      <c r="U189" s="350"/>
      <c r="V189" s="350"/>
      <c r="W189" s="350"/>
      <c r="X189" s="350"/>
      <c r="Y189" s="350"/>
      <c r="Z189" s="350"/>
      <c r="AA189" s="350"/>
      <c r="AB189" s="350"/>
      <c r="AC189" s="350"/>
      <c r="AD189" s="350"/>
      <c r="AE189" s="350"/>
    </row>
    <row r="190" s="350" customFormat="1" ht="24" customHeight="1">
      <c r="A190" s="122">
        <v>179</v>
      </c>
      <c r="B190" s="42" t="s">
        <v>1035</v>
      </c>
      <c r="C190" s="215">
        <f>D190+K190+L190+M190+N190+O190+P190+Q190+R190+S190+T190</f>
        <v>543742.03000000003</v>
      </c>
      <c r="D190" s="215">
        <f>SUM(E190:I190)</f>
        <v>0</v>
      </c>
      <c r="E190" s="92">
        <v>0</v>
      </c>
      <c r="F190" s="92">
        <v>0</v>
      </c>
      <c r="G190" s="92">
        <v>0</v>
      </c>
      <c r="H190" s="92">
        <v>0</v>
      </c>
      <c r="I190" s="92">
        <v>0</v>
      </c>
      <c r="J190" s="398">
        <v>0</v>
      </c>
      <c r="K190" s="79">
        <v>0</v>
      </c>
      <c r="L190" s="79">
        <v>0</v>
      </c>
      <c r="M190" s="79">
        <v>0</v>
      </c>
      <c r="N190" s="79">
        <v>0</v>
      </c>
      <c r="O190" s="79">
        <v>0</v>
      </c>
      <c r="P190" s="92">
        <f>323713.28+220028.75</f>
        <v>543742.03000000003</v>
      </c>
      <c r="Q190" s="79">
        <v>0</v>
      </c>
      <c r="R190" s="79">
        <v>0</v>
      </c>
      <c r="S190" s="79">
        <v>0</v>
      </c>
      <c r="T190" s="79">
        <v>0</v>
      </c>
      <c r="U190" s="350"/>
      <c r="V190" s="350"/>
      <c r="W190" s="350"/>
      <c r="X190" s="350"/>
      <c r="Y190" s="350"/>
      <c r="Z190" s="350"/>
      <c r="AA190" s="350"/>
      <c r="AB190" s="350"/>
      <c r="AC190" s="350"/>
      <c r="AD190" s="350"/>
      <c r="AE190" s="350"/>
    </row>
    <row r="191" s="350" customFormat="1" ht="24" customHeight="1">
      <c r="A191" s="33">
        <v>180</v>
      </c>
      <c r="B191" s="42" t="s">
        <v>281</v>
      </c>
      <c r="C191" s="215">
        <f>D191+K191+L191+M191+N191+O191+P191+Q191+R191+S191+T191</f>
        <v>1588373.5600000001</v>
      </c>
      <c r="D191" s="215">
        <f>SUM(E191:I191)</f>
        <v>1588373.5600000001</v>
      </c>
      <c r="E191" s="92">
        <v>1588373.5600000001</v>
      </c>
      <c r="F191" s="92">
        <v>0</v>
      </c>
      <c r="G191" s="92">
        <v>0</v>
      </c>
      <c r="H191" s="92">
        <v>0</v>
      </c>
      <c r="I191" s="92">
        <v>0</v>
      </c>
      <c r="J191" s="398">
        <v>0</v>
      </c>
      <c r="K191" s="79">
        <v>0</v>
      </c>
      <c r="L191" s="79">
        <v>0</v>
      </c>
      <c r="M191" s="79">
        <v>0</v>
      </c>
      <c r="N191" s="79">
        <v>0</v>
      </c>
      <c r="O191" s="79">
        <v>0</v>
      </c>
      <c r="P191" s="92">
        <v>0</v>
      </c>
      <c r="Q191" s="79">
        <v>0</v>
      </c>
      <c r="R191" s="79">
        <v>0</v>
      </c>
      <c r="S191" s="79">
        <v>0</v>
      </c>
      <c r="T191" s="79">
        <v>0</v>
      </c>
      <c r="U191" s="350"/>
      <c r="V191" s="350"/>
      <c r="W191" s="350"/>
      <c r="X191" s="350"/>
      <c r="Y191" s="350"/>
      <c r="Z191" s="350"/>
      <c r="AA191" s="350"/>
      <c r="AB191" s="350"/>
      <c r="AC191" s="350"/>
      <c r="AD191" s="350"/>
      <c r="AE191" s="350"/>
    </row>
    <row r="192" s="399" customFormat="1" ht="24" customHeight="1">
      <c r="A192" s="122">
        <v>181</v>
      </c>
      <c r="B192" s="42" t="s">
        <v>282</v>
      </c>
      <c r="C192" s="215">
        <f>D192+K192+L192+M192+N192+O192+P192+Q192+R192+S192+T192</f>
        <v>2915106.04</v>
      </c>
      <c r="D192" s="215">
        <f>SUM(E192:I192)</f>
        <v>0</v>
      </c>
      <c r="E192" s="92">
        <v>0</v>
      </c>
      <c r="F192" s="92">
        <v>0</v>
      </c>
      <c r="G192" s="92">
        <v>0</v>
      </c>
      <c r="H192" s="92">
        <v>0</v>
      </c>
      <c r="I192" s="92">
        <v>0</v>
      </c>
      <c r="J192" s="398">
        <v>0</v>
      </c>
      <c r="K192" s="79">
        <v>0</v>
      </c>
      <c r="L192" s="79">
        <v>2915106.04</v>
      </c>
      <c r="M192" s="79">
        <v>0</v>
      </c>
      <c r="N192" s="79">
        <v>0</v>
      </c>
      <c r="O192" s="79">
        <v>0</v>
      </c>
      <c r="P192" s="92">
        <v>0</v>
      </c>
      <c r="Q192" s="79">
        <v>0</v>
      </c>
      <c r="R192" s="79">
        <v>0</v>
      </c>
      <c r="S192" s="79">
        <v>0</v>
      </c>
      <c r="T192" s="79">
        <v>0</v>
      </c>
      <c r="U192" s="399"/>
      <c r="V192" s="399"/>
      <c r="W192" s="399"/>
      <c r="X192" s="399"/>
      <c r="Y192" s="399"/>
      <c r="Z192" s="399"/>
      <c r="AA192" s="399"/>
      <c r="AB192" s="399"/>
      <c r="AC192" s="399"/>
      <c r="AD192" s="399"/>
      <c r="AE192" s="399"/>
    </row>
    <row r="193" s="399" customFormat="1" ht="24" customHeight="1">
      <c r="A193" s="33">
        <v>182</v>
      </c>
      <c r="B193" s="42" t="s">
        <v>1036</v>
      </c>
      <c r="C193" s="215">
        <f>D193+K193+L193+M193+N193+O193+P193+Q193+R193+S193+T193</f>
        <v>273196.97999999998</v>
      </c>
      <c r="D193" s="215">
        <f>SUM(E193:I193)</f>
        <v>0</v>
      </c>
      <c r="E193" s="92">
        <v>0</v>
      </c>
      <c r="F193" s="158">
        <v>0</v>
      </c>
      <c r="G193" s="79">
        <v>0</v>
      </c>
      <c r="H193" s="92">
        <v>0</v>
      </c>
      <c r="I193" s="158">
        <v>0</v>
      </c>
      <c r="J193" s="398">
        <v>0</v>
      </c>
      <c r="K193" s="158">
        <v>0</v>
      </c>
      <c r="L193" s="79">
        <v>0</v>
      </c>
      <c r="M193" s="158">
        <v>0</v>
      </c>
      <c r="N193" s="92">
        <v>0</v>
      </c>
      <c r="O193" s="158">
        <v>0</v>
      </c>
      <c r="P193" s="79">
        <v>273196.97999999998</v>
      </c>
      <c r="Q193" s="158">
        <v>0</v>
      </c>
      <c r="R193" s="79">
        <v>0</v>
      </c>
      <c r="S193" s="158">
        <v>0</v>
      </c>
      <c r="T193" s="79">
        <v>0</v>
      </c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</row>
    <row r="194" s="350" customFormat="1" ht="26.25" customHeight="1">
      <c r="A194" s="122">
        <v>183</v>
      </c>
      <c r="B194" s="42" t="s">
        <v>1037</v>
      </c>
      <c r="C194" s="215">
        <f>D194+K194+L194+M194+N194+O194+P194+Q194+R194+S194+T194</f>
        <v>216160.23999999999</v>
      </c>
      <c r="D194" s="215">
        <f>SUM(E194:I194)</f>
        <v>0</v>
      </c>
      <c r="E194" s="92">
        <v>0</v>
      </c>
      <c r="F194" s="79">
        <v>0</v>
      </c>
      <c r="G194" s="79">
        <v>0</v>
      </c>
      <c r="H194" s="92">
        <v>0</v>
      </c>
      <c r="I194" s="79">
        <v>0</v>
      </c>
      <c r="J194" s="398">
        <v>0</v>
      </c>
      <c r="K194" s="79">
        <v>0</v>
      </c>
      <c r="L194" s="79">
        <v>0</v>
      </c>
      <c r="M194" s="79">
        <v>0</v>
      </c>
      <c r="N194" s="79">
        <v>0</v>
      </c>
      <c r="O194" s="79">
        <v>0</v>
      </c>
      <c r="P194" s="92">
        <v>216160.23999999999</v>
      </c>
      <c r="Q194" s="79">
        <v>0</v>
      </c>
      <c r="R194" s="79">
        <v>0</v>
      </c>
      <c r="S194" s="79">
        <v>0</v>
      </c>
      <c r="T194" s="79">
        <v>0</v>
      </c>
      <c r="U194" s="350"/>
      <c r="V194" s="350"/>
      <c r="W194" s="350"/>
      <c r="X194" s="350"/>
      <c r="Y194" s="350"/>
      <c r="Z194" s="350"/>
      <c r="AA194" s="350"/>
      <c r="AB194" s="350"/>
      <c r="AC194" s="350"/>
      <c r="AD194" s="350"/>
      <c r="AE194" s="350"/>
      <c r="AF194" s="350"/>
      <c r="AG194" s="350"/>
      <c r="AH194" s="350"/>
      <c r="AI194" s="350"/>
      <c r="AJ194" s="350"/>
      <c r="AK194" s="350"/>
    </row>
    <row r="195" s="350" customFormat="1" ht="26.25" customHeight="1">
      <c r="A195" s="33">
        <v>184</v>
      </c>
      <c r="B195" s="52" t="s">
        <v>1038</v>
      </c>
      <c r="C195" s="215">
        <f>D195+K195+L195+M195+N195+O195+P195+Q195+R195+S195+T195</f>
        <v>3163919.3600000003</v>
      </c>
      <c r="D195" s="215">
        <f>SUM(E195:I195)</f>
        <v>0</v>
      </c>
      <c r="E195" s="92">
        <v>0</v>
      </c>
      <c r="F195" s="79">
        <v>0</v>
      </c>
      <c r="G195" s="79">
        <v>0</v>
      </c>
      <c r="H195" s="92">
        <v>0</v>
      </c>
      <c r="I195" s="79">
        <v>0</v>
      </c>
      <c r="J195" s="398">
        <v>1</v>
      </c>
      <c r="K195" s="92">
        <v>3099166.7000000002</v>
      </c>
      <c r="L195" s="79">
        <v>0</v>
      </c>
      <c r="M195" s="79">
        <v>0</v>
      </c>
      <c r="N195" s="79">
        <v>0</v>
      </c>
      <c r="O195" s="79">
        <v>0</v>
      </c>
      <c r="P195" s="92">
        <v>64752.660000000003</v>
      </c>
      <c r="Q195" s="79">
        <v>0</v>
      </c>
      <c r="R195" s="79">
        <v>0</v>
      </c>
      <c r="S195" s="79">
        <v>0</v>
      </c>
      <c r="T195" s="79">
        <v>0</v>
      </c>
      <c r="U195" s="350"/>
      <c r="V195" s="350"/>
      <c r="W195" s="350"/>
      <c r="X195" s="350"/>
      <c r="Y195" s="350"/>
      <c r="Z195" s="350"/>
      <c r="AA195" s="350"/>
      <c r="AB195" s="350"/>
      <c r="AC195" s="350"/>
      <c r="AD195" s="350"/>
      <c r="AE195" s="350"/>
    </row>
    <row r="196" s="350" customFormat="1" ht="24" customHeight="1">
      <c r="A196" s="122">
        <v>185</v>
      </c>
      <c r="B196" s="42" t="s">
        <v>1039</v>
      </c>
      <c r="C196" s="215">
        <f>D196+K196+L196+M196+N196+O196+P196+Q196+R196+S196+T196</f>
        <v>15394957.140000001</v>
      </c>
      <c r="D196" s="215">
        <f>SUM(E196:I196)</f>
        <v>0</v>
      </c>
      <c r="E196" s="92">
        <v>0</v>
      </c>
      <c r="F196" s="79">
        <v>0</v>
      </c>
      <c r="G196" s="79">
        <v>0</v>
      </c>
      <c r="H196" s="92">
        <v>0</v>
      </c>
      <c r="I196" s="79">
        <v>0</v>
      </c>
      <c r="J196" s="398">
        <v>0</v>
      </c>
      <c r="K196" s="79">
        <v>0</v>
      </c>
      <c r="L196" s="79">
        <v>14609008.92</v>
      </c>
      <c r="M196" s="79">
        <v>0</v>
      </c>
      <c r="N196" s="79">
        <v>0</v>
      </c>
      <c r="O196" s="79">
        <v>0</v>
      </c>
      <c r="P196" s="92">
        <f>293738.63+221192.43+271017.16</f>
        <v>785948.21999999997</v>
      </c>
      <c r="Q196" s="79">
        <v>0</v>
      </c>
      <c r="R196" s="79">
        <v>0</v>
      </c>
      <c r="S196" s="79">
        <v>0</v>
      </c>
      <c r="T196" s="79">
        <v>0</v>
      </c>
      <c r="U196" s="350"/>
      <c r="V196" s="350"/>
      <c r="W196" s="350"/>
      <c r="X196" s="350"/>
      <c r="Y196" s="350"/>
      <c r="Z196" s="350"/>
      <c r="AA196" s="350"/>
      <c r="AB196" s="350"/>
      <c r="AC196" s="350"/>
      <c r="AD196" s="350"/>
      <c r="AE196" s="350"/>
    </row>
    <row r="197" s="350" customFormat="1" ht="24" customHeight="1">
      <c r="A197" s="33">
        <v>186</v>
      </c>
      <c r="B197" s="42" t="s">
        <v>1040</v>
      </c>
      <c r="C197" s="215">
        <f>D197+K197+L197+M197+N197+O197+P197+Q197+R197+S197+T197</f>
        <v>5519507.4900000002</v>
      </c>
      <c r="D197" s="215">
        <f>SUM(E197:I197)</f>
        <v>0</v>
      </c>
      <c r="E197" s="92">
        <v>0</v>
      </c>
      <c r="F197" s="79">
        <v>0</v>
      </c>
      <c r="G197" s="79">
        <v>0</v>
      </c>
      <c r="H197" s="92">
        <v>0</v>
      </c>
      <c r="I197" s="92">
        <v>0</v>
      </c>
      <c r="J197" s="398">
        <v>0</v>
      </c>
      <c r="K197" s="79">
        <v>0</v>
      </c>
      <c r="L197" s="92">
        <v>5230858.5499999998</v>
      </c>
      <c r="M197" s="79">
        <v>0</v>
      </c>
      <c r="N197" s="79">
        <v>0</v>
      </c>
      <c r="O197" s="79">
        <v>0</v>
      </c>
      <c r="P197" s="92">
        <v>288648.94</v>
      </c>
      <c r="Q197" s="79">
        <v>0</v>
      </c>
      <c r="R197" s="79">
        <v>0</v>
      </c>
      <c r="S197" s="79">
        <v>0</v>
      </c>
      <c r="T197" s="79">
        <v>0</v>
      </c>
      <c r="U197" s="350"/>
      <c r="V197" s="350"/>
      <c r="W197" s="350"/>
      <c r="X197" s="350"/>
      <c r="Y197" s="350"/>
      <c r="Z197" s="350"/>
      <c r="AA197" s="350"/>
      <c r="AB197" s="350"/>
      <c r="AC197" s="350"/>
      <c r="AD197" s="350"/>
      <c r="AE197" s="350"/>
    </row>
    <row r="198" s="350" customFormat="1" ht="24" customHeight="1">
      <c r="A198" s="122">
        <v>187</v>
      </c>
      <c r="B198" s="53" t="s">
        <v>1041</v>
      </c>
      <c r="C198" s="215">
        <f>D198+K198+L198+M198+N198+O198+P198+Q198+R198+S198+T198</f>
        <v>146034.67999999999</v>
      </c>
      <c r="D198" s="215">
        <f>SUM(E198:I198)</f>
        <v>0</v>
      </c>
      <c r="E198" s="92">
        <v>0</v>
      </c>
      <c r="F198" s="92">
        <v>0</v>
      </c>
      <c r="G198" s="92">
        <v>0</v>
      </c>
      <c r="H198" s="92">
        <v>0</v>
      </c>
      <c r="I198" s="92">
        <v>0</v>
      </c>
      <c r="J198" s="398">
        <v>0</v>
      </c>
      <c r="K198" s="79">
        <v>0</v>
      </c>
      <c r="L198" s="79">
        <v>0</v>
      </c>
      <c r="M198" s="79">
        <v>0</v>
      </c>
      <c r="N198" s="92">
        <v>0</v>
      </c>
      <c r="O198" s="79">
        <v>0</v>
      </c>
      <c r="P198" s="92">
        <f>109035.8+36998.88</f>
        <v>146034.67999999999</v>
      </c>
      <c r="Q198" s="79">
        <v>0</v>
      </c>
      <c r="R198" s="79">
        <v>0</v>
      </c>
      <c r="S198" s="79">
        <v>0</v>
      </c>
      <c r="T198" s="79">
        <v>0</v>
      </c>
      <c r="U198" s="350"/>
      <c r="V198" s="350"/>
      <c r="W198" s="350"/>
      <c r="X198" s="350"/>
      <c r="Y198" s="350"/>
      <c r="Z198" s="350"/>
      <c r="AA198" s="350"/>
      <c r="AB198" s="350"/>
      <c r="AC198" s="350"/>
      <c r="AD198" s="350"/>
      <c r="AE198" s="350"/>
      <c r="AF198" s="350"/>
      <c r="AG198" s="350"/>
      <c r="AH198" s="350"/>
      <c r="AI198" s="350"/>
    </row>
    <row r="199" s="350" customFormat="1" ht="24" customHeight="1">
      <c r="A199" s="33">
        <v>188</v>
      </c>
      <c r="B199" s="42" t="s">
        <v>1042</v>
      </c>
      <c r="C199" s="215">
        <f>D199+K199+L199+M199+N199+O199+P199+Q199+R199+S199+T199</f>
        <v>207377.07999999999</v>
      </c>
      <c r="D199" s="215">
        <f>SUM(E199:I199)</f>
        <v>0</v>
      </c>
      <c r="E199" s="92">
        <v>0</v>
      </c>
      <c r="F199" s="92">
        <v>0</v>
      </c>
      <c r="G199" s="158">
        <v>0</v>
      </c>
      <c r="H199" s="92">
        <v>0</v>
      </c>
      <c r="I199" s="92">
        <v>0</v>
      </c>
      <c r="J199" s="345">
        <v>0</v>
      </c>
      <c r="K199" s="79">
        <v>0</v>
      </c>
      <c r="L199" s="158">
        <v>0</v>
      </c>
      <c r="M199" s="79">
        <v>0</v>
      </c>
      <c r="N199" s="158">
        <v>0</v>
      </c>
      <c r="O199" s="79">
        <v>0</v>
      </c>
      <c r="P199" s="92">
        <v>207377.07999999999</v>
      </c>
      <c r="Q199" s="158">
        <v>0</v>
      </c>
      <c r="R199" s="79">
        <v>0</v>
      </c>
      <c r="S199" s="158">
        <v>0</v>
      </c>
      <c r="T199" s="79">
        <v>0</v>
      </c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</row>
    <row r="200" s="31" customFormat="1" ht="23.399999999999999" customHeight="1">
      <c r="A200" s="122">
        <v>189</v>
      </c>
      <c r="B200" s="42" t="s">
        <v>1043</v>
      </c>
      <c r="C200" s="215">
        <f>D200+K200+L200+M200+N200+O200+P200+Q200+R200+S200+T200</f>
        <v>226352.79999999999</v>
      </c>
      <c r="D200" s="215">
        <f>SUM(E200:I200)</f>
        <v>0</v>
      </c>
      <c r="E200" s="92">
        <v>0</v>
      </c>
      <c r="F200" s="79">
        <v>0</v>
      </c>
      <c r="G200" s="79">
        <v>0</v>
      </c>
      <c r="H200" s="92">
        <v>0</v>
      </c>
      <c r="I200" s="79">
        <v>0</v>
      </c>
      <c r="J200" s="398">
        <v>0</v>
      </c>
      <c r="K200" s="79">
        <v>0</v>
      </c>
      <c r="L200" s="92">
        <v>0</v>
      </c>
      <c r="M200" s="79">
        <v>0</v>
      </c>
      <c r="N200" s="79">
        <v>0</v>
      </c>
      <c r="O200" s="79">
        <v>0</v>
      </c>
      <c r="P200" s="92">
        <v>226352.79999999999</v>
      </c>
      <c r="Q200" s="79">
        <v>0</v>
      </c>
      <c r="R200" s="79">
        <v>0</v>
      </c>
      <c r="S200" s="79">
        <v>0</v>
      </c>
      <c r="T200" s="79"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</row>
    <row r="201" s="47" customFormat="1" ht="23.399999999999999" customHeight="1">
      <c r="A201" s="33">
        <v>190</v>
      </c>
      <c r="B201" s="42" t="s">
        <v>1044</v>
      </c>
      <c r="C201" s="215">
        <f>D201+K201+L201+M201+N201+O201+P201+Q201+R201+S201+T201</f>
        <v>235869.34</v>
      </c>
      <c r="D201" s="215">
        <f>SUM(E201:I201)</f>
        <v>0</v>
      </c>
      <c r="E201" s="92">
        <v>0</v>
      </c>
      <c r="F201" s="158">
        <v>0</v>
      </c>
      <c r="G201" s="79">
        <v>0</v>
      </c>
      <c r="H201" s="92">
        <v>0</v>
      </c>
      <c r="I201" s="158">
        <v>0</v>
      </c>
      <c r="J201" s="398">
        <v>0</v>
      </c>
      <c r="K201" s="158">
        <v>0</v>
      </c>
      <c r="L201" s="92">
        <v>0</v>
      </c>
      <c r="M201" s="158">
        <v>0</v>
      </c>
      <c r="N201" s="79">
        <v>0</v>
      </c>
      <c r="O201" s="158">
        <v>0</v>
      </c>
      <c r="P201" s="92">
        <v>235869.34</v>
      </c>
      <c r="Q201" s="158">
        <v>0</v>
      </c>
      <c r="R201" s="79">
        <v>0</v>
      </c>
      <c r="S201" s="158">
        <v>0</v>
      </c>
      <c r="T201" s="79">
        <v>0</v>
      </c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</row>
    <row r="202" s="31" customFormat="1" ht="23.399999999999999" customHeight="1">
      <c r="A202" s="122">
        <v>191</v>
      </c>
      <c r="B202" s="42" t="s">
        <v>293</v>
      </c>
      <c r="C202" s="215">
        <f>D202+K202+L202+M202+N202+O202+P202+Q202+R202+S202+T202</f>
        <v>3392991.1400000001</v>
      </c>
      <c r="D202" s="215">
        <f>SUM(E202:I202)</f>
        <v>3392991.1400000001</v>
      </c>
      <c r="E202" s="92">
        <v>3392991.1400000001</v>
      </c>
      <c r="F202" s="79">
        <v>0</v>
      </c>
      <c r="G202" s="79">
        <v>0</v>
      </c>
      <c r="H202" s="92">
        <v>0</v>
      </c>
      <c r="I202" s="79">
        <v>0</v>
      </c>
      <c r="J202" s="398">
        <v>0</v>
      </c>
      <c r="K202" s="79">
        <v>0</v>
      </c>
      <c r="L202" s="79">
        <v>0</v>
      </c>
      <c r="M202" s="79">
        <v>0</v>
      </c>
      <c r="N202" s="79">
        <v>0</v>
      </c>
      <c r="O202" s="79">
        <v>0</v>
      </c>
      <c r="P202" s="79">
        <v>0</v>
      </c>
      <c r="Q202" s="79">
        <v>0</v>
      </c>
      <c r="R202" s="79">
        <v>0</v>
      </c>
      <c r="S202" s="79">
        <v>0</v>
      </c>
      <c r="T202" s="79">
        <v>0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</row>
    <row r="203" s="31" customFormat="1" ht="23.399999999999999" customHeight="1">
      <c r="A203" s="33">
        <v>192</v>
      </c>
      <c r="B203" s="42" t="s">
        <v>294</v>
      </c>
      <c r="C203" s="215">
        <f>D203+K203+L203+M203+N203+O203+P203+Q203+R203+S203+T203</f>
        <v>9251607.1999999993</v>
      </c>
      <c r="D203" s="215">
        <f>SUM(E203:I203)</f>
        <v>0</v>
      </c>
      <c r="E203" s="92">
        <v>0</v>
      </c>
      <c r="F203" s="79">
        <v>0</v>
      </c>
      <c r="G203" s="79">
        <v>0</v>
      </c>
      <c r="H203" s="92">
        <v>0</v>
      </c>
      <c r="I203" s="79">
        <v>0</v>
      </c>
      <c r="J203" s="398">
        <v>3</v>
      </c>
      <c r="K203" s="92">
        <v>9251607.1999999993</v>
      </c>
      <c r="L203" s="79">
        <v>0</v>
      </c>
      <c r="M203" s="79">
        <v>0</v>
      </c>
      <c r="N203" s="79">
        <v>0</v>
      </c>
      <c r="O203" s="79">
        <v>0</v>
      </c>
      <c r="P203" s="79">
        <v>0</v>
      </c>
      <c r="Q203" s="79">
        <v>0</v>
      </c>
      <c r="R203" s="79">
        <v>0</v>
      </c>
      <c r="S203" s="79">
        <v>0</v>
      </c>
      <c r="T203" s="79"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</row>
    <row r="204" s="60" customFormat="1" ht="23.399999999999999" customHeight="1">
      <c r="A204" s="122">
        <v>193</v>
      </c>
      <c r="B204" s="53" t="s">
        <v>1045</v>
      </c>
      <c r="C204" s="215">
        <f>D204+K204+L204+M204+N204+O204+P204+Q204+R204+S204+T204</f>
        <v>741885.46999999997</v>
      </c>
      <c r="D204" s="215">
        <f>SUM(E204:I204)</f>
        <v>693698.98999999999</v>
      </c>
      <c r="E204" s="92">
        <v>0</v>
      </c>
      <c r="F204" s="92">
        <v>0</v>
      </c>
      <c r="G204" s="92">
        <v>0</v>
      </c>
      <c r="H204" s="92">
        <v>243736.23999999999</v>
      </c>
      <c r="I204" s="92">
        <v>449962.75</v>
      </c>
      <c r="J204" s="398">
        <v>0</v>
      </c>
      <c r="K204" s="79">
        <v>0</v>
      </c>
      <c r="L204" s="79">
        <v>0</v>
      </c>
      <c r="M204" s="79">
        <v>0</v>
      </c>
      <c r="N204" s="92">
        <v>0</v>
      </c>
      <c r="O204" s="79">
        <v>0</v>
      </c>
      <c r="P204" s="92">
        <v>48186.480000000003</v>
      </c>
      <c r="Q204" s="79">
        <v>0</v>
      </c>
      <c r="R204" s="79">
        <v>0</v>
      </c>
      <c r="S204" s="79">
        <v>0</v>
      </c>
      <c r="T204" s="79">
        <v>0</v>
      </c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  <c r="AE204" s="60"/>
    </row>
    <row r="205" s="60" customFormat="1" ht="23.399999999999999" customHeight="1">
      <c r="A205" s="33">
        <v>194</v>
      </c>
      <c r="B205" s="42" t="s">
        <v>1046</v>
      </c>
      <c r="C205" s="215">
        <f>D205+K205+L205+M205+N205+O205+P205+Q205+R205+S205+T205</f>
        <v>567598.57000000007</v>
      </c>
      <c r="D205" s="215">
        <f>SUM(E205:I205)</f>
        <v>0</v>
      </c>
      <c r="E205" s="92">
        <v>0</v>
      </c>
      <c r="F205" s="92">
        <v>0</v>
      </c>
      <c r="G205" s="158">
        <v>0</v>
      </c>
      <c r="H205" s="92">
        <v>0</v>
      </c>
      <c r="I205" s="79">
        <v>0</v>
      </c>
      <c r="J205" s="398">
        <v>0</v>
      </c>
      <c r="K205" s="79">
        <v>0</v>
      </c>
      <c r="L205" s="79">
        <v>0</v>
      </c>
      <c r="M205" s="79">
        <v>0</v>
      </c>
      <c r="N205" s="92">
        <v>0</v>
      </c>
      <c r="O205" s="79">
        <v>0</v>
      </c>
      <c r="P205" s="92">
        <f>305174.8+262423.77</f>
        <v>567598.57000000007</v>
      </c>
      <c r="Q205" s="79">
        <v>0</v>
      </c>
      <c r="R205" s="79">
        <v>0</v>
      </c>
      <c r="S205" s="79">
        <v>0</v>
      </c>
      <c r="T205" s="79">
        <v>0</v>
      </c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</row>
    <row r="206" s="60" customFormat="1" ht="23.399999999999999" customHeight="1">
      <c r="A206" s="122">
        <v>195</v>
      </c>
      <c r="B206" s="42" t="s">
        <v>297</v>
      </c>
      <c r="C206" s="215">
        <f>D206+K206+L206+M206+N206+O206+P206+Q206+R206+S206+T206</f>
        <v>24062298</v>
      </c>
      <c r="D206" s="215">
        <f>SUM(E206:I206)</f>
        <v>0</v>
      </c>
      <c r="E206" s="92">
        <v>0</v>
      </c>
      <c r="F206" s="400">
        <v>0</v>
      </c>
      <c r="G206" s="79">
        <v>0</v>
      </c>
      <c r="H206" s="92">
        <v>0</v>
      </c>
      <c r="I206" s="79">
        <v>0</v>
      </c>
      <c r="J206" s="398">
        <v>5</v>
      </c>
      <c r="K206" s="79">
        <v>24062298</v>
      </c>
      <c r="L206" s="79">
        <v>0</v>
      </c>
      <c r="M206" s="79">
        <v>0</v>
      </c>
      <c r="N206" s="79">
        <v>0</v>
      </c>
      <c r="O206" s="79">
        <v>0</v>
      </c>
      <c r="P206" s="79">
        <v>0</v>
      </c>
      <c r="Q206" s="79">
        <v>0</v>
      </c>
      <c r="R206" s="79">
        <v>0</v>
      </c>
      <c r="S206" s="92">
        <v>0</v>
      </c>
      <c r="T206" s="79">
        <v>0</v>
      </c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</row>
    <row r="207" s="60" customFormat="1" ht="23.399999999999999" customHeight="1">
      <c r="A207" s="33">
        <v>196</v>
      </c>
      <c r="B207" s="42" t="s">
        <v>1047</v>
      </c>
      <c r="C207" s="215">
        <f>D207+K207+L207+M207+N207+O207+P207+Q207+R207+S207+T207</f>
        <v>354289.51000000001</v>
      </c>
      <c r="D207" s="215">
        <f>SUM(E207:I207)</f>
        <v>0</v>
      </c>
      <c r="E207" s="92">
        <v>0</v>
      </c>
      <c r="F207" s="92">
        <v>0</v>
      </c>
      <c r="G207" s="92">
        <v>0</v>
      </c>
      <c r="H207" s="92">
        <v>0</v>
      </c>
      <c r="I207" s="79">
        <v>0</v>
      </c>
      <c r="J207" s="398">
        <v>0</v>
      </c>
      <c r="K207" s="79">
        <v>0</v>
      </c>
      <c r="L207" s="79">
        <v>0</v>
      </c>
      <c r="M207" s="79">
        <v>0</v>
      </c>
      <c r="N207" s="79">
        <v>0</v>
      </c>
      <c r="O207" s="79">
        <v>0</v>
      </c>
      <c r="P207" s="92">
        <v>354289.51000000001</v>
      </c>
      <c r="Q207" s="79">
        <v>0</v>
      </c>
      <c r="R207" s="79">
        <v>0</v>
      </c>
      <c r="S207" s="79">
        <v>0</v>
      </c>
      <c r="T207" s="79">
        <v>0</v>
      </c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  <c r="AE207" s="60"/>
    </row>
    <row r="208" s="60" customFormat="1" ht="23.399999999999999" customHeight="1">
      <c r="A208" s="122">
        <v>197</v>
      </c>
      <c r="B208" s="42" t="s">
        <v>299</v>
      </c>
      <c r="C208" s="215">
        <f>D208+K208+L208+M208+N208+O208+P208+Q208+R208+S208+T208</f>
        <v>2005555.6799999999</v>
      </c>
      <c r="D208" s="215">
        <f>SUM(E208:I208)</f>
        <v>0</v>
      </c>
      <c r="E208" s="92">
        <v>0</v>
      </c>
      <c r="F208" s="79">
        <v>0</v>
      </c>
      <c r="G208" s="79">
        <v>0</v>
      </c>
      <c r="H208" s="92">
        <v>0</v>
      </c>
      <c r="I208" s="79">
        <v>0</v>
      </c>
      <c r="J208" s="398">
        <v>0</v>
      </c>
      <c r="K208" s="79">
        <v>0</v>
      </c>
      <c r="L208" s="79">
        <v>2005555.6799999999</v>
      </c>
      <c r="M208" s="79">
        <v>0</v>
      </c>
      <c r="N208" s="79">
        <v>0</v>
      </c>
      <c r="O208" s="79">
        <v>0</v>
      </c>
      <c r="P208" s="79">
        <v>0</v>
      </c>
      <c r="Q208" s="79">
        <v>0</v>
      </c>
      <c r="R208" s="79">
        <v>0</v>
      </c>
      <c r="S208" s="92">
        <v>0</v>
      </c>
      <c r="T208" s="79">
        <v>0</v>
      </c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  <c r="AE208" s="60"/>
    </row>
    <row r="209" s="60" customFormat="1" ht="23.399999999999999" customHeight="1">
      <c r="A209" s="33">
        <v>198</v>
      </c>
      <c r="B209" s="42" t="s">
        <v>300</v>
      </c>
      <c r="C209" s="215">
        <f>D209+K209+L209+M209+N209+O209+P209+Q209+R209+S209+T209</f>
        <v>12311275.300000001</v>
      </c>
      <c r="D209" s="215">
        <f>SUM(E209:I209)</f>
        <v>0</v>
      </c>
      <c r="E209" s="92">
        <v>0</v>
      </c>
      <c r="F209" s="79">
        <v>0</v>
      </c>
      <c r="G209" s="79">
        <v>0</v>
      </c>
      <c r="H209" s="92">
        <v>0</v>
      </c>
      <c r="I209" s="79">
        <v>0</v>
      </c>
      <c r="J209" s="398">
        <v>0</v>
      </c>
      <c r="K209" s="79">
        <v>0</v>
      </c>
      <c r="L209" s="79">
        <v>0</v>
      </c>
      <c r="M209" s="79">
        <v>0</v>
      </c>
      <c r="N209" s="79">
        <v>0</v>
      </c>
      <c r="O209" s="79">
        <v>0</v>
      </c>
      <c r="P209" s="79">
        <v>0</v>
      </c>
      <c r="Q209" s="79">
        <v>0</v>
      </c>
      <c r="R209" s="79">
        <v>0</v>
      </c>
      <c r="S209" s="92">
        <v>12311275.300000001</v>
      </c>
      <c r="T209" s="79">
        <v>0</v>
      </c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  <c r="AE209" s="60"/>
      <c r="AF209" s="60"/>
      <c r="AG209" s="60"/>
      <c r="AH209" s="60"/>
      <c r="AI209" s="60"/>
    </row>
    <row r="210" s="31" customFormat="1" ht="22.199999999999999" customHeight="1">
      <c r="A210" s="122">
        <v>199</v>
      </c>
      <c r="B210" s="42" t="s">
        <v>1048</v>
      </c>
      <c r="C210" s="215">
        <f>D210+K210+L210+M210+N210+O210+P210+Q210+R210+S210+T210</f>
        <v>17406748.720000003</v>
      </c>
      <c r="D210" s="215">
        <f>SUM(E210:I210)</f>
        <v>7534455.7199999997</v>
      </c>
      <c r="E210" s="92">
        <v>1983931.2</v>
      </c>
      <c r="F210" s="92">
        <v>5550524.5199999996</v>
      </c>
      <c r="G210" s="92">
        <v>0</v>
      </c>
      <c r="H210" s="92">
        <v>0</v>
      </c>
      <c r="I210" s="92">
        <v>0</v>
      </c>
      <c r="J210" s="398">
        <v>0</v>
      </c>
      <c r="K210" s="79">
        <v>0</v>
      </c>
      <c r="L210" s="79">
        <v>0</v>
      </c>
      <c r="M210" s="92">
        <v>0</v>
      </c>
      <c r="N210" s="92">
        <v>9341846.9000000004</v>
      </c>
      <c r="O210" s="79">
        <v>0</v>
      </c>
      <c r="P210" s="92">
        <v>530446.09999999998</v>
      </c>
      <c r="Q210" s="79">
        <v>0</v>
      </c>
      <c r="R210" s="79">
        <v>0</v>
      </c>
      <c r="S210" s="92">
        <v>0</v>
      </c>
      <c r="T210" s="79">
        <v>0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</row>
    <row r="211" s="60" customFormat="1" ht="22.199999999999999" customHeight="1">
      <c r="A211" s="33">
        <v>200</v>
      </c>
      <c r="B211" s="42" t="s">
        <v>1049</v>
      </c>
      <c r="C211" s="215">
        <f>D211+K211+L211+M211+N211+O211+P211+Q211+R211+S211+T211</f>
        <v>4304281.1100000003</v>
      </c>
      <c r="D211" s="215">
        <f>SUM(E211:I211)</f>
        <v>3740527.96</v>
      </c>
      <c r="E211" s="92">
        <v>2539754.6499999999</v>
      </c>
      <c r="F211" s="92">
        <v>0</v>
      </c>
      <c r="G211" s="92">
        <v>362920.28999999998</v>
      </c>
      <c r="H211" s="92">
        <v>418477.53999999998</v>
      </c>
      <c r="I211" s="92">
        <v>419375.47999999998</v>
      </c>
      <c r="J211" s="398">
        <v>0</v>
      </c>
      <c r="K211" s="79">
        <v>0</v>
      </c>
      <c r="L211" s="79">
        <v>0</v>
      </c>
      <c r="M211" s="92">
        <v>0</v>
      </c>
      <c r="N211" s="92">
        <v>0</v>
      </c>
      <c r="O211" s="79">
        <v>0</v>
      </c>
      <c r="P211" s="92">
        <v>563753.15000000002</v>
      </c>
      <c r="Q211" s="79">
        <v>0</v>
      </c>
      <c r="R211" s="79">
        <v>0</v>
      </c>
      <c r="S211" s="79">
        <v>0</v>
      </c>
      <c r="T211" s="79">
        <v>0</v>
      </c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0"/>
      <c r="AG211" s="60"/>
      <c r="AH211" s="60"/>
      <c r="AI211" s="60"/>
    </row>
    <row r="212" s="60" customFormat="1" ht="22.199999999999999" customHeight="1">
      <c r="A212" s="61" t="s">
        <v>303</v>
      </c>
      <c r="B212" s="61"/>
      <c r="C212" s="154">
        <f>SUM(C213:C216)</f>
        <v>3857022.2100000004</v>
      </c>
      <c r="D212" s="154">
        <f>SUM(D213:D216)</f>
        <v>3027138.4300000002</v>
      </c>
      <c r="E212" s="154">
        <f>SUM(E213:E216)</f>
        <v>539069.31000000006</v>
      </c>
      <c r="F212" s="154">
        <f>SUM(F213:F216)</f>
        <v>2123768.7000000002</v>
      </c>
      <c r="G212" s="154">
        <f>SUM(G213:G216)</f>
        <v>0</v>
      </c>
      <c r="H212" s="154">
        <f>SUM(H213:H216)</f>
        <v>364300.41999999998</v>
      </c>
      <c r="I212" s="154">
        <f>SUM(I213:I216)</f>
        <v>0</v>
      </c>
      <c r="J212" s="155">
        <f>SUM(J213:J216)</f>
        <v>0</v>
      </c>
      <c r="K212" s="154">
        <f>SUM(K213:K216)</f>
        <v>0</v>
      </c>
      <c r="L212" s="154">
        <f>SUM(L213:L216)</f>
        <v>0</v>
      </c>
      <c r="M212" s="154">
        <f>SUM(M213:M216)</f>
        <v>631285.16000000003</v>
      </c>
      <c r="N212" s="154">
        <f>SUM(N213:N216)</f>
        <v>0</v>
      </c>
      <c r="O212" s="154">
        <f>SUM(O213:O216)</f>
        <v>0</v>
      </c>
      <c r="P212" s="154">
        <f>SUM(P213:P216)</f>
        <v>198598.62</v>
      </c>
      <c r="Q212" s="154">
        <f>SUM(Q213:Q216)</f>
        <v>0</v>
      </c>
      <c r="R212" s="154">
        <f>SUM(R213:R216)</f>
        <v>0</v>
      </c>
      <c r="S212" s="154">
        <f>SUM(S213:S216)</f>
        <v>0</v>
      </c>
      <c r="T212" s="154">
        <f>SUM(T213:T216)</f>
        <v>0</v>
      </c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  <c r="AE212" s="60"/>
    </row>
    <row r="213" s="60" customFormat="1" ht="22.199999999999999" customHeight="1">
      <c r="A213" s="33">
        <v>1</v>
      </c>
      <c r="B213" s="50" t="s">
        <v>304</v>
      </c>
      <c r="C213" s="79">
        <f>D213+K213+L213+M213+N213+O213+P213+Q213+R213+S213+T213</f>
        <v>539069.31000000006</v>
      </c>
      <c r="D213" s="79">
        <f>SUM(E213:I213)</f>
        <v>539069.31000000006</v>
      </c>
      <c r="E213" s="158">
        <v>539069.31000000006</v>
      </c>
      <c r="F213" s="79">
        <v>0</v>
      </c>
      <c r="G213" s="158">
        <v>0</v>
      </c>
      <c r="H213" s="79">
        <v>0</v>
      </c>
      <c r="I213" s="158">
        <v>0</v>
      </c>
      <c r="J213" s="398">
        <v>0</v>
      </c>
      <c r="K213" s="158">
        <v>0</v>
      </c>
      <c r="L213" s="79">
        <v>0</v>
      </c>
      <c r="M213" s="158">
        <v>0</v>
      </c>
      <c r="N213" s="79">
        <v>0</v>
      </c>
      <c r="O213" s="158">
        <v>0</v>
      </c>
      <c r="P213" s="79">
        <v>0</v>
      </c>
      <c r="Q213" s="158">
        <v>0</v>
      </c>
      <c r="R213" s="408">
        <v>0</v>
      </c>
      <c r="S213" s="158">
        <v>0</v>
      </c>
      <c r="T213" s="79">
        <v>0</v>
      </c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60"/>
      <c r="AK213" s="60"/>
      <c r="AL213" s="60"/>
      <c r="AM213" s="60"/>
      <c r="AN213" s="60"/>
      <c r="AO213" s="60"/>
    </row>
    <row r="214" s="60" customFormat="1" ht="22.199999999999999" customHeight="1">
      <c r="A214" s="33">
        <v>2</v>
      </c>
      <c r="B214" s="50" t="s">
        <v>305</v>
      </c>
      <c r="C214" s="79">
        <f>D214+K214+L214+M214+N214+O214+P214+Q214+R214+S214+T214</f>
        <v>631285.16000000003</v>
      </c>
      <c r="D214" s="79">
        <f>SUM(E214:I214)</f>
        <v>0</v>
      </c>
      <c r="E214" s="79">
        <v>0</v>
      </c>
      <c r="F214" s="79">
        <v>0</v>
      </c>
      <c r="G214" s="79">
        <v>0</v>
      </c>
      <c r="H214" s="79">
        <v>0</v>
      </c>
      <c r="I214" s="79">
        <v>0</v>
      </c>
      <c r="J214" s="398">
        <v>0</v>
      </c>
      <c r="K214" s="79">
        <v>0</v>
      </c>
      <c r="L214" s="79">
        <v>0</v>
      </c>
      <c r="M214" s="79">
        <v>631285.16000000003</v>
      </c>
      <c r="N214" s="79">
        <v>0</v>
      </c>
      <c r="O214" s="79">
        <v>0</v>
      </c>
      <c r="P214" s="79">
        <v>0</v>
      </c>
      <c r="Q214" s="79">
        <v>0</v>
      </c>
      <c r="R214" s="79">
        <v>0</v>
      </c>
      <c r="S214" s="79">
        <v>0</v>
      </c>
      <c r="T214" s="79">
        <v>0</v>
      </c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  <c r="AE214" s="60"/>
      <c r="AF214" s="60"/>
      <c r="AG214" s="60"/>
      <c r="AH214" s="60"/>
      <c r="AI214" s="60"/>
    </row>
    <row r="215" s="60" customFormat="1" ht="22.199999999999999" customHeight="1">
      <c r="A215" s="33">
        <v>3</v>
      </c>
      <c r="B215" s="50" t="s">
        <v>306</v>
      </c>
      <c r="C215" s="79">
        <f>D215+K215+L215+M215+N215+O215+P215+Q215+R215+S215+T215</f>
        <v>364300.41999999998</v>
      </c>
      <c r="D215" s="79">
        <f>SUM(E215:I215)</f>
        <v>364300.41999999998</v>
      </c>
      <c r="E215" s="79">
        <v>0</v>
      </c>
      <c r="F215" s="79">
        <v>0</v>
      </c>
      <c r="G215" s="79">
        <v>0</v>
      </c>
      <c r="H215" s="79">
        <v>364300.41999999998</v>
      </c>
      <c r="I215" s="79">
        <v>0</v>
      </c>
      <c r="J215" s="398">
        <v>0</v>
      </c>
      <c r="K215" s="79">
        <v>0</v>
      </c>
      <c r="L215" s="79">
        <v>0</v>
      </c>
      <c r="M215" s="79">
        <v>0</v>
      </c>
      <c r="N215" s="79">
        <v>0</v>
      </c>
      <c r="O215" s="79">
        <v>0</v>
      </c>
      <c r="P215" s="79">
        <v>0</v>
      </c>
      <c r="Q215" s="79">
        <v>0</v>
      </c>
      <c r="R215" s="79">
        <v>0</v>
      </c>
      <c r="S215" s="79">
        <v>0</v>
      </c>
      <c r="T215" s="79">
        <v>0</v>
      </c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</row>
    <row r="216" s="350" customFormat="1" ht="24" customHeight="1">
      <c r="A216" s="33">
        <v>4</v>
      </c>
      <c r="B216" s="52" t="s">
        <v>1050</v>
      </c>
      <c r="C216" s="79">
        <f>D216+K216+L216+M216+N216+O216+P216+Q216+R216+S216+T216</f>
        <v>2322367.3200000003</v>
      </c>
      <c r="D216" s="79">
        <f>SUM(E216:I216)</f>
        <v>2123768.7000000002</v>
      </c>
      <c r="E216" s="79">
        <v>0</v>
      </c>
      <c r="F216" s="79">
        <v>2123768.7000000002</v>
      </c>
      <c r="G216" s="79">
        <v>0</v>
      </c>
      <c r="H216" s="79">
        <v>0</v>
      </c>
      <c r="I216" s="79">
        <v>0</v>
      </c>
      <c r="J216" s="398">
        <v>0</v>
      </c>
      <c r="K216" s="79">
        <v>0</v>
      </c>
      <c r="L216" s="79">
        <v>0</v>
      </c>
      <c r="M216" s="79">
        <v>0</v>
      </c>
      <c r="N216" s="79">
        <v>0</v>
      </c>
      <c r="O216" s="79">
        <v>0</v>
      </c>
      <c r="P216" s="79">
        <v>198598.62</v>
      </c>
      <c r="Q216" s="79">
        <v>0</v>
      </c>
      <c r="R216" s="79">
        <v>0</v>
      </c>
      <c r="S216" s="79">
        <v>0</v>
      </c>
      <c r="T216" s="79">
        <v>0</v>
      </c>
      <c r="U216" s="350"/>
      <c r="V216" s="350"/>
      <c r="W216" s="350"/>
      <c r="X216" s="350"/>
      <c r="Y216" s="350"/>
      <c r="Z216" s="350"/>
      <c r="AA216" s="350"/>
      <c r="AB216" s="350"/>
      <c r="AC216" s="350"/>
      <c r="AD216" s="350"/>
      <c r="AE216" s="350"/>
    </row>
    <row r="217" s="350" customFormat="1" ht="24" customHeight="1">
      <c r="A217" s="25" t="s">
        <v>308</v>
      </c>
      <c r="B217" s="25"/>
      <c r="C217" s="154">
        <f>SUM(C218:C225)</f>
        <v>7365317.75</v>
      </c>
      <c r="D217" s="154">
        <f>SUM(D218:D225)</f>
        <v>6072715.6699999999</v>
      </c>
      <c r="E217" s="154">
        <f>SUM(E218:E225)</f>
        <v>0</v>
      </c>
      <c r="F217" s="154">
        <f>SUM(F218:F225)</f>
        <v>0</v>
      </c>
      <c r="G217" s="154">
        <f>SUM(G218:G225)</f>
        <v>0</v>
      </c>
      <c r="H217" s="154">
        <f>SUM(H218:H225)</f>
        <v>4451660.5300000003</v>
      </c>
      <c r="I217" s="154">
        <f>SUM(I218:I225)</f>
        <v>1621055.1400000001</v>
      </c>
      <c r="J217" s="155">
        <f>SUM(J218:J225)</f>
        <v>0</v>
      </c>
      <c r="K217" s="154">
        <f>SUM(K218:K225)</f>
        <v>0</v>
      </c>
      <c r="L217" s="154">
        <f>SUM(L218:L225)</f>
        <v>0</v>
      </c>
      <c r="M217" s="154">
        <f>SUM(M218:M225)</f>
        <v>0</v>
      </c>
      <c r="N217" s="154">
        <f>SUM(N218:N225)</f>
        <v>0</v>
      </c>
      <c r="O217" s="154">
        <f>SUM(O218:O225)</f>
        <v>0</v>
      </c>
      <c r="P217" s="154">
        <f>SUM(P218:P225)</f>
        <v>1292602.0800000001</v>
      </c>
      <c r="Q217" s="154">
        <f>SUM(Q218:Q225)</f>
        <v>0</v>
      </c>
      <c r="R217" s="154">
        <f>SUM(R218:R225)</f>
        <v>0</v>
      </c>
      <c r="S217" s="154">
        <f>SUM(S218:S225)</f>
        <v>0</v>
      </c>
      <c r="T217" s="154">
        <f>SUM(T218:T225)</f>
        <v>0</v>
      </c>
      <c r="U217" s="350"/>
      <c r="V217" s="350"/>
      <c r="W217" s="350"/>
      <c r="X217" s="350"/>
      <c r="Y217" s="350"/>
      <c r="Z217" s="350"/>
      <c r="AA217" s="350"/>
      <c r="AB217" s="350"/>
      <c r="AC217" s="350"/>
      <c r="AD217" s="350"/>
      <c r="AE217" s="350"/>
    </row>
    <row r="218" s="350" customFormat="1" ht="24" customHeight="1">
      <c r="A218" s="33">
        <v>1</v>
      </c>
      <c r="B218" s="50" t="s">
        <v>309</v>
      </c>
      <c r="C218" s="79">
        <f t="shared" ref="C218:C225" si="207">D218+K218+L218+M218+N218+O218+P218+Q218+R218+S218+T218</f>
        <v>1411852.8</v>
      </c>
      <c r="D218" s="79">
        <f t="shared" ref="D218:D225" si="208">SUM(E218:I218)</f>
        <v>1411852.8</v>
      </c>
      <c r="E218" s="92">
        <v>0</v>
      </c>
      <c r="F218" s="79">
        <v>0</v>
      </c>
      <c r="G218" s="92">
        <v>0</v>
      </c>
      <c r="H218" s="92">
        <v>630786</v>
      </c>
      <c r="I218" s="92">
        <v>781066.80000000005</v>
      </c>
      <c r="J218" s="398">
        <v>0</v>
      </c>
      <c r="K218" s="92">
        <v>0</v>
      </c>
      <c r="L218" s="79">
        <v>0</v>
      </c>
      <c r="M218" s="79">
        <v>0</v>
      </c>
      <c r="N218" s="79">
        <v>0</v>
      </c>
      <c r="O218" s="92">
        <v>0</v>
      </c>
      <c r="P218" s="79">
        <v>0</v>
      </c>
      <c r="Q218" s="92">
        <v>0</v>
      </c>
      <c r="R218" s="79">
        <v>0</v>
      </c>
      <c r="S218" s="92">
        <v>0</v>
      </c>
      <c r="T218" s="79">
        <v>0</v>
      </c>
      <c r="U218" s="350"/>
      <c r="V218" s="350"/>
      <c r="W218" s="350"/>
      <c r="X218" s="350"/>
      <c r="Y218" s="350"/>
      <c r="Z218" s="350"/>
      <c r="AA218" s="350"/>
      <c r="AB218" s="350"/>
      <c r="AC218" s="350"/>
      <c r="AD218" s="350"/>
      <c r="AE218" s="350"/>
    </row>
    <row r="219" s="60" customFormat="1" ht="25.800000000000001" customHeight="1">
      <c r="A219" s="33">
        <v>2</v>
      </c>
      <c r="B219" s="50" t="s">
        <v>310</v>
      </c>
      <c r="C219" s="79">
        <f t="shared" si="207"/>
        <v>735913.19999999995</v>
      </c>
      <c r="D219" s="79">
        <f t="shared" si="208"/>
        <v>735913.19999999995</v>
      </c>
      <c r="E219" s="92">
        <v>0</v>
      </c>
      <c r="F219" s="79">
        <v>0</v>
      </c>
      <c r="G219" s="79">
        <v>0</v>
      </c>
      <c r="H219" s="92">
        <v>735913.19999999995</v>
      </c>
      <c r="I219" s="79">
        <v>0</v>
      </c>
      <c r="J219" s="398">
        <v>0</v>
      </c>
      <c r="K219" s="79">
        <v>0</v>
      </c>
      <c r="L219" s="79">
        <v>0</v>
      </c>
      <c r="M219" s="79">
        <v>0</v>
      </c>
      <c r="N219" s="79">
        <v>0</v>
      </c>
      <c r="O219" s="79">
        <v>0</v>
      </c>
      <c r="P219" s="79">
        <v>0</v>
      </c>
      <c r="Q219" s="79">
        <v>0</v>
      </c>
      <c r="R219" s="79">
        <v>0</v>
      </c>
      <c r="S219" s="79">
        <v>0</v>
      </c>
      <c r="T219" s="79">
        <v>0</v>
      </c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  <c r="AE219" s="60"/>
    </row>
    <row r="220" s="60" customFormat="1" ht="25.800000000000001" customHeight="1">
      <c r="A220" s="33">
        <v>3</v>
      </c>
      <c r="B220" s="50" t="s">
        <v>1051</v>
      </c>
      <c r="C220" s="79">
        <f t="shared" si="207"/>
        <v>1435542.7</v>
      </c>
      <c r="D220" s="79">
        <f t="shared" si="208"/>
        <v>709514.51000000001</v>
      </c>
      <c r="E220" s="92">
        <v>0</v>
      </c>
      <c r="F220" s="92">
        <v>0</v>
      </c>
      <c r="G220" s="92">
        <v>0</v>
      </c>
      <c r="H220" s="92">
        <v>303081.23999999999</v>
      </c>
      <c r="I220" s="92">
        <v>406433.27000000002</v>
      </c>
      <c r="J220" s="398">
        <v>0</v>
      </c>
      <c r="K220" s="79">
        <v>0</v>
      </c>
      <c r="L220" s="79">
        <v>0</v>
      </c>
      <c r="M220" s="79">
        <v>0</v>
      </c>
      <c r="N220" s="79">
        <v>0</v>
      </c>
      <c r="O220" s="79">
        <v>0</v>
      </c>
      <c r="P220" s="92">
        <v>726028.18999999994</v>
      </c>
      <c r="Q220" s="79">
        <v>0</v>
      </c>
      <c r="R220" s="79">
        <v>0</v>
      </c>
      <c r="S220" s="79">
        <v>0</v>
      </c>
      <c r="T220" s="79">
        <v>0</v>
      </c>
      <c r="U220" s="60"/>
      <c r="V220" s="60"/>
      <c r="W220" s="60"/>
      <c r="X220" s="60"/>
      <c r="Y220" s="60"/>
      <c r="Z220" s="60"/>
      <c r="AA220" s="60"/>
      <c r="AB220" s="60"/>
      <c r="AC220" s="60"/>
      <c r="AD220" s="60"/>
      <c r="AE220" s="60"/>
    </row>
    <row r="221" s="60" customFormat="1" ht="25.800000000000001" customHeight="1">
      <c r="A221" s="33">
        <v>4</v>
      </c>
      <c r="B221" s="50" t="s">
        <v>1052</v>
      </c>
      <c r="C221" s="79">
        <f t="shared" si="207"/>
        <v>1309798.5600000001</v>
      </c>
      <c r="D221" s="79">
        <f t="shared" si="208"/>
        <v>743224.66999999993</v>
      </c>
      <c r="E221" s="92">
        <v>0</v>
      </c>
      <c r="F221" s="79">
        <v>0</v>
      </c>
      <c r="G221" s="92">
        <v>0</v>
      </c>
      <c r="H221" s="92">
        <v>309669.59999999998</v>
      </c>
      <c r="I221" s="92">
        <v>433555.07000000001</v>
      </c>
      <c r="J221" s="398">
        <v>0</v>
      </c>
      <c r="K221" s="79">
        <v>0</v>
      </c>
      <c r="L221" s="79">
        <v>0</v>
      </c>
      <c r="M221" s="79">
        <v>0</v>
      </c>
      <c r="N221" s="79">
        <v>0</v>
      </c>
      <c r="O221" s="79">
        <v>0</v>
      </c>
      <c r="P221" s="92">
        <v>566573.89000000001</v>
      </c>
      <c r="Q221" s="79">
        <v>0</v>
      </c>
      <c r="R221" s="79">
        <v>0</v>
      </c>
      <c r="S221" s="79">
        <v>0</v>
      </c>
      <c r="T221" s="79">
        <v>0</v>
      </c>
      <c r="U221" s="60"/>
      <c r="V221" s="60"/>
      <c r="W221" s="60"/>
      <c r="X221" s="60"/>
      <c r="Y221" s="60"/>
      <c r="Z221" s="60"/>
      <c r="AA221" s="60"/>
      <c r="AB221" s="60"/>
      <c r="AC221" s="60"/>
      <c r="AD221" s="60"/>
      <c r="AE221" s="60"/>
    </row>
    <row r="222" s="350" customFormat="1" ht="24" customHeight="1">
      <c r="A222" s="33">
        <v>5</v>
      </c>
      <c r="B222" s="50" t="s">
        <v>313</v>
      </c>
      <c r="C222" s="79">
        <f t="shared" si="207"/>
        <v>537451.19999999995</v>
      </c>
      <c r="D222" s="79">
        <f t="shared" si="208"/>
        <v>537451.19999999995</v>
      </c>
      <c r="E222" s="92">
        <v>0</v>
      </c>
      <c r="F222" s="79">
        <v>0</v>
      </c>
      <c r="G222" s="79">
        <v>0</v>
      </c>
      <c r="H222" s="92">
        <v>537451.19999999995</v>
      </c>
      <c r="I222" s="79">
        <v>0</v>
      </c>
      <c r="J222" s="398">
        <v>0</v>
      </c>
      <c r="K222" s="79">
        <v>0</v>
      </c>
      <c r="L222" s="79">
        <v>0</v>
      </c>
      <c r="M222" s="79">
        <v>0</v>
      </c>
      <c r="N222" s="79">
        <v>0</v>
      </c>
      <c r="O222" s="79">
        <v>0</v>
      </c>
      <c r="P222" s="79">
        <v>0</v>
      </c>
      <c r="Q222" s="79">
        <v>0</v>
      </c>
      <c r="R222" s="79">
        <v>0</v>
      </c>
      <c r="S222" s="79">
        <v>0</v>
      </c>
      <c r="T222" s="79">
        <v>0</v>
      </c>
      <c r="U222" s="350"/>
      <c r="V222" s="350"/>
      <c r="W222" s="350"/>
      <c r="X222" s="350"/>
      <c r="Y222" s="350"/>
      <c r="Z222" s="350"/>
      <c r="AA222" s="350"/>
      <c r="AB222" s="350"/>
      <c r="AC222" s="350"/>
      <c r="AD222" s="350"/>
      <c r="AE222" s="350"/>
    </row>
    <row r="223" s="350" customFormat="1" ht="24" customHeight="1">
      <c r="A223" s="33">
        <v>6</v>
      </c>
      <c r="B223" s="50" t="s">
        <v>314</v>
      </c>
      <c r="C223" s="79">
        <f t="shared" si="207"/>
        <v>534284.40000000002</v>
      </c>
      <c r="D223" s="79">
        <f t="shared" si="208"/>
        <v>534284.40000000002</v>
      </c>
      <c r="E223" s="79">
        <v>0</v>
      </c>
      <c r="F223" s="79">
        <v>0</v>
      </c>
      <c r="G223" s="79">
        <v>0</v>
      </c>
      <c r="H223" s="92">
        <v>534284.40000000002</v>
      </c>
      <c r="I223" s="79">
        <v>0</v>
      </c>
      <c r="J223" s="398">
        <v>0</v>
      </c>
      <c r="K223" s="79">
        <v>0</v>
      </c>
      <c r="L223" s="79">
        <v>0</v>
      </c>
      <c r="M223" s="92">
        <v>0</v>
      </c>
      <c r="N223" s="79">
        <v>0</v>
      </c>
      <c r="O223" s="79">
        <v>0</v>
      </c>
      <c r="P223" s="79">
        <v>0</v>
      </c>
      <c r="Q223" s="79">
        <v>0</v>
      </c>
      <c r="R223" s="79">
        <v>0</v>
      </c>
      <c r="S223" s="79">
        <v>0</v>
      </c>
      <c r="T223" s="79">
        <v>0</v>
      </c>
      <c r="U223" s="350"/>
      <c r="V223" s="350"/>
      <c r="W223" s="350"/>
      <c r="X223" s="350"/>
      <c r="Y223" s="350"/>
      <c r="Z223" s="350"/>
      <c r="AA223" s="350"/>
      <c r="AB223" s="350"/>
      <c r="AC223" s="350"/>
      <c r="AD223" s="350"/>
      <c r="AE223" s="350"/>
    </row>
    <row r="224" s="350" customFormat="1" ht="24" customHeight="1">
      <c r="A224" s="33">
        <v>7</v>
      </c>
      <c r="B224" s="50" t="s">
        <v>315</v>
      </c>
      <c r="C224" s="79">
        <f t="shared" si="207"/>
        <v>1006030.09</v>
      </c>
      <c r="D224" s="79">
        <f t="shared" si="208"/>
        <v>1006030.09</v>
      </c>
      <c r="E224" s="92">
        <v>0</v>
      </c>
      <c r="F224" s="79">
        <v>0</v>
      </c>
      <c r="G224" s="92">
        <v>0</v>
      </c>
      <c r="H224" s="92">
        <v>1006030.09</v>
      </c>
      <c r="I224" s="92">
        <v>0</v>
      </c>
      <c r="J224" s="398">
        <v>0</v>
      </c>
      <c r="K224" s="92">
        <v>0</v>
      </c>
      <c r="L224" s="79">
        <v>0</v>
      </c>
      <c r="M224" s="79">
        <v>0</v>
      </c>
      <c r="N224" s="79">
        <v>0</v>
      </c>
      <c r="O224" s="92">
        <v>0</v>
      </c>
      <c r="P224" s="79">
        <v>0</v>
      </c>
      <c r="Q224" s="92">
        <v>0</v>
      </c>
      <c r="R224" s="79">
        <v>0</v>
      </c>
      <c r="S224" s="92">
        <v>0</v>
      </c>
      <c r="T224" s="79">
        <v>0</v>
      </c>
      <c r="U224" s="350"/>
      <c r="V224" s="350"/>
      <c r="W224" s="350"/>
      <c r="X224" s="350"/>
      <c r="Y224" s="350"/>
      <c r="Z224" s="350"/>
      <c r="AA224" s="350"/>
      <c r="AB224" s="350"/>
      <c r="AC224" s="350"/>
      <c r="AD224" s="350"/>
      <c r="AE224" s="350"/>
    </row>
    <row r="225" s="350" customFormat="1" ht="24" customHeight="1">
      <c r="A225" s="33">
        <v>8</v>
      </c>
      <c r="B225" s="50" t="s">
        <v>316</v>
      </c>
      <c r="C225" s="79">
        <f t="shared" si="207"/>
        <v>394444.79999999999</v>
      </c>
      <c r="D225" s="79">
        <f t="shared" si="208"/>
        <v>394444.79999999999</v>
      </c>
      <c r="E225" s="92">
        <v>0</v>
      </c>
      <c r="F225" s="79">
        <v>0</v>
      </c>
      <c r="G225" s="92">
        <v>0</v>
      </c>
      <c r="H225" s="92">
        <v>394444.79999999999</v>
      </c>
      <c r="I225" s="92">
        <v>0</v>
      </c>
      <c r="J225" s="398">
        <v>0</v>
      </c>
      <c r="K225" s="92">
        <v>0</v>
      </c>
      <c r="L225" s="79">
        <v>0</v>
      </c>
      <c r="M225" s="79">
        <v>0</v>
      </c>
      <c r="N225" s="79">
        <v>0</v>
      </c>
      <c r="O225" s="92">
        <v>0</v>
      </c>
      <c r="P225" s="79">
        <v>0</v>
      </c>
      <c r="Q225" s="92">
        <v>0</v>
      </c>
      <c r="R225" s="79">
        <v>0</v>
      </c>
      <c r="S225" s="92">
        <v>0</v>
      </c>
      <c r="T225" s="79">
        <v>0</v>
      </c>
      <c r="U225" s="350"/>
      <c r="V225" s="350"/>
      <c r="W225" s="350"/>
      <c r="X225" s="350"/>
      <c r="Y225" s="350"/>
      <c r="Z225" s="350"/>
      <c r="AA225" s="350"/>
      <c r="AB225" s="350"/>
      <c r="AC225" s="350"/>
      <c r="AD225" s="350"/>
      <c r="AE225" s="350"/>
    </row>
    <row r="226" s="350" customFormat="1" ht="24" customHeight="1">
      <c r="A226" s="25" t="s">
        <v>317</v>
      </c>
      <c r="B226" s="25"/>
      <c r="C226" s="154">
        <f>SUM(C227:C231)</f>
        <v>9014672.9400000013</v>
      </c>
      <c r="D226" s="154">
        <f>SUM(D227:D231)</f>
        <v>409634.46000000002</v>
      </c>
      <c r="E226" s="154">
        <f>SUM(E227:E231)</f>
        <v>0</v>
      </c>
      <c r="F226" s="154">
        <f>SUM(F227:F231)</f>
        <v>0</v>
      </c>
      <c r="G226" s="154">
        <f>SUM(G227:G231)</f>
        <v>0</v>
      </c>
      <c r="H226" s="154">
        <f>SUM(H227:H231)</f>
        <v>0</v>
      </c>
      <c r="I226" s="154">
        <f>SUM(I227:I231)</f>
        <v>409634.46000000002</v>
      </c>
      <c r="J226" s="155">
        <f>SUM(J227:J231)</f>
        <v>0</v>
      </c>
      <c r="K226" s="154">
        <f>SUM(K227:K231)</f>
        <v>0</v>
      </c>
      <c r="L226" s="154">
        <f>SUM(L227:L231)</f>
        <v>7710266.8200000003</v>
      </c>
      <c r="M226" s="154">
        <f>SUM(M227:M231)</f>
        <v>0</v>
      </c>
      <c r="N226" s="154">
        <f>SUM(N227:N231)</f>
        <v>0</v>
      </c>
      <c r="O226" s="154">
        <f>SUM(O227:O231)</f>
        <v>0</v>
      </c>
      <c r="P226" s="154">
        <f>SUM(P227:P231)</f>
        <v>894771.66000000003</v>
      </c>
      <c r="Q226" s="154">
        <f>SUM(Q227:Q231)</f>
        <v>0</v>
      </c>
      <c r="R226" s="154">
        <f>SUM(R227:R231)</f>
        <v>0</v>
      </c>
      <c r="S226" s="154">
        <f>SUM(S227:S231)</f>
        <v>0</v>
      </c>
      <c r="T226" s="154">
        <f>SUM(T227:T231)</f>
        <v>0</v>
      </c>
      <c r="U226" s="350"/>
      <c r="V226" s="350"/>
      <c r="W226" s="350"/>
      <c r="X226" s="350"/>
      <c r="Y226" s="350"/>
      <c r="Z226" s="350"/>
      <c r="AA226" s="350"/>
      <c r="AB226" s="350"/>
      <c r="AC226" s="350"/>
      <c r="AD226" s="350"/>
      <c r="AE226" s="350"/>
    </row>
    <row r="227" s="350" customFormat="1" ht="24" customHeight="1">
      <c r="A227" s="33">
        <v>1</v>
      </c>
      <c r="B227" s="50" t="s">
        <v>1053</v>
      </c>
      <c r="C227" s="79">
        <f t="shared" ref="C227:C231" si="209">D227+K227+L227+M227+N227+O227+P227+Q227+R227+S227+T227</f>
        <v>3306912.4500000002</v>
      </c>
      <c r="D227" s="79">
        <f t="shared" ref="D227:D231" si="210">SUM(E227:I227)</f>
        <v>0</v>
      </c>
      <c r="E227" s="79">
        <v>0</v>
      </c>
      <c r="F227" s="79">
        <v>0</v>
      </c>
      <c r="G227" s="79">
        <v>0</v>
      </c>
      <c r="H227" s="79">
        <v>0</v>
      </c>
      <c r="I227" s="79">
        <v>0</v>
      </c>
      <c r="J227" s="398">
        <v>0</v>
      </c>
      <c r="K227" s="79">
        <v>0</v>
      </c>
      <c r="L227" s="92">
        <v>3148157.98</v>
      </c>
      <c r="M227" s="79">
        <v>0</v>
      </c>
      <c r="N227" s="79">
        <v>0</v>
      </c>
      <c r="O227" s="79">
        <v>0</v>
      </c>
      <c r="P227" s="92">
        <v>158754.47</v>
      </c>
      <c r="Q227" s="79">
        <v>0</v>
      </c>
      <c r="R227" s="79">
        <v>0</v>
      </c>
      <c r="S227" s="79">
        <v>0</v>
      </c>
      <c r="T227" s="79">
        <v>0</v>
      </c>
      <c r="U227" s="350"/>
      <c r="V227" s="350"/>
      <c r="W227" s="350"/>
      <c r="X227" s="350"/>
      <c r="Y227" s="350"/>
      <c r="Z227" s="350"/>
      <c r="AA227" s="350"/>
      <c r="AB227" s="350"/>
      <c r="AC227" s="350"/>
      <c r="AD227" s="350"/>
      <c r="AE227" s="350"/>
    </row>
    <row r="228" s="350" customFormat="1" ht="24" customHeight="1">
      <c r="A228" s="33">
        <v>2</v>
      </c>
      <c r="B228" s="50" t="s">
        <v>1054</v>
      </c>
      <c r="C228" s="79">
        <f t="shared" si="209"/>
        <v>2537814.96</v>
      </c>
      <c r="D228" s="79">
        <f t="shared" si="210"/>
        <v>0</v>
      </c>
      <c r="E228" s="79">
        <v>0</v>
      </c>
      <c r="F228" s="79">
        <v>0</v>
      </c>
      <c r="G228" s="79">
        <v>0</v>
      </c>
      <c r="H228" s="79">
        <v>0</v>
      </c>
      <c r="I228" s="79">
        <v>0</v>
      </c>
      <c r="J228" s="398">
        <v>0</v>
      </c>
      <c r="K228" s="79">
        <v>0</v>
      </c>
      <c r="L228" s="92">
        <v>2358988.6600000001</v>
      </c>
      <c r="M228" s="92">
        <v>0</v>
      </c>
      <c r="N228" s="92">
        <v>0</v>
      </c>
      <c r="O228" s="92">
        <v>0</v>
      </c>
      <c r="P228" s="92">
        <v>178826.29999999999</v>
      </c>
      <c r="Q228" s="92">
        <v>0</v>
      </c>
      <c r="R228" s="92">
        <v>0</v>
      </c>
      <c r="S228" s="92">
        <v>0</v>
      </c>
      <c r="T228" s="92">
        <v>0</v>
      </c>
      <c r="U228" s="350"/>
      <c r="V228" s="350"/>
      <c r="W228" s="350"/>
      <c r="X228" s="350"/>
      <c r="Y228" s="350"/>
      <c r="Z228" s="350"/>
      <c r="AA228" s="350"/>
      <c r="AB228" s="350"/>
      <c r="AC228" s="350"/>
      <c r="AD228" s="350"/>
      <c r="AE228" s="350"/>
    </row>
    <row r="229" s="350" customFormat="1" ht="24" customHeight="1">
      <c r="A229" s="33">
        <v>3</v>
      </c>
      <c r="B229" s="50" t="s">
        <v>1055</v>
      </c>
      <c r="C229" s="79">
        <f t="shared" si="209"/>
        <v>602749.23999999999</v>
      </c>
      <c r="D229" s="79">
        <f t="shared" si="210"/>
        <v>409634.46000000002</v>
      </c>
      <c r="E229" s="79">
        <v>0</v>
      </c>
      <c r="F229" s="79">
        <v>0</v>
      </c>
      <c r="G229" s="79">
        <v>0</v>
      </c>
      <c r="H229" s="79">
        <v>0</v>
      </c>
      <c r="I229" s="92">
        <v>409634.46000000002</v>
      </c>
      <c r="J229" s="398">
        <v>0</v>
      </c>
      <c r="K229" s="79">
        <v>0</v>
      </c>
      <c r="L229" s="79">
        <v>0</v>
      </c>
      <c r="M229" s="79">
        <v>0</v>
      </c>
      <c r="N229" s="79">
        <v>0</v>
      </c>
      <c r="O229" s="79">
        <v>0</v>
      </c>
      <c r="P229" s="92">
        <v>193114.78</v>
      </c>
      <c r="Q229" s="79">
        <v>0</v>
      </c>
      <c r="R229" s="79">
        <v>0</v>
      </c>
      <c r="S229" s="79">
        <v>0</v>
      </c>
      <c r="T229" s="79">
        <v>0</v>
      </c>
      <c r="U229" s="350"/>
      <c r="V229" s="350"/>
      <c r="W229" s="350"/>
      <c r="X229" s="350"/>
      <c r="Y229" s="350"/>
      <c r="Z229" s="350"/>
      <c r="AA229" s="350"/>
      <c r="AB229" s="350"/>
      <c r="AC229" s="350"/>
      <c r="AD229" s="350"/>
      <c r="AE229" s="350"/>
    </row>
    <row r="230" s="350" customFormat="1" ht="24" customHeight="1">
      <c r="A230" s="33">
        <v>4</v>
      </c>
      <c r="B230" s="50" t="s">
        <v>1056</v>
      </c>
      <c r="C230" s="79">
        <f t="shared" si="209"/>
        <v>2349399.0700000003</v>
      </c>
      <c r="D230" s="79">
        <f t="shared" si="210"/>
        <v>0</v>
      </c>
      <c r="E230" s="79">
        <v>0</v>
      </c>
      <c r="F230" s="79">
        <v>0</v>
      </c>
      <c r="G230" s="79">
        <v>0</v>
      </c>
      <c r="H230" s="79">
        <v>0</v>
      </c>
      <c r="I230" s="79">
        <v>0</v>
      </c>
      <c r="J230" s="398">
        <v>0</v>
      </c>
      <c r="K230" s="79">
        <v>0</v>
      </c>
      <c r="L230" s="79">
        <v>2203120.1800000002</v>
      </c>
      <c r="M230" s="79">
        <v>0</v>
      </c>
      <c r="N230" s="79">
        <v>0</v>
      </c>
      <c r="O230" s="79">
        <v>0</v>
      </c>
      <c r="P230" s="92">
        <v>146278.89000000001</v>
      </c>
      <c r="Q230" s="79">
        <v>0</v>
      </c>
      <c r="R230" s="79">
        <v>0</v>
      </c>
      <c r="S230" s="79">
        <v>0</v>
      </c>
      <c r="T230" s="79">
        <v>0</v>
      </c>
      <c r="U230" s="350"/>
      <c r="V230" s="350"/>
      <c r="W230" s="350"/>
      <c r="X230" s="350"/>
      <c r="Y230" s="350"/>
      <c r="Z230" s="350"/>
      <c r="AA230" s="350"/>
      <c r="AB230" s="350"/>
      <c r="AC230" s="350"/>
      <c r="AD230" s="350"/>
      <c r="AE230" s="350"/>
    </row>
    <row r="231" s="350" customFormat="1" ht="24" customHeight="1">
      <c r="A231" s="33">
        <v>5</v>
      </c>
      <c r="B231" s="50" t="s">
        <v>1057</v>
      </c>
      <c r="C231" s="79">
        <f t="shared" si="209"/>
        <v>217797.22</v>
      </c>
      <c r="D231" s="79">
        <f t="shared" si="210"/>
        <v>0</v>
      </c>
      <c r="E231" s="79">
        <v>0</v>
      </c>
      <c r="F231" s="79">
        <v>0</v>
      </c>
      <c r="G231" s="79">
        <v>0</v>
      </c>
      <c r="H231" s="79">
        <v>0</v>
      </c>
      <c r="I231" s="79">
        <v>0</v>
      </c>
      <c r="J231" s="398">
        <v>0</v>
      </c>
      <c r="K231" s="79">
        <v>0</v>
      </c>
      <c r="L231" s="79">
        <v>0</v>
      </c>
      <c r="M231" s="79">
        <v>0</v>
      </c>
      <c r="N231" s="79">
        <v>0</v>
      </c>
      <c r="O231" s="79">
        <v>0</v>
      </c>
      <c r="P231" s="79">
        <v>217797.22</v>
      </c>
      <c r="Q231" s="79">
        <v>0</v>
      </c>
      <c r="R231" s="79">
        <v>0</v>
      </c>
      <c r="S231" s="79">
        <v>0</v>
      </c>
      <c r="T231" s="79">
        <v>0</v>
      </c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</row>
    <row r="232" s="31" customFormat="1" ht="24" customHeight="1">
      <c r="A232" s="25" t="s">
        <v>324</v>
      </c>
      <c r="B232" s="25"/>
      <c r="C232" s="154">
        <f>SUM(C233:C255)</f>
        <v>64534463.560000002</v>
      </c>
      <c r="D232" s="154">
        <f>SUM(D233:D255)</f>
        <v>17028638.119999997</v>
      </c>
      <c r="E232" s="154">
        <f>SUM(E233:E255)</f>
        <v>3561112.8000000003</v>
      </c>
      <c r="F232" s="154">
        <f>SUM(F233:F255)</f>
        <v>3686715.0700000003</v>
      </c>
      <c r="G232" s="154">
        <f>SUM(G233:G255)</f>
        <v>1949006.6499999999</v>
      </c>
      <c r="H232" s="154">
        <f>SUM(H233:H255)</f>
        <v>3567244</v>
      </c>
      <c r="I232" s="154">
        <f>SUM(I233:I255)</f>
        <v>4264559.5999999996</v>
      </c>
      <c r="J232" s="155">
        <f>SUM(J233:J255)</f>
        <v>0</v>
      </c>
      <c r="K232" s="154">
        <f>SUM(K233:K255)</f>
        <v>0</v>
      </c>
      <c r="L232" s="154">
        <f>SUM(L233:L255)</f>
        <v>36956000.769999996</v>
      </c>
      <c r="M232" s="154">
        <f>SUM(M233:M255)</f>
        <v>0</v>
      </c>
      <c r="N232" s="154">
        <f>SUM(N233:N255)</f>
        <v>8406798.5300000012</v>
      </c>
      <c r="O232" s="154">
        <f>SUM(O233:O255)</f>
        <v>0</v>
      </c>
      <c r="P232" s="154">
        <f>SUM(P233:P255)</f>
        <v>2143026.1400000001</v>
      </c>
      <c r="Q232" s="154">
        <f>SUM(Q233:Q255)</f>
        <v>0</v>
      </c>
      <c r="R232" s="154">
        <f>SUM(R233:R255)</f>
        <v>0</v>
      </c>
      <c r="S232" s="154">
        <f>SUM(S233:S255)</f>
        <v>0</v>
      </c>
      <c r="T232" s="154">
        <f>SUM(T233:T255)</f>
        <v>0</v>
      </c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</row>
    <row r="233" s="60" customFormat="1" ht="24" customHeight="1">
      <c r="A233" s="33">
        <v>1</v>
      </c>
      <c r="B233" s="50" t="s">
        <v>325</v>
      </c>
      <c r="C233" s="79">
        <f>D233+K233+L233+M233+N233+O233+P233+Q233+R233+S233+T233</f>
        <v>328968.78999999998</v>
      </c>
      <c r="D233" s="79">
        <f>SUM(E233:I233)</f>
        <v>328968.78999999998</v>
      </c>
      <c r="E233" s="79">
        <v>0</v>
      </c>
      <c r="F233" s="79">
        <v>0</v>
      </c>
      <c r="G233" s="79">
        <v>0</v>
      </c>
      <c r="H233" s="79">
        <v>328968.78999999998</v>
      </c>
      <c r="I233" s="79">
        <v>0</v>
      </c>
      <c r="J233" s="398">
        <v>0</v>
      </c>
      <c r="K233" s="79">
        <v>0</v>
      </c>
      <c r="L233" s="79">
        <v>0</v>
      </c>
      <c r="M233" s="79">
        <v>0</v>
      </c>
      <c r="N233" s="79">
        <v>0</v>
      </c>
      <c r="O233" s="79">
        <v>0</v>
      </c>
      <c r="P233" s="79">
        <v>0</v>
      </c>
      <c r="Q233" s="79">
        <v>0</v>
      </c>
      <c r="R233" s="79">
        <v>0</v>
      </c>
      <c r="S233" s="79">
        <v>0</v>
      </c>
      <c r="T233" s="79">
        <v>0</v>
      </c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</row>
    <row r="234" s="60" customFormat="1" ht="24" customHeight="1">
      <c r="A234" s="33">
        <v>2</v>
      </c>
      <c r="B234" s="50" t="s">
        <v>326</v>
      </c>
      <c r="C234" s="79">
        <f>D234+K234+L234+M234+N234+O234+P234+Q234+R234+S234+T234</f>
        <v>678812.34999999998</v>
      </c>
      <c r="D234" s="79">
        <f>SUM(E234:I234)</f>
        <v>678812.34999999998</v>
      </c>
      <c r="E234" s="79">
        <v>0</v>
      </c>
      <c r="F234" s="79">
        <v>0</v>
      </c>
      <c r="G234" s="79">
        <v>0</v>
      </c>
      <c r="H234" s="79">
        <v>256642.56</v>
      </c>
      <c r="I234" s="79">
        <v>422169.78999999998</v>
      </c>
      <c r="J234" s="398">
        <v>0</v>
      </c>
      <c r="K234" s="79">
        <v>0</v>
      </c>
      <c r="L234" s="79">
        <v>0</v>
      </c>
      <c r="M234" s="79">
        <v>0</v>
      </c>
      <c r="N234" s="79">
        <v>0</v>
      </c>
      <c r="O234" s="79">
        <v>0</v>
      </c>
      <c r="P234" s="79">
        <v>0</v>
      </c>
      <c r="Q234" s="79">
        <v>0</v>
      </c>
      <c r="R234" s="79">
        <v>0</v>
      </c>
      <c r="S234" s="79">
        <v>0</v>
      </c>
      <c r="T234" s="79">
        <v>0</v>
      </c>
      <c r="U234" s="60"/>
      <c r="V234" s="60"/>
      <c r="W234" s="60"/>
      <c r="X234" s="60"/>
      <c r="Y234" s="60"/>
      <c r="Z234" s="60"/>
      <c r="AA234" s="60"/>
      <c r="AB234" s="60"/>
      <c r="AC234" s="60"/>
      <c r="AD234" s="60"/>
      <c r="AE234" s="60"/>
    </row>
    <row r="235" s="54" customFormat="1" ht="24" customHeight="1">
      <c r="A235" s="33">
        <v>3</v>
      </c>
      <c r="B235" s="50" t="s">
        <v>327</v>
      </c>
      <c r="C235" s="79">
        <f>D235+K235+L235+M235+N235+O235+P235+Q235+R235+S235+T235</f>
        <v>294009.59999999998</v>
      </c>
      <c r="D235" s="79">
        <f>SUM(E235:I235)</f>
        <v>294009.59999999998</v>
      </c>
      <c r="E235" s="79">
        <v>0</v>
      </c>
      <c r="F235" s="79">
        <v>0</v>
      </c>
      <c r="G235" s="79">
        <v>0</v>
      </c>
      <c r="H235" s="79">
        <v>0</v>
      </c>
      <c r="I235" s="79">
        <v>294009.59999999998</v>
      </c>
      <c r="J235" s="398">
        <v>0</v>
      </c>
      <c r="K235" s="79">
        <v>0</v>
      </c>
      <c r="L235" s="79">
        <v>0</v>
      </c>
      <c r="M235" s="79">
        <v>0</v>
      </c>
      <c r="N235" s="79">
        <v>0</v>
      </c>
      <c r="O235" s="79">
        <v>0</v>
      </c>
      <c r="P235" s="79">
        <v>0</v>
      </c>
      <c r="Q235" s="79">
        <v>0</v>
      </c>
      <c r="R235" s="79">
        <v>0</v>
      </c>
      <c r="S235" s="79">
        <v>0</v>
      </c>
      <c r="T235" s="79">
        <v>0</v>
      </c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</row>
    <row r="236" s="54" customFormat="1" ht="24" customHeight="1">
      <c r="A236" s="33">
        <v>4</v>
      </c>
      <c r="B236" s="52" t="s">
        <v>328</v>
      </c>
      <c r="C236" s="79">
        <f>D236+K236+L236+M236+N236+O236+P236+Q236+R236+S236+T236</f>
        <v>489559.20000000001</v>
      </c>
      <c r="D236" s="79">
        <f>SUM(E236:I236)</f>
        <v>489559.20000000001</v>
      </c>
      <c r="E236" s="79">
        <v>489559.20000000001</v>
      </c>
      <c r="F236" s="79">
        <v>0</v>
      </c>
      <c r="G236" s="79">
        <v>0</v>
      </c>
      <c r="H236" s="79">
        <v>0</v>
      </c>
      <c r="I236" s="79">
        <v>0</v>
      </c>
      <c r="J236" s="398">
        <v>0</v>
      </c>
      <c r="K236" s="79">
        <v>0</v>
      </c>
      <c r="L236" s="79">
        <v>0</v>
      </c>
      <c r="M236" s="79">
        <v>0</v>
      </c>
      <c r="N236" s="79">
        <v>0</v>
      </c>
      <c r="O236" s="79">
        <v>0</v>
      </c>
      <c r="P236" s="79">
        <v>0</v>
      </c>
      <c r="Q236" s="79">
        <v>0</v>
      </c>
      <c r="R236" s="79">
        <v>0</v>
      </c>
      <c r="S236" s="79">
        <v>0</v>
      </c>
      <c r="T236" s="79">
        <v>0</v>
      </c>
      <c r="U236" s="54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</row>
    <row r="237" s="54" customFormat="1" ht="24" customHeight="1">
      <c r="A237" s="33">
        <v>5</v>
      </c>
      <c r="B237" s="50" t="s">
        <v>1058</v>
      </c>
      <c r="C237" s="79">
        <f>D237+K237+L237+M237+N237+O237+P237+Q237+R237+S237+T237</f>
        <v>1086514.21</v>
      </c>
      <c r="D237" s="79">
        <f>SUM(E237:I237)</f>
        <v>935193.59999999998</v>
      </c>
      <c r="E237" s="79">
        <v>471873.59999999998</v>
      </c>
      <c r="F237" s="79">
        <v>0</v>
      </c>
      <c r="G237" s="79">
        <v>0</v>
      </c>
      <c r="H237" s="79">
        <v>288800.40000000002</v>
      </c>
      <c r="I237" s="79">
        <v>174519.60000000001</v>
      </c>
      <c r="J237" s="398">
        <v>0</v>
      </c>
      <c r="K237" s="79">
        <v>0</v>
      </c>
      <c r="L237" s="79">
        <v>0</v>
      </c>
      <c r="M237" s="79">
        <v>0</v>
      </c>
      <c r="N237" s="79">
        <v>0</v>
      </c>
      <c r="O237" s="79">
        <v>0</v>
      </c>
      <c r="P237" s="79">
        <v>151320.60999999999</v>
      </c>
      <c r="Q237" s="79">
        <v>0</v>
      </c>
      <c r="R237" s="79">
        <v>0</v>
      </c>
      <c r="S237" s="79">
        <v>0</v>
      </c>
      <c r="T237" s="79">
        <v>0</v>
      </c>
      <c r="U237" s="54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</row>
    <row r="238" s="54" customFormat="1" ht="24" customHeight="1">
      <c r="A238" s="33">
        <v>6</v>
      </c>
      <c r="B238" s="50" t="s">
        <v>330</v>
      </c>
      <c r="C238" s="79">
        <f>D238+K238+L238+M238+N238+O238+P238+Q238+R238+S238+T238</f>
        <v>225060</v>
      </c>
      <c r="D238" s="79">
        <f>SUM(E238:I238)</f>
        <v>225060</v>
      </c>
      <c r="E238" s="79">
        <v>0</v>
      </c>
      <c r="F238" s="79">
        <v>0</v>
      </c>
      <c r="G238" s="79">
        <v>0</v>
      </c>
      <c r="H238" s="79">
        <v>225060</v>
      </c>
      <c r="I238" s="79">
        <v>0</v>
      </c>
      <c r="J238" s="398">
        <v>0</v>
      </c>
      <c r="K238" s="79">
        <v>0</v>
      </c>
      <c r="L238" s="79">
        <v>0</v>
      </c>
      <c r="M238" s="79">
        <v>0</v>
      </c>
      <c r="N238" s="79">
        <v>0</v>
      </c>
      <c r="O238" s="79">
        <v>0</v>
      </c>
      <c r="P238" s="79">
        <v>0</v>
      </c>
      <c r="Q238" s="79">
        <v>0</v>
      </c>
      <c r="R238" s="79">
        <v>0</v>
      </c>
      <c r="S238" s="79">
        <v>0</v>
      </c>
      <c r="T238" s="79">
        <v>0</v>
      </c>
      <c r="U238" s="54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</row>
    <row r="239" s="54" customFormat="1" ht="24" customHeight="1">
      <c r="A239" s="33">
        <v>7</v>
      </c>
      <c r="B239" s="50" t="s">
        <v>1059</v>
      </c>
      <c r="C239" s="79">
        <f>D239+K239+L239+M239+N239+O239+P239+Q239+R239+S239+T239</f>
        <v>3067388.0899999999</v>
      </c>
      <c r="D239" s="79">
        <f>SUM(E239:I239)</f>
        <v>2734232.7799999998</v>
      </c>
      <c r="E239" s="79">
        <v>0</v>
      </c>
      <c r="F239" s="79">
        <v>0</v>
      </c>
      <c r="G239" s="79">
        <v>1949006.6499999999</v>
      </c>
      <c r="H239" s="79">
        <v>785226.13</v>
      </c>
      <c r="I239" s="79">
        <v>0</v>
      </c>
      <c r="J239" s="398">
        <v>0</v>
      </c>
      <c r="K239" s="79">
        <v>0</v>
      </c>
      <c r="L239" s="79">
        <v>0</v>
      </c>
      <c r="M239" s="79">
        <v>0</v>
      </c>
      <c r="N239" s="79">
        <v>0</v>
      </c>
      <c r="O239" s="79">
        <v>0</v>
      </c>
      <c r="P239" s="79">
        <v>333155.31</v>
      </c>
      <c r="Q239" s="79">
        <v>0</v>
      </c>
      <c r="R239" s="79">
        <v>0</v>
      </c>
      <c r="S239" s="79">
        <v>0</v>
      </c>
      <c r="T239" s="79">
        <v>0</v>
      </c>
      <c r="U239" s="54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</row>
    <row r="240" s="54" customFormat="1" ht="24" customHeight="1">
      <c r="A240" s="33">
        <v>8</v>
      </c>
      <c r="B240" s="50" t="s">
        <v>1060</v>
      </c>
      <c r="C240" s="79">
        <f>D240+K240+L240+M240+N240+O240+P240+Q240+R240+S240+T240</f>
        <v>27240615.620000001</v>
      </c>
      <c r="D240" s="79">
        <f>SUM(E240:I240)</f>
        <v>2286477.5499999998</v>
      </c>
      <c r="E240" s="79">
        <v>0</v>
      </c>
      <c r="F240" s="79">
        <v>0</v>
      </c>
      <c r="G240" s="79">
        <v>0</v>
      </c>
      <c r="H240" s="79">
        <v>0</v>
      </c>
      <c r="I240" s="79">
        <v>2286477.5499999998</v>
      </c>
      <c r="J240" s="398">
        <v>0</v>
      </c>
      <c r="K240" s="79">
        <v>0</v>
      </c>
      <c r="L240" s="79">
        <v>24248895.620000001</v>
      </c>
      <c r="M240" s="79">
        <v>0</v>
      </c>
      <c r="N240" s="79">
        <v>0</v>
      </c>
      <c r="O240" s="79">
        <v>0</v>
      </c>
      <c r="P240" s="79">
        <v>705242.44999999995</v>
      </c>
      <c r="Q240" s="79">
        <v>0</v>
      </c>
      <c r="R240" s="79">
        <v>0</v>
      </c>
      <c r="S240" s="79">
        <v>0</v>
      </c>
      <c r="T240" s="79">
        <v>0</v>
      </c>
      <c r="U240" s="54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</row>
    <row r="241" s="350" customFormat="1" ht="24" customHeight="1">
      <c r="A241" s="33">
        <v>9</v>
      </c>
      <c r="B241" s="50" t="s">
        <v>333</v>
      </c>
      <c r="C241" s="79">
        <f>D241+K241+L241+M241+N241+O241+P241+Q241+R241+S241+T241</f>
        <v>1487412.5600000001</v>
      </c>
      <c r="D241" s="79">
        <f>SUM(E241:I241)</f>
        <v>0</v>
      </c>
      <c r="E241" s="79">
        <v>0</v>
      </c>
      <c r="F241" s="79">
        <v>0</v>
      </c>
      <c r="G241" s="79">
        <v>0</v>
      </c>
      <c r="H241" s="79">
        <v>0</v>
      </c>
      <c r="I241" s="79">
        <v>0</v>
      </c>
      <c r="J241" s="398">
        <v>0</v>
      </c>
      <c r="K241" s="79">
        <v>0</v>
      </c>
      <c r="L241" s="79">
        <v>1487412.5600000001</v>
      </c>
      <c r="M241" s="79">
        <v>0</v>
      </c>
      <c r="N241" s="79">
        <v>0</v>
      </c>
      <c r="O241" s="79">
        <v>0</v>
      </c>
      <c r="P241" s="79">
        <v>0</v>
      </c>
      <c r="Q241" s="79">
        <v>0</v>
      </c>
      <c r="R241" s="79">
        <v>0</v>
      </c>
      <c r="S241" s="79">
        <v>0</v>
      </c>
      <c r="T241" s="79">
        <v>0</v>
      </c>
      <c r="U241" s="350"/>
      <c r="V241" s="350"/>
      <c r="W241" s="350"/>
      <c r="X241" s="350"/>
      <c r="Y241" s="350"/>
      <c r="Z241" s="350"/>
      <c r="AA241" s="350"/>
      <c r="AB241" s="350"/>
      <c r="AC241" s="350"/>
      <c r="AD241" s="350"/>
      <c r="AE241" s="350"/>
      <c r="AF241" s="350"/>
      <c r="AG241" s="350"/>
      <c r="AH241" s="350"/>
      <c r="AI241" s="350"/>
    </row>
    <row r="242" s="350" customFormat="1" ht="24" customHeight="1">
      <c r="A242" s="33">
        <v>10</v>
      </c>
      <c r="B242" s="50" t="s">
        <v>1061</v>
      </c>
      <c r="C242" s="79">
        <f>D242+K242+L242+M242+N242+O242+P242+Q242+R242+S242+T242</f>
        <v>158648.47</v>
      </c>
      <c r="D242" s="79">
        <f>SUM(E242:I242)</f>
        <v>0</v>
      </c>
      <c r="E242" s="79">
        <v>0</v>
      </c>
      <c r="F242" s="79">
        <v>0</v>
      </c>
      <c r="G242" s="79">
        <v>0</v>
      </c>
      <c r="H242" s="79">
        <v>0</v>
      </c>
      <c r="I242" s="79">
        <v>0</v>
      </c>
      <c r="J242" s="398">
        <v>0</v>
      </c>
      <c r="K242" s="79">
        <v>0</v>
      </c>
      <c r="L242" s="79">
        <v>0</v>
      </c>
      <c r="M242" s="79">
        <v>0</v>
      </c>
      <c r="N242" s="79">
        <v>0</v>
      </c>
      <c r="O242" s="79">
        <v>0</v>
      </c>
      <c r="P242" s="79">
        <v>158648.47</v>
      </c>
      <c r="Q242" s="79">
        <v>0</v>
      </c>
      <c r="R242" s="79">
        <v>0</v>
      </c>
      <c r="S242" s="79">
        <v>0</v>
      </c>
      <c r="T242" s="79">
        <v>0</v>
      </c>
      <c r="U242" s="350"/>
      <c r="V242" s="350"/>
      <c r="W242" s="350"/>
      <c r="X242" s="350"/>
      <c r="Y242" s="350"/>
      <c r="Z242" s="350"/>
      <c r="AA242" s="350"/>
      <c r="AB242" s="350"/>
      <c r="AC242" s="350"/>
      <c r="AD242" s="350"/>
      <c r="AE242" s="350"/>
    </row>
    <row r="243" s="350" customFormat="1" ht="24" customHeight="1">
      <c r="A243" s="33">
        <v>11</v>
      </c>
      <c r="B243" s="50" t="s">
        <v>335</v>
      </c>
      <c r="C243" s="79">
        <f>D243+K243+L243+M243+N243+O243+P243+Q243+R243+S243+T243</f>
        <v>1049059.6100000001</v>
      </c>
      <c r="D243" s="79">
        <f>SUM(E243:I243)</f>
        <v>1049059.6100000001</v>
      </c>
      <c r="E243" s="79">
        <v>0</v>
      </c>
      <c r="F243" s="79">
        <v>799764.41000000003</v>
      </c>
      <c r="G243" s="79">
        <v>0</v>
      </c>
      <c r="H243" s="79">
        <v>147122.39999999999</v>
      </c>
      <c r="I243" s="79">
        <v>102172.8</v>
      </c>
      <c r="J243" s="398">
        <v>0</v>
      </c>
      <c r="K243" s="79">
        <v>0</v>
      </c>
      <c r="L243" s="79">
        <v>0</v>
      </c>
      <c r="M243" s="79">
        <v>0</v>
      </c>
      <c r="N243" s="79">
        <v>0</v>
      </c>
      <c r="O243" s="79">
        <v>0</v>
      </c>
      <c r="P243" s="79">
        <v>0</v>
      </c>
      <c r="Q243" s="79">
        <v>0</v>
      </c>
      <c r="R243" s="79">
        <v>0</v>
      </c>
      <c r="S243" s="79">
        <v>0</v>
      </c>
      <c r="T243" s="79">
        <v>0</v>
      </c>
      <c r="U243" s="350"/>
      <c r="V243" s="350"/>
      <c r="W243" s="350"/>
      <c r="X243" s="350"/>
      <c r="Y243" s="350"/>
      <c r="Z243" s="350"/>
      <c r="AA243" s="350"/>
      <c r="AB243" s="350"/>
      <c r="AC243" s="350"/>
      <c r="AD243" s="350"/>
      <c r="AE243" s="350"/>
    </row>
    <row r="244" s="350" customFormat="1" ht="24" customHeight="1">
      <c r="A244" s="33">
        <v>12</v>
      </c>
      <c r="B244" s="50" t="s">
        <v>336</v>
      </c>
      <c r="C244" s="79">
        <f>D244+K244+L244+M244+N244+O244+P244+Q244+R244+S244+T244</f>
        <v>848569.45000000007</v>
      </c>
      <c r="D244" s="79">
        <f>SUM(E244:I244)</f>
        <v>848569.45000000007</v>
      </c>
      <c r="E244" s="79">
        <v>0</v>
      </c>
      <c r="F244" s="79">
        <v>0</v>
      </c>
      <c r="G244" s="79">
        <v>0</v>
      </c>
      <c r="H244" s="79">
        <v>283199.89000000001</v>
      </c>
      <c r="I244" s="79">
        <v>565369.56000000006</v>
      </c>
      <c r="J244" s="398">
        <v>0</v>
      </c>
      <c r="K244" s="79">
        <v>0</v>
      </c>
      <c r="L244" s="79">
        <v>0</v>
      </c>
      <c r="M244" s="79">
        <v>0</v>
      </c>
      <c r="N244" s="79">
        <v>0</v>
      </c>
      <c r="O244" s="79">
        <v>0</v>
      </c>
      <c r="P244" s="79">
        <v>0</v>
      </c>
      <c r="Q244" s="79">
        <v>0</v>
      </c>
      <c r="R244" s="79">
        <v>0</v>
      </c>
      <c r="S244" s="79">
        <v>0</v>
      </c>
      <c r="T244" s="79">
        <v>0</v>
      </c>
      <c r="U244" s="350"/>
      <c r="V244" s="350"/>
      <c r="W244" s="350"/>
      <c r="X244" s="350"/>
      <c r="Y244" s="350"/>
      <c r="Z244" s="350"/>
      <c r="AA244" s="350"/>
      <c r="AB244" s="350"/>
      <c r="AC244" s="350"/>
      <c r="AD244" s="350"/>
      <c r="AE244" s="350"/>
    </row>
    <row r="245" s="350" customFormat="1" ht="24" customHeight="1">
      <c r="A245" s="33">
        <v>13</v>
      </c>
      <c r="B245" s="50" t="s">
        <v>337</v>
      </c>
      <c r="C245" s="79">
        <f>D245+K245+L245+M245+N245+O245+P245+Q245+R245+S245+T245</f>
        <v>2615161.6200000001</v>
      </c>
      <c r="D245" s="79">
        <f>SUM(E245:I245)</f>
        <v>0</v>
      </c>
      <c r="E245" s="79">
        <v>0</v>
      </c>
      <c r="F245" s="79">
        <v>0</v>
      </c>
      <c r="G245" s="79">
        <v>0</v>
      </c>
      <c r="H245" s="79">
        <v>0</v>
      </c>
      <c r="I245" s="79">
        <v>0</v>
      </c>
      <c r="J245" s="398">
        <v>0</v>
      </c>
      <c r="K245" s="79">
        <v>0</v>
      </c>
      <c r="L245" s="79">
        <v>0</v>
      </c>
      <c r="M245" s="79">
        <v>0</v>
      </c>
      <c r="N245" s="79">
        <v>2615161.6200000001</v>
      </c>
      <c r="O245" s="79">
        <v>0</v>
      </c>
      <c r="P245" s="79">
        <v>0</v>
      </c>
      <c r="Q245" s="79">
        <v>0</v>
      </c>
      <c r="R245" s="79">
        <v>0</v>
      </c>
      <c r="S245" s="79">
        <v>0</v>
      </c>
      <c r="T245" s="79">
        <v>0</v>
      </c>
      <c r="U245" s="350"/>
      <c r="V245" s="350"/>
      <c r="W245" s="350"/>
      <c r="X245" s="350"/>
      <c r="Y245" s="350"/>
      <c r="Z245" s="350"/>
      <c r="AA245" s="350"/>
      <c r="AB245" s="350"/>
      <c r="AC245" s="350"/>
      <c r="AD245" s="350"/>
      <c r="AE245" s="350"/>
    </row>
    <row r="246" s="350" customFormat="1" ht="24" customHeight="1">
      <c r="A246" s="33">
        <v>14</v>
      </c>
      <c r="B246" s="50" t="s">
        <v>1062</v>
      </c>
      <c r="C246" s="79">
        <f>D246+K246+L246+M246+N246+O246+P246+Q246+R246+S246+T246</f>
        <v>3831978.9500000002</v>
      </c>
      <c r="D246" s="79">
        <f>SUM(E246:I246)</f>
        <v>0</v>
      </c>
      <c r="E246" s="79">
        <v>0</v>
      </c>
      <c r="F246" s="79">
        <v>0</v>
      </c>
      <c r="G246" s="79">
        <v>0</v>
      </c>
      <c r="H246" s="79">
        <v>0</v>
      </c>
      <c r="I246" s="79">
        <v>0</v>
      </c>
      <c r="J246" s="398">
        <v>0</v>
      </c>
      <c r="K246" s="79">
        <v>0</v>
      </c>
      <c r="L246" s="79">
        <v>0</v>
      </c>
      <c r="M246" s="79">
        <v>0</v>
      </c>
      <c r="N246" s="79">
        <v>3831978.9500000002</v>
      </c>
      <c r="O246" s="79">
        <v>0</v>
      </c>
      <c r="P246" s="79">
        <v>0</v>
      </c>
      <c r="Q246" s="79">
        <v>0</v>
      </c>
      <c r="R246" s="79">
        <v>0</v>
      </c>
      <c r="S246" s="79">
        <v>0</v>
      </c>
      <c r="T246" s="79">
        <v>0</v>
      </c>
      <c r="U246" s="350"/>
      <c r="V246" s="350"/>
      <c r="W246" s="350"/>
      <c r="X246" s="350"/>
      <c r="Y246" s="350"/>
      <c r="Z246" s="350"/>
      <c r="AA246" s="350"/>
      <c r="AB246" s="350"/>
      <c r="AC246" s="350"/>
      <c r="AD246" s="350"/>
      <c r="AE246" s="350"/>
      <c r="AF246" s="350"/>
      <c r="AG246" s="350"/>
      <c r="AH246" s="350"/>
      <c r="AI246" s="350"/>
      <c r="AJ246" s="350"/>
      <c r="AK246" s="350"/>
    </row>
    <row r="247" s="350" customFormat="1" ht="24" customHeight="1">
      <c r="A247" s="33">
        <v>15</v>
      </c>
      <c r="B247" s="50" t="s">
        <v>1063</v>
      </c>
      <c r="C247" s="79">
        <f>D247+K247+L247+M247+N247+O247+P247+Q247+R247+S247+T247</f>
        <v>1990946.8299999998</v>
      </c>
      <c r="D247" s="79">
        <f>SUM(E247:I247)</f>
        <v>1872963.4099999999</v>
      </c>
      <c r="E247" s="79">
        <v>0</v>
      </c>
      <c r="F247" s="79">
        <v>1475944.48</v>
      </c>
      <c r="G247" s="79">
        <v>0</v>
      </c>
      <c r="H247" s="79">
        <v>262701.42999999999</v>
      </c>
      <c r="I247" s="79">
        <v>134317.5</v>
      </c>
      <c r="J247" s="398">
        <v>0</v>
      </c>
      <c r="K247" s="79">
        <v>0</v>
      </c>
      <c r="L247" s="79">
        <v>0</v>
      </c>
      <c r="M247" s="79">
        <v>0</v>
      </c>
      <c r="N247" s="79">
        <v>0</v>
      </c>
      <c r="O247" s="79">
        <v>0</v>
      </c>
      <c r="P247" s="79">
        <v>117983.42</v>
      </c>
      <c r="Q247" s="79">
        <v>0</v>
      </c>
      <c r="R247" s="79">
        <v>0</v>
      </c>
      <c r="S247" s="79">
        <v>0</v>
      </c>
      <c r="T247" s="79">
        <v>0</v>
      </c>
      <c r="U247" s="350"/>
      <c r="V247" s="350"/>
      <c r="W247" s="350"/>
      <c r="X247" s="350"/>
      <c r="Y247" s="350"/>
      <c r="Z247" s="350"/>
      <c r="AA247" s="350"/>
      <c r="AB247" s="350"/>
      <c r="AC247" s="350"/>
      <c r="AD247" s="350"/>
      <c r="AE247" s="350"/>
    </row>
    <row r="248" s="350" customFormat="1" ht="24" customHeight="1">
      <c r="A248" s="33">
        <v>16</v>
      </c>
      <c r="B248" s="50" t="s">
        <v>340</v>
      </c>
      <c r="C248" s="79">
        <f>D248+K248+L248+M248+N248+O248+P248+Q248+R248+S248+T248</f>
        <v>729786</v>
      </c>
      <c r="D248" s="79">
        <f>SUM(E248:I248)</f>
        <v>729786</v>
      </c>
      <c r="E248" s="79">
        <v>0</v>
      </c>
      <c r="F248" s="79">
        <v>0</v>
      </c>
      <c r="G248" s="79">
        <v>0</v>
      </c>
      <c r="H248" s="79">
        <v>729786</v>
      </c>
      <c r="I248" s="79">
        <v>0</v>
      </c>
      <c r="J248" s="398">
        <v>0</v>
      </c>
      <c r="K248" s="79">
        <v>0</v>
      </c>
      <c r="L248" s="79">
        <v>0</v>
      </c>
      <c r="M248" s="79">
        <v>0</v>
      </c>
      <c r="N248" s="79">
        <v>0</v>
      </c>
      <c r="O248" s="79">
        <v>0</v>
      </c>
      <c r="P248" s="79">
        <v>0</v>
      </c>
      <c r="Q248" s="79">
        <v>0</v>
      </c>
      <c r="R248" s="79">
        <v>0</v>
      </c>
      <c r="S248" s="79">
        <v>0</v>
      </c>
      <c r="T248" s="79">
        <v>0</v>
      </c>
      <c r="U248" s="350"/>
      <c r="V248" s="350"/>
      <c r="W248" s="350"/>
      <c r="X248" s="350"/>
      <c r="Y248" s="350"/>
      <c r="Z248" s="350"/>
      <c r="AA248" s="350"/>
      <c r="AB248" s="350"/>
      <c r="AC248" s="350"/>
      <c r="AD248" s="350"/>
      <c r="AE248" s="350"/>
    </row>
    <row r="249" s="350" customFormat="1" ht="24" customHeight="1">
      <c r="A249" s="33">
        <v>17</v>
      </c>
      <c r="B249" s="50" t="s">
        <v>341</v>
      </c>
      <c r="C249" s="79">
        <f>D249+K249+L249+M249+N249+O249+P249+Q249+R249+S249+T249</f>
        <v>2874440.98</v>
      </c>
      <c r="D249" s="79">
        <f>SUM(E249:I249)</f>
        <v>2874440.98</v>
      </c>
      <c r="E249" s="79">
        <v>918175.19999999995</v>
      </c>
      <c r="F249" s="79">
        <v>1411006.1799999999</v>
      </c>
      <c r="G249" s="79">
        <v>0</v>
      </c>
      <c r="H249" s="79">
        <v>259736.39999999999</v>
      </c>
      <c r="I249" s="79">
        <v>285523.20000000001</v>
      </c>
      <c r="J249" s="398">
        <v>0</v>
      </c>
      <c r="K249" s="79">
        <v>0</v>
      </c>
      <c r="L249" s="79">
        <v>0</v>
      </c>
      <c r="M249" s="79">
        <v>0</v>
      </c>
      <c r="N249" s="79">
        <v>0</v>
      </c>
      <c r="O249" s="79">
        <v>0</v>
      </c>
      <c r="P249" s="79">
        <v>0</v>
      </c>
      <c r="Q249" s="79">
        <v>0</v>
      </c>
      <c r="R249" s="79">
        <v>0</v>
      </c>
      <c r="S249" s="79">
        <v>0</v>
      </c>
      <c r="T249" s="79">
        <v>0</v>
      </c>
      <c r="U249" s="350"/>
      <c r="V249" s="350"/>
      <c r="W249" s="350"/>
      <c r="X249" s="350"/>
      <c r="Y249" s="350"/>
      <c r="Z249" s="350"/>
      <c r="AA249" s="350"/>
      <c r="AB249" s="350"/>
      <c r="AC249" s="350"/>
      <c r="AD249" s="350"/>
      <c r="AE249" s="350"/>
    </row>
    <row r="250" s="60" customFormat="1" ht="25.199999999999999" customHeight="1">
      <c r="A250" s="33">
        <v>18</v>
      </c>
      <c r="B250" s="50" t="s">
        <v>342</v>
      </c>
      <c r="C250" s="79">
        <f>D250+K250+L250+M250+N250+O250+P250+Q250+R250+S250+T250</f>
        <v>5990583.5</v>
      </c>
      <c r="D250" s="79">
        <f>SUM(E250:I250)</f>
        <v>0</v>
      </c>
      <c r="E250" s="79">
        <v>0</v>
      </c>
      <c r="F250" s="79">
        <v>0</v>
      </c>
      <c r="G250" s="79">
        <v>0</v>
      </c>
      <c r="H250" s="79">
        <v>0</v>
      </c>
      <c r="I250" s="79">
        <v>0</v>
      </c>
      <c r="J250" s="398">
        <v>0</v>
      </c>
      <c r="K250" s="79">
        <v>0</v>
      </c>
      <c r="L250" s="79">
        <v>5990583.5</v>
      </c>
      <c r="M250" s="79">
        <v>0</v>
      </c>
      <c r="N250" s="79">
        <v>0</v>
      </c>
      <c r="O250" s="79">
        <v>0</v>
      </c>
      <c r="P250" s="79">
        <v>0</v>
      </c>
      <c r="Q250" s="79">
        <v>0</v>
      </c>
      <c r="R250" s="79">
        <v>0</v>
      </c>
      <c r="S250" s="79">
        <v>0</v>
      </c>
      <c r="T250" s="79">
        <v>0</v>
      </c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  <c r="AE250" s="60"/>
    </row>
    <row r="251" s="60" customFormat="1" ht="25.199999999999999" customHeight="1">
      <c r="A251" s="33">
        <v>19</v>
      </c>
      <c r="B251" s="50" t="s">
        <v>343</v>
      </c>
      <c r="C251" s="79">
        <f>D251+K251+L251+M251+N251+O251+P251+Q251+R251+S251+T251</f>
        <v>5229109.0899999999</v>
      </c>
      <c r="D251" s="79">
        <f>SUM(E251:I251)</f>
        <v>0</v>
      </c>
      <c r="E251" s="79">
        <v>0</v>
      </c>
      <c r="F251" s="79">
        <v>0</v>
      </c>
      <c r="G251" s="79">
        <v>0</v>
      </c>
      <c r="H251" s="79">
        <v>0</v>
      </c>
      <c r="I251" s="79">
        <v>0</v>
      </c>
      <c r="J251" s="398">
        <v>0</v>
      </c>
      <c r="K251" s="79">
        <v>0</v>
      </c>
      <c r="L251" s="79">
        <v>5229109.0899999999</v>
      </c>
      <c r="M251" s="79">
        <v>0</v>
      </c>
      <c r="N251" s="79">
        <v>0</v>
      </c>
      <c r="O251" s="79">
        <v>0</v>
      </c>
      <c r="P251" s="79">
        <v>0</v>
      </c>
      <c r="Q251" s="79">
        <v>0</v>
      </c>
      <c r="R251" s="79">
        <v>0</v>
      </c>
      <c r="S251" s="79">
        <v>0</v>
      </c>
      <c r="T251" s="79">
        <v>0</v>
      </c>
      <c r="U251" s="60"/>
      <c r="V251" s="60"/>
      <c r="W251" s="60"/>
      <c r="X251" s="60"/>
      <c r="Y251" s="60"/>
      <c r="Z251" s="60"/>
      <c r="AA251" s="60"/>
      <c r="AB251" s="60"/>
      <c r="AC251" s="60"/>
      <c r="AD251" s="60"/>
      <c r="AE251" s="60"/>
      <c r="AF251" s="60"/>
      <c r="AG251" s="60"/>
      <c r="AH251" s="60"/>
      <c r="AI251" s="60"/>
      <c r="AJ251" s="60"/>
      <c r="AK251" s="60"/>
    </row>
    <row r="252" s="60" customFormat="1" ht="25.199999999999999" customHeight="1">
      <c r="A252" s="33">
        <v>20</v>
      </c>
      <c r="B252" s="50" t="s">
        <v>344</v>
      </c>
      <c r="C252" s="79">
        <f>D252+K252+L252+M252+N252+O252+P252+Q252+R252+S252+T252</f>
        <v>329641.20000000001</v>
      </c>
      <c r="D252" s="79">
        <f>SUM(E252:I252)</f>
        <v>329641.20000000001</v>
      </c>
      <c r="E252" s="79">
        <v>329641.20000000001</v>
      </c>
      <c r="F252" s="79">
        <v>0</v>
      </c>
      <c r="G252" s="79">
        <v>0</v>
      </c>
      <c r="H252" s="79">
        <v>0</v>
      </c>
      <c r="I252" s="79">
        <v>0</v>
      </c>
      <c r="J252" s="398">
        <v>0</v>
      </c>
      <c r="K252" s="79">
        <v>0</v>
      </c>
      <c r="L252" s="79">
        <v>0</v>
      </c>
      <c r="M252" s="79">
        <v>0</v>
      </c>
      <c r="N252" s="79">
        <v>0</v>
      </c>
      <c r="O252" s="79">
        <v>0</v>
      </c>
      <c r="P252" s="79">
        <v>0</v>
      </c>
      <c r="Q252" s="79">
        <v>0</v>
      </c>
      <c r="R252" s="79">
        <v>0</v>
      </c>
      <c r="S252" s="79">
        <v>0</v>
      </c>
      <c r="T252" s="79">
        <v>0</v>
      </c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  <c r="AE252" s="60"/>
    </row>
    <row r="253" s="60" customFormat="1" ht="25.199999999999999" customHeight="1">
      <c r="A253" s="33">
        <v>21</v>
      </c>
      <c r="B253" s="50" t="s">
        <v>1064</v>
      </c>
      <c r="C253" s="79">
        <f>D253+K253+L253+M253+N253+O253+P253+Q253+R253+S253+T253</f>
        <v>432691.16000000003</v>
      </c>
      <c r="D253" s="79">
        <f>SUM(E253:I253)</f>
        <v>0</v>
      </c>
      <c r="E253" s="158">
        <v>0</v>
      </c>
      <c r="F253" s="92">
        <v>0</v>
      </c>
      <c r="G253" s="158">
        <v>0</v>
      </c>
      <c r="H253" s="92">
        <v>0</v>
      </c>
      <c r="I253" s="158">
        <v>0</v>
      </c>
      <c r="J253" s="398">
        <v>0</v>
      </c>
      <c r="K253" s="158">
        <v>0</v>
      </c>
      <c r="L253" s="92">
        <v>0</v>
      </c>
      <c r="M253" s="158">
        <v>0</v>
      </c>
      <c r="N253" s="79">
        <v>0</v>
      </c>
      <c r="O253" s="158">
        <v>0</v>
      </c>
      <c r="P253" s="92">
        <f>345390.2+87300.96</f>
        <v>432691.16000000003</v>
      </c>
      <c r="Q253" s="158">
        <v>0</v>
      </c>
      <c r="R253" s="79">
        <v>0</v>
      </c>
      <c r="S253" s="158">
        <v>0</v>
      </c>
      <c r="T253" s="79">
        <v>0</v>
      </c>
      <c r="U253" s="350"/>
      <c r="V253" s="350"/>
      <c r="W253" s="350"/>
      <c r="X253" s="350"/>
      <c r="Y253" s="350"/>
      <c r="Z253" s="350"/>
      <c r="AA253" s="350"/>
      <c r="AB253" s="350"/>
      <c r="AC253" s="350"/>
      <c r="AD253" s="350"/>
      <c r="AE253" s="350"/>
      <c r="AF253" s="350"/>
      <c r="AG253" s="350"/>
      <c r="AH253" s="350"/>
      <c r="AI253" s="350"/>
    </row>
    <row r="254" s="60" customFormat="1" ht="25.199999999999999" customHeight="1">
      <c r="A254" s="33">
        <v>22</v>
      </c>
      <c r="B254" s="50" t="s">
        <v>346</v>
      </c>
      <c r="C254" s="79">
        <f>D254+K254+L254+M254+N254+O254+P254+Q254+R254+S254+T254</f>
        <v>1959657.96</v>
      </c>
      <c r="D254" s="79">
        <f>SUM(E254:I254)</f>
        <v>0</v>
      </c>
      <c r="E254" s="79">
        <v>0</v>
      </c>
      <c r="F254" s="79">
        <v>0</v>
      </c>
      <c r="G254" s="79">
        <v>0</v>
      </c>
      <c r="H254" s="79">
        <v>0</v>
      </c>
      <c r="I254" s="79">
        <v>0</v>
      </c>
      <c r="J254" s="398">
        <v>0</v>
      </c>
      <c r="K254" s="79">
        <v>0</v>
      </c>
      <c r="L254" s="79">
        <v>0</v>
      </c>
      <c r="M254" s="79">
        <v>0</v>
      </c>
      <c r="N254" s="79">
        <v>1959657.96</v>
      </c>
      <c r="O254" s="79">
        <v>0</v>
      </c>
      <c r="P254" s="79">
        <v>0</v>
      </c>
      <c r="Q254" s="79">
        <v>0</v>
      </c>
      <c r="R254" s="79">
        <v>0</v>
      </c>
      <c r="S254" s="79">
        <v>0</v>
      </c>
      <c r="T254" s="79">
        <v>0</v>
      </c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</row>
    <row r="255" s="350" customFormat="1" ht="24" customHeight="1">
      <c r="A255" s="33">
        <v>23</v>
      </c>
      <c r="B255" s="52" t="s">
        <v>1065</v>
      </c>
      <c r="C255" s="79">
        <f>D255+K255+L255+M255+N255+O255+P255+Q255+R255+S255+T255</f>
        <v>1595848.3200000001</v>
      </c>
      <c r="D255" s="79">
        <f>SUM(E255:I255)</f>
        <v>1351863.6000000001</v>
      </c>
      <c r="E255" s="92">
        <v>1351863.6000000001</v>
      </c>
      <c r="F255" s="92">
        <v>0</v>
      </c>
      <c r="G255" s="92">
        <v>0</v>
      </c>
      <c r="H255" s="92">
        <v>0</v>
      </c>
      <c r="I255" s="92">
        <v>0</v>
      </c>
      <c r="J255" s="398">
        <v>0</v>
      </c>
      <c r="K255" s="79">
        <v>0</v>
      </c>
      <c r="L255" s="79">
        <v>0</v>
      </c>
      <c r="M255" s="79">
        <v>0</v>
      </c>
      <c r="N255" s="79">
        <v>0</v>
      </c>
      <c r="O255" s="79">
        <v>0</v>
      </c>
      <c r="P255" s="92">
        <f>128781.53+115203.19</f>
        <v>243984.72</v>
      </c>
      <c r="Q255" s="79">
        <v>0</v>
      </c>
      <c r="R255" s="79">
        <v>0</v>
      </c>
      <c r="S255" s="79">
        <v>0</v>
      </c>
      <c r="T255" s="79">
        <v>0</v>
      </c>
      <c r="U255" s="350"/>
      <c r="V255" s="350"/>
      <c r="W255" s="350"/>
      <c r="X255" s="350"/>
      <c r="Y255" s="350"/>
      <c r="Z255" s="350"/>
      <c r="AA255" s="350"/>
      <c r="AB255" s="350"/>
      <c r="AC255" s="350"/>
      <c r="AD255" s="350"/>
      <c r="AE255" s="350"/>
    </row>
    <row r="256" s="350" customFormat="1" ht="32.25" customHeight="1">
      <c r="A256" s="25" t="s">
        <v>348</v>
      </c>
      <c r="B256" s="25"/>
      <c r="C256" s="154">
        <f>C257</f>
        <v>200729.89999999999</v>
      </c>
      <c r="D256" s="154">
        <f>D257</f>
        <v>0</v>
      </c>
      <c r="E256" s="154">
        <f>E257</f>
        <v>0</v>
      </c>
      <c r="F256" s="154">
        <f>F257</f>
        <v>0</v>
      </c>
      <c r="G256" s="154">
        <f>G257</f>
        <v>0</v>
      </c>
      <c r="H256" s="154">
        <f>H257</f>
        <v>0</v>
      </c>
      <c r="I256" s="154">
        <f>I257</f>
        <v>0</v>
      </c>
      <c r="J256" s="155">
        <f>J257</f>
        <v>0</v>
      </c>
      <c r="K256" s="154">
        <f>K257</f>
        <v>0</v>
      </c>
      <c r="L256" s="154">
        <f>L257</f>
        <v>0</v>
      </c>
      <c r="M256" s="154">
        <f>M257</f>
        <v>0</v>
      </c>
      <c r="N256" s="154">
        <f>N257</f>
        <v>0</v>
      </c>
      <c r="O256" s="154">
        <f>O257</f>
        <v>0</v>
      </c>
      <c r="P256" s="154">
        <f>P257</f>
        <v>200729.89999999999</v>
      </c>
      <c r="Q256" s="154">
        <f>Q257</f>
        <v>0</v>
      </c>
      <c r="R256" s="154">
        <f>R257</f>
        <v>0</v>
      </c>
      <c r="S256" s="154">
        <f>S257</f>
        <v>0</v>
      </c>
      <c r="T256" s="154">
        <f>T257</f>
        <v>0</v>
      </c>
      <c r="U256" s="350"/>
      <c r="V256" s="350"/>
      <c r="W256" s="350"/>
      <c r="X256" s="350"/>
      <c r="Y256" s="350"/>
      <c r="Z256" s="350"/>
      <c r="AA256" s="350"/>
      <c r="AB256" s="350"/>
      <c r="AC256" s="350"/>
      <c r="AD256" s="350"/>
      <c r="AE256" s="350"/>
      <c r="AF256" s="350"/>
      <c r="AG256" s="350"/>
      <c r="AH256" s="350"/>
      <c r="AI256" s="350"/>
      <c r="AJ256" s="350"/>
      <c r="AK256" s="350"/>
    </row>
    <row r="257" s="350" customFormat="1" ht="24" customHeight="1">
      <c r="A257" s="33">
        <v>1</v>
      </c>
      <c r="B257" s="50" t="s">
        <v>1066</v>
      </c>
      <c r="C257" s="79">
        <f>D257+K257+L257+M257+N257+O257+P257+Q257+R257+S257+T257</f>
        <v>200729.89999999999</v>
      </c>
      <c r="D257" s="79">
        <f>SUM(E257:I257)</f>
        <v>0</v>
      </c>
      <c r="E257" s="79">
        <v>0</v>
      </c>
      <c r="F257" s="79">
        <v>0</v>
      </c>
      <c r="G257" s="79">
        <v>0</v>
      </c>
      <c r="H257" s="79">
        <v>0</v>
      </c>
      <c r="I257" s="79">
        <v>0</v>
      </c>
      <c r="J257" s="398">
        <v>0</v>
      </c>
      <c r="K257" s="79">
        <v>0</v>
      </c>
      <c r="L257" s="79">
        <v>0</v>
      </c>
      <c r="M257" s="79">
        <v>0</v>
      </c>
      <c r="N257" s="79">
        <v>0</v>
      </c>
      <c r="O257" s="79">
        <v>0</v>
      </c>
      <c r="P257" s="92">
        <v>200729.89999999999</v>
      </c>
      <c r="Q257" s="79">
        <v>0</v>
      </c>
      <c r="R257" s="79">
        <v>0</v>
      </c>
      <c r="S257" s="79">
        <v>0</v>
      </c>
      <c r="T257" s="79">
        <v>0</v>
      </c>
      <c r="U257" s="350"/>
      <c r="V257" s="350"/>
      <c r="W257" s="350"/>
      <c r="X257" s="350"/>
      <c r="Y257" s="350"/>
      <c r="Z257" s="350"/>
      <c r="AA257" s="350"/>
      <c r="AB257" s="350"/>
      <c r="AC257" s="350"/>
      <c r="AD257" s="350"/>
      <c r="AE257" s="350"/>
    </row>
    <row r="258" s="350" customFormat="1" ht="24" customHeight="1">
      <c r="A258" s="25" t="s">
        <v>350</v>
      </c>
      <c r="B258" s="25"/>
      <c r="C258" s="154">
        <f>SUM(C259:C265)</f>
        <v>15274966.289999999</v>
      </c>
      <c r="D258" s="154">
        <f>SUM(D259:D265)</f>
        <v>13943467.640000001</v>
      </c>
      <c r="E258" s="154">
        <f>SUM(E259:E265)</f>
        <v>11534370.550000001</v>
      </c>
      <c r="F258" s="154">
        <f>SUM(F259:F265)</f>
        <v>1421175.1899999999</v>
      </c>
      <c r="G258" s="154">
        <f>SUM(G259:G265)</f>
        <v>393717.26000000001</v>
      </c>
      <c r="H258" s="154">
        <f>SUM(H259:H265)</f>
        <v>477280.09999999998</v>
      </c>
      <c r="I258" s="154">
        <f>SUM(I259:I265)</f>
        <v>116924.53999999999</v>
      </c>
      <c r="J258" s="155">
        <f>SUM(J259:J265)</f>
        <v>0</v>
      </c>
      <c r="K258" s="154">
        <f>SUM(K259:K265)</f>
        <v>0</v>
      </c>
      <c r="L258" s="154">
        <f>SUM(L259:L265)</f>
        <v>0</v>
      </c>
      <c r="M258" s="154">
        <f>SUM(M259:M265)</f>
        <v>0</v>
      </c>
      <c r="N258" s="154">
        <f>SUM(N259:N265)</f>
        <v>0</v>
      </c>
      <c r="O258" s="154">
        <f>SUM(O259:O265)</f>
        <v>0</v>
      </c>
      <c r="P258" s="154">
        <f>SUM(P259:P265)</f>
        <v>1331498.6499999999</v>
      </c>
      <c r="Q258" s="154">
        <f>SUM(Q259:Q265)</f>
        <v>0</v>
      </c>
      <c r="R258" s="154">
        <f>SUM(R259:R265)</f>
        <v>0</v>
      </c>
      <c r="S258" s="154">
        <f>SUM(S259:S265)</f>
        <v>0</v>
      </c>
      <c r="T258" s="154">
        <f>SUM(T259:T265)</f>
        <v>0</v>
      </c>
      <c r="U258" s="350"/>
      <c r="V258" s="350"/>
      <c r="W258" s="350"/>
      <c r="X258" s="350"/>
      <c r="Y258" s="350"/>
      <c r="Z258" s="350"/>
      <c r="AA258" s="350"/>
      <c r="AB258" s="350"/>
      <c r="AC258" s="350"/>
      <c r="AD258" s="350"/>
      <c r="AE258" s="350"/>
    </row>
    <row r="259" s="54" customFormat="1" ht="23.25" customHeight="1">
      <c r="A259" s="33">
        <v>1</v>
      </c>
      <c r="B259" s="73" t="s">
        <v>1067</v>
      </c>
      <c r="C259" s="79">
        <f t="shared" ref="C259:C265" si="211">D259+K259+L259+M259+N259+O259+P259+Q259+R259+S259+T259</f>
        <v>1995495.6499999999</v>
      </c>
      <c r="D259" s="79">
        <f t="shared" ref="D259:D265" si="212">SUM(E259:I259)</f>
        <v>1702849.6099999999</v>
      </c>
      <c r="E259" s="92">
        <v>0</v>
      </c>
      <c r="F259" s="92">
        <v>1421175.1899999999</v>
      </c>
      <c r="G259" s="92">
        <v>0</v>
      </c>
      <c r="H259" s="92">
        <v>164749.88</v>
      </c>
      <c r="I259" s="92">
        <v>116924.53999999999</v>
      </c>
      <c r="J259" s="398">
        <v>0</v>
      </c>
      <c r="K259" s="79">
        <v>0</v>
      </c>
      <c r="L259" s="79">
        <v>0</v>
      </c>
      <c r="M259" s="79">
        <v>0</v>
      </c>
      <c r="N259" s="79">
        <v>0</v>
      </c>
      <c r="O259" s="79">
        <v>0</v>
      </c>
      <c r="P259" s="92">
        <f>122573.05+170072.99</f>
        <v>292646.03999999998</v>
      </c>
      <c r="Q259" s="79">
        <v>0</v>
      </c>
      <c r="R259" s="79">
        <v>0</v>
      </c>
      <c r="S259" s="79">
        <v>0</v>
      </c>
      <c r="T259" s="79">
        <v>0</v>
      </c>
      <c r="U259" s="54"/>
      <c r="V259" s="54"/>
      <c r="W259" s="54"/>
      <c r="X259" s="54"/>
      <c r="Y259" s="54"/>
      <c r="Z259" s="54"/>
      <c r="AA259" s="54"/>
      <c r="AB259" s="54"/>
      <c r="AC259" s="54"/>
      <c r="AD259" s="54"/>
      <c r="AE259" s="54"/>
    </row>
    <row r="260" s="54" customFormat="1" ht="25.5" customHeight="1">
      <c r="A260" s="33">
        <v>2</v>
      </c>
      <c r="B260" s="73" t="s">
        <v>1068</v>
      </c>
      <c r="C260" s="79">
        <f t="shared" si="211"/>
        <v>4677443.6699999999</v>
      </c>
      <c r="D260" s="79">
        <f t="shared" si="212"/>
        <v>4387101.8300000001</v>
      </c>
      <c r="E260" s="92">
        <v>4387101.8300000001</v>
      </c>
      <c r="F260" s="92">
        <v>0</v>
      </c>
      <c r="G260" s="92">
        <v>0</v>
      </c>
      <c r="H260" s="92">
        <v>0</v>
      </c>
      <c r="I260" s="79">
        <v>0</v>
      </c>
      <c r="J260" s="398">
        <v>0</v>
      </c>
      <c r="K260" s="79">
        <v>0</v>
      </c>
      <c r="L260" s="79">
        <v>0</v>
      </c>
      <c r="M260" s="79">
        <v>0</v>
      </c>
      <c r="N260" s="79">
        <v>0</v>
      </c>
      <c r="O260" s="79">
        <v>0</v>
      </c>
      <c r="P260" s="92">
        <v>290341.84000000003</v>
      </c>
      <c r="Q260" s="79">
        <v>0</v>
      </c>
      <c r="R260" s="79">
        <v>0</v>
      </c>
      <c r="S260" s="79">
        <v>0</v>
      </c>
      <c r="T260" s="79">
        <v>0</v>
      </c>
      <c r="U260" s="54"/>
      <c r="V260" s="54"/>
      <c r="W260" s="54"/>
      <c r="X260" s="54"/>
      <c r="Y260" s="54"/>
      <c r="Z260" s="54"/>
      <c r="AA260" s="54"/>
      <c r="AB260" s="54"/>
      <c r="AC260" s="54"/>
      <c r="AD260" s="54"/>
      <c r="AE260" s="54"/>
    </row>
    <row r="261" s="54" customFormat="1" ht="22.5" customHeight="1">
      <c r="A261" s="33">
        <v>3</v>
      </c>
      <c r="B261" s="73" t="s">
        <v>354</v>
      </c>
      <c r="C261" s="79">
        <f t="shared" si="211"/>
        <v>685344</v>
      </c>
      <c r="D261" s="79">
        <f t="shared" si="212"/>
        <v>685344</v>
      </c>
      <c r="E261" s="92">
        <v>685344</v>
      </c>
      <c r="F261" s="79">
        <v>0</v>
      </c>
      <c r="G261" s="79">
        <v>0</v>
      </c>
      <c r="H261" s="92">
        <v>0</v>
      </c>
      <c r="I261" s="79">
        <v>0</v>
      </c>
      <c r="J261" s="398">
        <v>0</v>
      </c>
      <c r="K261" s="79">
        <v>0</v>
      </c>
      <c r="L261" s="79">
        <v>0</v>
      </c>
      <c r="M261" s="92">
        <v>0</v>
      </c>
      <c r="N261" s="79">
        <v>0</v>
      </c>
      <c r="O261" s="79">
        <v>0</v>
      </c>
      <c r="P261" s="79">
        <v>0</v>
      </c>
      <c r="Q261" s="79">
        <v>0</v>
      </c>
      <c r="R261" s="79">
        <v>0</v>
      </c>
      <c r="S261" s="79">
        <v>0</v>
      </c>
      <c r="T261" s="79">
        <v>0</v>
      </c>
      <c r="U261" s="54"/>
      <c r="V261" s="54"/>
      <c r="W261" s="54"/>
      <c r="X261" s="54"/>
      <c r="Y261" s="54"/>
      <c r="Z261" s="54"/>
      <c r="AA261" s="54"/>
      <c r="AB261" s="54"/>
      <c r="AC261" s="54"/>
      <c r="AD261" s="54"/>
      <c r="AE261" s="54"/>
    </row>
    <row r="262" s="54" customFormat="1" ht="22.5" customHeight="1">
      <c r="A262" s="33">
        <v>4</v>
      </c>
      <c r="B262" s="73" t="s">
        <v>1069</v>
      </c>
      <c r="C262" s="79">
        <f t="shared" si="211"/>
        <v>198195.53</v>
      </c>
      <c r="D262" s="79">
        <f t="shared" si="212"/>
        <v>0</v>
      </c>
      <c r="E262" s="92">
        <v>0</v>
      </c>
      <c r="F262" s="92">
        <v>0</v>
      </c>
      <c r="G262" s="92">
        <v>0</v>
      </c>
      <c r="H262" s="92">
        <v>0</v>
      </c>
      <c r="I262" s="79">
        <v>0</v>
      </c>
      <c r="J262" s="398">
        <v>0</v>
      </c>
      <c r="K262" s="79">
        <v>0</v>
      </c>
      <c r="L262" s="79">
        <v>0</v>
      </c>
      <c r="M262" s="79">
        <v>0</v>
      </c>
      <c r="N262" s="79">
        <v>0</v>
      </c>
      <c r="O262" s="79">
        <v>0</v>
      </c>
      <c r="P262" s="92">
        <v>198195.53</v>
      </c>
      <c r="Q262" s="79">
        <v>0</v>
      </c>
      <c r="R262" s="79">
        <v>0</v>
      </c>
      <c r="S262" s="79">
        <v>0</v>
      </c>
      <c r="T262" s="79">
        <v>0</v>
      </c>
      <c r="U262" s="54"/>
      <c r="V262" s="54"/>
      <c r="W262" s="54"/>
      <c r="X262" s="54"/>
      <c r="Y262" s="54"/>
      <c r="Z262" s="54"/>
      <c r="AA262" s="54"/>
      <c r="AB262" s="54"/>
      <c r="AC262" s="54"/>
      <c r="AD262" s="54"/>
      <c r="AE262" s="54"/>
    </row>
    <row r="263" s="54" customFormat="1" ht="22.5" customHeight="1">
      <c r="A263" s="33">
        <v>5</v>
      </c>
      <c r="B263" s="73" t="s">
        <v>1070</v>
      </c>
      <c r="C263" s="79">
        <f t="shared" si="211"/>
        <v>4176292.0800000001</v>
      </c>
      <c r="D263" s="79">
        <f t="shared" si="212"/>
        <v>3625976.8399999999</v>
      </c>
      <c r="E263" s="92">
        <v>3625976.8399999999</v>
      </c>
      <c r="F263" s="92">
        <v>0</v>
      </c>
      <c r="G263" s="92">
        <v>0</v>
      </c>
      <c r="H263" s="92">
        <v>0</v>
      </c>
      <c r="I263" s="79">
        <v>0</v>
      </c>
      <c r="J263" s="398">
        <v>0</v>
      </c>
      <c r="K263" s="79">
        <v>0</v>
      </c>
      <c r="L263" s="79">
        <v>0</v>
      </c>
      <c r="M263" s="79">
        <v>0</v>
      </c>
      <c r="N263" s="79">
        <v>0</v>
      </c>
      <c r="O263" s="79">
        <v>0</v>
      </c>
      <c r="P263" s="92">
        <f>349421.42+200893.82</f>
        <v>550315.23999999999</v>
      </c>
      <c r="Q263" s="79">
        <v>0</v>
      </c>
      <c r="R263" s="79">
        <v>0</v>
      </c>
      <c r="S263" s="79">
        <v>0</v>
      </c>
      <c r="T263" s="79">
        <v>0</v>
      </c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</row>
    <row r="264" s="54" customFormat="1" ht="22.5" customHeight="1">
      <c r="A264" s="33">
        <v>6</v>
      </c>
      <c r="B264" s="73" t="s">
        <v>1071</v>
      </c>
      <c r="C264" s="79">
        <f t="shared" si="211"/>
        <v>1374617.8799999999</v>
      </c>
      <c r="D264" s="79">
        <f t="shared" si="212"/>
        <v>1374617.8799999999</v>
      </c>
      <c r="E264" s="92">
        <v>1374617.8799999999</v>
      </c>
      <c r="F264" s="92">
        <v>0</v>
      </c>
      <c r="G264" s="92">
        <v>0</v>
      </c>
      <c r="H264" s="92">
        <v>0</v>
      </c>
      <c r="I264" s="79">
        <v>0</v>
      </c>
      <c r="J264" s="398">
        <v>0</v>
      </c>
      <c r="K264" s="79">
        <v>0</v>
      </c>
      <c r="L264" s="79">
        <v>0</v>
      </c>
      <c r="M264" s="79">
        <v>0</v>
      </c>
      <c r="N264" s="79">
        <v>0</v>
      </c>
      <c r="O264" s="79">
        <v>0</v>
      </c>
      <c r="P264" s="92">
        <v>0</v>
      </c>
      <c r="Q264" s="79">
        <v>0</v>
      </c>
      <c r="R264" s="79">
        <v>0</v>
      </c>
      <c r="S264" s="79">
        <v>0</v>
      </c>
      <c r="T264" s="79">
        <v>0</v>
      </c>
      <c r="U264" s="54"/>
      <c r="V264" s="54"/>
      <c r="W264" s="54"/>
      <c r="X264" s="54"/>
      <c r="Y264" s="54"/>
      <c r="Z264" s="54"/>
      <c r="AA264" s="54"/>
      <c r="AB264" s="54"/>
      <c r="AC264" s="54"/>
      <c r="AD264" s="54"/>
      <c r="AE264" s="54"/>
    </row>
    <row r="265" s="54" customFormat="1" ht="22.5" customHeight="1">
      <c r="A265" s="33">
        <v>7</v>
      </c>
      <c r="B265" s="73" t="s">
        <v>358</v>
      </c>
      <c r="C265" s="79">
        <f t="shared" si="211"/>
        <v>2167577.48</v>
      </c>
      <c r="D265" s="79">
        <f t="shared" si="212"/>
        <v>2167577.48</v>
      </c>
      <c r="E265" s="92">
        <v>1461330</v>
      </c>
      <c r="F265" s="79">
        <v>0</v>
      </c>
      <c r="G265" s="92">
        <v>393717.26000000001</v>
      </c>
      <c r="H265" s="92">
        <v>312530.21999999997</v>
      </c>
      <c r="I265" s="79">
        <v>0</v>
      </c>
      <c r="J265" s="398">
        <v>0</v>
      </c>
      <c r="K265" s="79">
        <v>0</v>
      </c>
      <c r="L265" s="79">
        <v>0</v>
      </c>
      <c r="M265" s="92">
        <v>0</v>
      </c>
      <c r="N265" s="79">
        <v>0</v>
      </c>
      <c r="O265" s="79">
        <v>0</v>
      </c>
      <c r="P265" s="79">
        <v>0</v>
      </c>
      <c r="Q265" s="79">
        <v>0</v>
      </c>
      <c r="R265" s="79">
        <v>0</v>
      </c>
      <c r="S265" s="79">
        <v>0</v>
      </c>
      <c r="T265" s="79">
        <v>0</v>
      </c>
      <c r="U265" s="54"/>
      <c r="V265" s="54"/>
      <c r="W265" s="54"/>
      <c r="X265" s="54"/>
      <c r="Y265" s="54"/>
      <c r="Z265" s="54"/>
      <c r="AA265" s="54"/>
      <c r="AB265" s="54"/>
      <c r="AC265" s="54"/>
      <c r="AD265" s="54"/>
      <c r="AE265" s="54"/>
    </row>
    <row r="266" s="350" customFormat="1" ht="22.5" customHeight="1">
      <c r="A266" s="25" t="s">
        <v>359</v>
      </c>
      <c r="B266" s="25"/>
      <c r="C266" s="154">
        <f>SUM(C267:C268)</f>
        <v>1025320.6000000001</v>
      </c>
      <c r="D266" s="154">
        <f>SUM(D267:D268)</f>
        <v>0</v>
      </c>
      <c r="E266" s="154">
        <f>SUM(E267:E268)</f>
        <v>0</v>
      </c>
      <c r="F266" s="154">
        <f>SUM(F267:F268)</f>
        <v>0</v>
      </c>
      <c r="G266" s="154">
        <f>SUM(G267:G268)</f>
        <v>0</v>
      </c>
      <c r="H266" s="154">
        <f>SUM(H267:H268)</f>
        <v>0</v>
      </c>
      <c r="I266" s="154">
        <f>SUM(I267:I268)</f>
        <v>0</v>
      </c>
      <c r="J266" s="155">
        <f>SUM(J267:J268)</f>
        <v>0</v>
      </c>
      <c r="K266" s="154">
        <f>SUM(K267:K268)</f>
        <v>0</v>
      </c>
      <c r="L266" s="154">
        <f>SUM(L267:L268)</f>
        <v>0</v>
      </c>
      <c r="M266" s="154">
        <f>SUM(M267:M268)</f>
        <v>0</v>
      </c>
      <c r="N266" s="154">
        <f>SUM(N267:N268)</f>
        <v>0</v>
      </c>
      <c r="O266" s="154">
        <f>SUM(O267:O268)</f>
        <v>0</v>
      </c>
      <c r="P266" s="154">
        <f>SUM(P267:P268)</f>
        <v>1025320.6000000001</v>
      </c>
      <c r="Q266" s="154">
        <f>SUM(Q267:Q268)</f>
        <v>0</v>
      </c>
      <c r="R266" s="154">
        <f>SUM(R267:R268)</f>
        <v>0</v>
      </c>
      <c r="S266" s="154">
        <f>SUM(S267:S268)</f>
        <v>0</v>
      </c>
      <c r="T266" s="154">
        <f>SUM(T267:T268)</f>
        <v>0</v>
      </c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</row>
    <row r="267" s="31" customFormat="1" ht="22.800000000000001" customHeight="1">
      <c r="A267" s="33">
        <v>1</v>
      </c>
      <c r="B267" s="50" t="s">
        <v>1072</v>
      </c>
      <c r="C267" s="79">
        <f t="shared" ref="C267:C268" si="213">D267+K267+L267+M267+N267+O267+P267+Q267+R267+S267+T267</f>
        <v>454128.08000000002</v>
      </c>
      <c r="D267" s="79">
        <f t="shared" ref="D267:D268" si="214">SUM(E267:I267)</f>
        <v>0</v>
      </c>
      <c r="E267" s="79">
        <v>0</v>
      </c>
      <c r="F267" s="79">
        <v>0</v>
      </c>
      <c r="G267" s="79">
        <v>0</v>
      </c>
      <c r="H267" s="79">
        <v>0</v>
      </c>
      <c r="I267" s="79">
        <v>0</v>
      </c>
      <c r="J267" s="398">
        <v>0</v>
      </c>
      <c r="K267" s="79">
        <v>0</v>
      </c>
      <c r="L267" s="92">
        <v>0</v>
      </c>
      <c r="M267" s="79">
        <v>0</v>
      </c>
      <c r="N267" s="79">
        <v>0</v>
      </c>
      <c r="O267" s="79">
        <v>0</v>
      </c>
      <c r="P267" s="92">
        <v>454128.08000000002</v>
      </c>
      <c r="Q267" s="79">
        <v>0</v>
      </c>
      <c r="R267" s="79">
        <v>0</v>
      </c>
      <c r="S267" s="79">
        <v>0</v>
      </c>
      <c r="T267" s="79">
        <v>0</v>
      </c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</row>
    <row r="268" s="60" customFormat="1" ht="22.800000000000001" customHeight="1">
      <c r="A268" s="33">
        <v>2</v>
      </c>
      <c r="B268" s="50" t="s">
        <v>1073</v>
      </c>
      <c r="C268" s="79">
        <f t="shared" si="213"/>
        <v>571192.52000000002</v>
      </c>
      <c r="D268" s="79">
        <f t="shared" si="214"/>
        <v>0</v>
      </c>
      <c r="E268" s="79">
        <v>0</v>
      </c>
      <c r="F268" s="79">
        <v>0</v>
      </c>
      <c r="G268" s="79">
        <v>0</v>
      </c>
      <c r="H268" s="79">
        <v>0</v>
      </c>
      <c r="I268" s="79">
        <v>0</v>
      </c>
      <c r="J268" s="398">
        <v>0</v>
      </c>
      <c r="K268" s="79">
        <v>0</v>
      </c>
      <c r="L268" s="79">
        <v>0</v>
      </c>
      <c r="M268" s="79">
        <v>0</v>
      </c>
      <c r="N268" s="79">
        <v>0</v>
      </c>
      <c r="O268" s="79">
        <v>0</v>
      </c>
      <c r="P268" s="92">
        <f>289751.09+281441.43</f>
        <v>571192.52000000002</v>
      </c>
      <c r="Q268" s="79">
        <v>0</v>
      </c>
      <c r="R268" s="79">
        <v>0</v>
      </c>
      <c r="S268" s="79">
        <v>0</v>
      </c>
      <c r="T268" s="79">
        <v>0</v>
      </c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</row>
    <row r="269" s="350" customFormat="1" ht="22.800000000000001" customHeight="1">
      <c r="A269" s="61" t="s">
        <v>362</v>
      </c>
      <c r="B269" s="61"/>
      <c r="C269" s="154">
        <f>SUM(C270:C284)</f>
        <v>43937088.140000001</v>
      </c>
      <c r="D269" s="154">
        <f>SUM(D270:D284)</f>
        <v>21260356.710000001</v>
      </c>
      <c r="E269" s="154">
        <f>SUM(E270:E284)</f>
        <v>6804392.1100000003</v>
      </c>
      <c r="F269" s="154">
        <f>SUM(F270:F284)</f>
        <v>10891314.33</v>
      </c>
      <c r="G269" s="154">
        <f>SUM(G270:G284)</f>
        <v>2573225.8700000001</v>
      </c>
      <c r="H269" s="154">
        <f>SUM(H270:H284)</f>
        <v>764239.19999999995</v>
      </c>
      <c r="I269" s="154">
        <f>SUM(I270:I284)</f>
        <v>227185.20000000001</v>
      </c>
      <c r="J269" s="155">
        <f>SUM(J270:J284)</f>
        <v>0</v>
      </c>
      <c r="K269" s="154">
        <f>SUM(K270:K284)</f>
        <v>0</v>
      </c>
      <c r="L269" s="154">
        <f>SUM(L270:L284)</f>
        <v>19767219.619999997</v>
      </c>
      <c r="M269" s="154">
        <f>SUM(M270:M284)</f>
        <v>0</v>
      </c>
      <c r="N269" s="154">
        <f>SUM(N270:N284)</f>
        <v>0</v>
      </c>
      <c r="O269" s="154">
        <f>SUM(O270:O284)</f>
        <v>0</v>
      </c>
      <c r="P269" s="154">
        <f>SUM(P270:P284)</f>
        <v>2909511.8100000005</v>
      </c>
      <c r="Q269" s="154">
        <f>SUM(Q270:Q284)</f>
        <v>0</v>
      </c>
      <c r="R269" s="154">
        <f>SUM(R270:R284)</f>
        <v>0</v>
      </c>
      <c r="S269" s="154">
        <f>SUM(S270:S284)</f>
        <v>0</v>
      </c>
      <c r="T269" s="154">
        <f>SUM(T270:T284)</f>
        <v>0</v>
      </c>
      <c r="U269" s="350"/>
      <c r="V269" s="350"/>
      <c r="W269" s="350"/>
      <c r="X269" s="350"/>
      <c r="Y269" s="350"/>
      <c r="Z269" s="350"/>
      <c r="AA269" s="350"/>
      <c r="AB269" s="350"/>
      <c r="AC269" s="350"/>
      <c r="AD269" s="350"/>
      <c r="AE269" s="350"/>
      <c r="AF269" s="350"/>
      <c r="AG269" s="350"/>
      <c r="AH269" s="350"/>
      <c r="AI269" s="350"/>
    </row>
    <row r="270" s="54" customFormat="1" ht="22.800000000000001" customHeight="1">
      <c r="A270" s="33">
        <v>1</v>
      </c>
      <c r="B270" s="50" t="s">
        <v>1074</v>
      </c>
      <c r="C270" s="79">
        <f t="shared" ref="C270:C284" si="215">D270+K270+L270+M270+N270+O270+P270+Q270+R270+S270+T270</f>
        <v>272620.95000000001</v>
      </c>
      <c r="D270" s="79">
        <f t="shared" ref="D270:D284" si="216">SUM(E270:I270)</f>
        <v>0</v>
      </c>
      <c r="E270" s="92">
        <v>0</v>
      </c>
      <c r="F270" s="92">
        <v>0</v>
      </c>
      <c r="G270" s="79">
        <v>0</v>
      </c>
      <c r="H270" s="92">
        <v>0</v>
      </c>
      <c r="I270" s="92">
        <v>0</v>
      </c>
      <c r="J270" s="398">
        <v>0</v>
      </c>
      <c r="K270" s="79">
        <v>0</v>
      </c>
      <c r="L270" s="79">
        <v>0</v>
      </c>
      <c r="M270" s="79">
        <v>0</v>
      </c>
      <c r="N270" s="79">
        <v>0</v>
      </c>
      <c r="O270" s="79">
        <v>0</v>
      </c>
      <c r="P270" s="92">
        <v>272620.95000000001</v>
      </c>
      <c r="Q270" s="79">
        <v>0</v>
      </c>
      <c r="R270" s="79">
        <v>0</v>
      </c>
      <c r="S270" s="79">
        <v>0</v>
      </c>
      <c r="T270" s="79">
        <v>0</v>
      </c>
      <c r="U270" s="54"/>
      <c r="V270" s="54"/>
      <c r="W270" s="54"/>
      <c r="X270" s="54"/>
      <c r="Y270" s="54"/>
      <c r="Z270" s="54"/>
      <c r="AA270" s="54"/>
      <c r="AB270" s="54"/>
      <c r="AC270" s="54"/>
      <c r="AD270" s="54"/>
      <c r="AE270" s="54"/>
      <c r="AF270" s="54"/>
      <c r="AG270" s="54"/>
      <c r="AH270" s="54"/>
      <c r="AI270" s="54"/>
    </row>
    <row r="271" s="54" customFormat="1" ht="22.800000000000001" customHeight="1">
      <c r="A271" s="33">
        <v>2</v>
      </c>
      <c r="B271" s="50" t="s">
        <v>1075</v>
      </c>
      <c r="C271" s="79">
        <f t="shared" si="215"/>
        <v>1369966.8</v>
      </c>
      <c r="D271" s="79">
        <f t="shared" si="216"/>
        <v>1369966.8</v>
      </c>
      <c r="E271" s="92">
        <v>1369966.8</v>
      </c>
      <c r="F271" s="92">
        <v>0</v>
      </c>
      <c r="G271" s="92">
        <v>0</v>
      </c>
      <c r="H271" s="92">
        <v>0</v>
      </c>
      <c r="I271" s="92">
        <v>0</v>
      </c>
      <c r="J271" s="398">
        <v>0</v>
      </c>
      <c r="K271" s="79">
        <v>0</v>
      </c>
      <c r="L271" s="79">
        <v>0</v>
      </c>
      <c r="M271" s="92">
        <v>0</v>
      </c>
      <c r="N271" s="92">
        <v>0</v>
      </c>
      <c r="O271" s="92">
        <v>0</v>
      </c>
      <c r="P271" s="79">
        <v>0</v>
      </c>
      <c r="Q271" s="79">
        <v>0</v>
      </c>
      <c r="R271" s="79">
        <v>0</v>
      </c>
      <c r="S271" s="79">
        <v>0</v>
      </c>
      <c r="T271" s="79">
        <v>0</v>
      </c>
      <c r="U271" s="54"/>
      <c r="V271" s="54"/>
      <c r="W271" s="54"/>
      <c r="X271" s="54"/>
      <c r="Y271" s="54"/>
      <c r="Z271" s="54"/>
      <c r="AA271" s="54"/>
      <c r="AB271" s="54"/>
      <c r="AC271" s="54"/>
      <c r="AD271" s="54"/>
      <c r="AE271" s="54"/>
      <c r="AF271" s="54"/>
      <c r="AG271" s="54"/>
      <c r="AH271" s="54"/>
      <c r="AI271" s="54"/>
    </row>
    <row r="272" s="54" customFormat="1" ht="22.800000000000001" customHeight="1">
      <c r="A272" s="33">
        <v>3</v>
      </c>
      <c r="B272" s="50" t="s">
        <v>1076</v>
      </c>
      <c r="C272" s="79">
        <f t="shared" si="215"/>
        <v>250106.69</v>
      </c>
      <c r="D272" s="79">
        <f t="shared" si="216"/>
        <v>0</v>
      </c>
      <c r="E272" s="79">
        <v>0</v>
      </c>
      <c r="F272" s="92">
        <v>0</v>
      </c>
      <c r="G272" s="79">
        <v>0</v>
      </c>
      <c r="H272" s="79">
        <v>0</v>
      </c>
      <c r="I272" s="79">
        <v>0</v>
      </c>
      <c r="J272" s="398">
        <v>0</v>
      </c>
      <c r="K272" s="79">
        <v>0</v>
      </c>
      <c r="L272" s="79">
        <v>0</v>
      </c>
      <c r="M272" s="79">
        <v>0</v>
      </c>
      <c r="N272" s="79">
        <v>0</v>
      </c>
      <c r="O272" s="92">
        <v>0</v>
      </c>
      <c r="P272" s="79">
        <v>250106.69</v>
      </c>
      <c r="Q272" s="79">
        <v>0</v>
      </c>
      <c r="R272" s="79">
        <v>0</v>
      </c>
      <c r="S272" s="79">
        <v>0</v>
      </c>
      <c r="T272" s="79">
        <v>0</v>
      </c>
      <c r="U272" s="54"/>
      <c r="V272" s="54"/>
      <c r="W272" s="54"/>
      <c r="X272" s="54"/>
      <c r="Y272" s="54"/>
      <c r="Z272" s="54"/>
      <c r="AA272" s="54"/>
      <c r="AB272" s="54"/>
      <c r="AC272" s="54"/>
      <c r="AD272" s="54"/>
      <c r="AE272" s="54"/>
    </row>
    <row r="273" s="54" customFormat="1" ht="22.800000000000001" customHeight="1">
      <c r="A273" s="33">
        <v>4</v>
      </c>
      <c r="B273" s="50" t="s">
        <v>1077</v>
      </c>
      <c r="C273" s="79">
        <f t="shared" si="215"/>
        <v>8575528.8399999999</v>
      </c>
      <c r="D273" s="79">
        <f t="shared" si="216"/>
        <v>0</v>
      </c>
      <c r="E273" s="92">
        <v>0</v>
      </c>
      <c r="F273" s="92">
        <v>0</v>
      </c>
      <c r="G273" s="79">
        <v>0</v>
      </c>
      <c r="H273" s="92">
        <v>0</v>
      </c>
      <c r="I273" s="92">
        <v>0</v>
      </c>
      <c r="J273" s="398">
        <v>0</v>
      </c>
      <c r="K273" s="79">
        <v>0</v>
      </c>
      <c r="L273" s="79">
        <v>8575528.8399999999</v>
      </c>
      <c r="M273" s="79">
        <v>0</v>
      </c>
      <c r="N273" s="79">
        <v>0</v>
      </c>
      <c r="O273" s="79">
        <v>0</v>
      </c>
      <c r="P273" s="92">
        <v>0</v>
      </c>
      <c r="Q273" s="79">
        <v>0</v>
      </c>
      <c r="R273" s="79">
        <v>0</v>
      </c>
      <c r="S273" s="79">
        <v>0</v>
      </c>
      <c r="T273" s="79">
        <v>0</v>
      </c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</row>
    <row r="274" s="54" customFormat="1" ht="22.800000000000001" customHeight="1">
      <c r="A274" s="33">
        <v>5</v>
      </c>
      <c r="B274" s="50" t="s">
        <v>1078</v>
      </c>
      <c r="C274" s="79">
        <f t="shared" si="215"/>
        <v>11339980.700000001</v>
      </c>
      <c r="D274" s="79">
        <f t="shared" si="216"/>
        <v>11090688.49</v>
      </c>
      <c r="E274" s="92">
        <v>1532822.3999999999</v>
      </c>
      <c r="F274" s="92">
        <v>8123706</v>
      </c>
      <c r="G274" s="92">
        <v>774554.89000000001</v>
      </c>
      <c r="H274" s="92">
        <v>432420</v>
      </c>
      <c r="I274" s="92">
        <v>227185.20000000001</v>
      </c>
      <c r="J274" s="398">
        <v>0</v>
      </c>
      <c r="K274" s="79">
        <v>0</v>
      </c>
      <c r="L274" s="79">
        <v>0</v>
      </c>
      <c r="M274" s="79">
        <v>0</v>
      </c>
      <c r="N274" s="79">
        <v>0</v>
      </c>
      <c r="O274" s="79">
        <v>0</v>
      </c>
      <c r="P274" s="79">
        <v>249292.20999999999</v>
      </c>
      <c r="Q274" s="79">
        <v>0</v>
      </c>
      <c r="R274" s="79">
        <v>0</v>
      </c>
      <c r="S274" s="79">
        <v>0</v>
      </c>
      <c r="T274" s="79">
        <v>0</v>
      </c>
      <c r="U274" s="54"/>
      <c r="V274" s="54"/>
      <c r="W274" s="54"/>
      <c r="X274" s="54"/>
      <c r="Y274" s="54"/>
      <c r="Z274" s="54"/>
      <c r="AA274" s="54"/>
      <c r="AB274" s="54"/>
      <c r="AC274" s="54"/>
      <c r="AD274" s="54"/>
      <c r="AE274" s="54"/>
      <c r="AF274" s="54"/>
      <c r="AG274" s="54"/>
      <c r="AH274" s="54"/>
      <c r="AI274" s="54"/>
      <c r="AJ274" s="54"/>
      <c r="AK274" s="54"/>
      <c r="AL274" s="54"/>
      <c r="AM274" s="54"/>
      <c r="AN274" s="54"/>
      <c r="AO274" s="54"/>
    </row>
    <row r="275" s="54" customFormat="1" ht="22.5" customHeight="1">
      <c r="A275" s="33">
        <v>6</v>
      </c>
      <c r="B275" s="50" t="s">
        <v>1079</v>
      </c>
      <c r="C275" s="79">
        <f t="shared" si="215"/>
        <v>5125751.1099999994</v>
      </c>
      <c r="D275" s="79">
        <f t="shared" si="216"/>
        <v>4823651.3799999999</v>
      </c>
      <c r="E275" s="92">
        <v>2693161.2000000002</v>
      </c>
      <c r="F275" s="92">
        <v>0</v>
      </c>
      <c r="G275" s="92">
        <v>1798670.98</v>
      </c>
      <c r="H275" s="92">
        <v>331819.20000000001</v>
      </c>
      <c r="I275" s="92">
        <v>0</v>
      </c>
      <c r="J275" s="398">
        <v>0</v>
      </c>
      <c r="K275" s="79">
        <v>0</v>
      </c>
      <c r="L275" s="79">
        <v>0</v>
      </c>
      <c r="M275" s="79">
        <v>0</v>
      </c>
      <c r="N275" s="79">
        <v>0</v>
      </c>
      <c r="O275" s="79">
        <v>0</v>
      </c>
      <c r="P275" s="92">
        <v>302099.72999999998</v>
      </c>
      <c r="Q275" s="79">
        <v>0</v>
      </c>
      <c r="R275" s="79">
        <v>0</v>
      </c>
      <c r="S275" s="79">
        <v>0</v>
      </c>
      <c r="T275" s="79">
        <v>0</v>
      </c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</row>
    <row r="276" s="54" customFormat="1" ht="22.5" customHeight="1">
      <c r="A276" s="33">
        <v>7</v>
      </c>
      <c r="B276" s="50" t="s">
        <v>1080</v>
      </c>
      <c r="C276" s="79">
        <f t="shared" si="215"/>
        <v>689136.10999999999</v>
      </c>
      <c r="D276" s="79">
        <f t="shared" si="216"/>
        <v>689136.10999999999</v>
      </c>
      <c r="E276" s="92">
        <v>689136.10999999999</v>
      </c>
      <c r="F276" s="92">
        <v>0</v>
      </c>
      <c r="G276" s="79">
        <v>0</v>
      </c>
      <c r="H276" s="79">
        <v>0</v>
      </c>
      <c r="I276" s="92">
        <v>0</v>
      </c>
      <c r="J276" s="398">
        <v>0</v>
      </c>
      <c r="K276" s="79">
        <v>0</v>
      </c>
      <c r="L276" s="79">
        <v>0</v>
      </c>
      <c r="M276" s="79">
        <v>0</v>
      </c>
      <c r="N276" s="79">
        <v>0</v>
      </c>
      <c r="O276" s="79">
        <v>0</v>
      </c>
      <c r="P276" s="92">
        <v>0</v>
      </c>
      <c r="Q276" s="79">
        <v>0</v>
      </c>
      <c r="R276" s="79">
        <v>0</v>
      </c>
      <c r="S276" s="79">
        <v>0</v>
      </c>
      <c r="T276" s="79">
        <v>0</v>
      </c>
      <c r="U276" s="54"/>
      <c r="V276" s="54"/>
      <c r="W276" s="54"/>
      <c r="X276" s="54"/>
      <c r="Y276" s="54"/>
      <c r="Z276" s="54"/>
      <c r="AA276" s="54"/>
      <c r="AB276" s="54"/>
      <c r="AC276" s="54"/>
      <c r="AD276" s="54"/>
      <c r="AE276" s="54"/>
    </row>
    <row r="277" s="54" customFormat="1" ht="22.5" customHeight="1">
      <c r="A277" s="33">
        <v>8</v>
      </c>
      <c r="B277" s="50" t="s">
        <v>1081</v>
      </c>
      <c r="C277" s="79">
        <f t="shared" si="215"/>
        <v>1901927.52</v>
      </c>
      <c r="D277" s="79">
        <f t="shared" si="216"/>
        <v>1758933.6299999999</v>
      </c>
      <c r="E277" s="79">
        <v>519305.59999999998</v>
      </c>
      <c r="F277" s="92">
        <v>1239628.03</v>
      </c>
      <c r="G277" s="79">
        <v>0</v>
      </c>
      <c r="H277" s="79">
        <v>0</v>
      </c>
      <c r="I277" s="79">
        <v>0</v>
      </c>
      <c r="J277" s="398">
        <v>0</v>
      </c>
      <c r="K277" s="79">
        <v>0</v>
      </c>
      <c r="L277" s="79">
        <v>0</v>
      </c>
      <c r="M277" s="79">
        <v>0</v>
      </c>
      <c r="N277" s="92">
        <v>0</v>
      </c>
      <c r="O277" s="92">
        <v>0</v>
      </c>
      <c r="P277" s="92">
        <v>142993.89000000001</v>
      </c>
      <c r="Q277" s="79">
        <v>0</v>
      </c>
      <c r="R277" s="79">
        <v>0</v>
      </c>
      <c r="S277" s="79">
        <v>0</v>
      </c>
      <c r="T277" s="79">
        <v>0</v>
      </c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</row>
    <row r="278" s="54" customFormat="1" ht="22.5" customHeight="1">
      <c r="A278" s="33">
        <v>9</v>
      </c>
      <c r="B278" s="50" t="s">
        <v>1082</v>
      </c>
      <c r="C278" s="79">
        <f t="shared" si="215"/>
        <v>273962.38</v>
      </c>
      <c r="D278" s="79">
        <f t="shared" si="216"/>
        <v>0</v>
      </c>
      <c r="E278" s="79">
        <v>0</v>
      </c>
      <c r="F278" s="92">
        <v>0</v>
      </c>
      <c r="G278" s="79">
        <v>0</v>
      </c>
      <c r="H278" s="79">
        <v>0</v>
      </c>
      <c r="I278" s="79">
        <v>0</v>
      </c>
      <c r="J278" s="398">
        <v>0</v>
      </c>
      <c r="K278" s="79">
        <v>0</v>
      </c>
      <c r="L278" s="79">
        <v>0</v>
      </c>
      <c r="M278" s="79">
        <v>0</v>
      </c>
      <c r="N278" s="92">
        <v>0</v>
      </c>
      <c r="O278" s="92">
        <v>0</v>
      </c>
      <c r="P278" s="92">
        <v>273962.38</v>
      </c>
      <c r="Q278" s="79">
        <v>0</v>
      </c>
      <c r="R278" s="79">
        <v>0</v>
      </c>
      <c r="S278" s="79">
        <v>0</v>
      </c>
      <c r="T278" s="79">
        <v>0</v>
      </c>
      <c r="U278" s="54"/>
      <c r="V278" s="54"/>
      <c r="W278" s="54"/>
      <c r="X278" s="54"/>
      <c r="Y278" s="54"/>
      <c r="Z278" s="54"/>
      <c r="AA278" s="54"/>
      <c r="AB278" s="54"/>
      <c r="AC278" s="54"/>
      <c r="AD278" s="54"/>
      <c r="AE278" s="54"/>
    </row>
    <row r="279" s="54" customFormat="1" ht="22.5" customHeight="1">
      <c r="A279" s="33">
        <v>10</v>
      </c>
      <c r="B279" s="50" t="s">
        <v>1083</v>
      </c>
      <c r="C279" s="79">
        <f t="shared" si="215"/>
        <v>212169.67000000001</v>
      </c>
      <c r="D279" s="79">
        <f t="shared" si="216"/>
        <v>0</v>
      </c>
      <c r="E279" s="92">
        <v>0</v>
      </c>
      <c r="F279" s="92">
        <v>0</v>
      </c>
      <c r="G279" s="92">
        <v>0</v>
      </c>
      <c r="H279" s="92">
        <v>0</v>
      </c>
      <c r="I279" s="92">
        <v>0</v>
      </c>
      <c r="J279" s="401">
        <v>0</v>
      </c>
      <c r="K279" s="92">
        <v>0</v>
      </c>
      <c r="L279" s="92">
        <v>0</v>
      </c>
      <c r="M279" s="92">
        <v>0</v>
      </c>
      <c r="N279" s="92">
        <v>0</v>
      </c>
      <c r="O279" s="92">
        <v>0</v>
      </c>
      <c r="P279" s="92">
        <v>212169.67000000001</v>
      </c>
      <c r="Q279" s="92">
        <v>0</v>
      </c>
      <c r="R279" s="92">
        <v>0</v>
      </c>
      <c r="S279" s="92">
        <v>0</v>
      </c>
      <c r="T279" s="92">
        <v>0</v>
      </c>
      <c r="U279" s="54"/>
      <c r="V279" s="54"/>
      <c r="W279" s="54"/>
      <c r="X279" s="54"/>
      <c r="Y279" s="54"/>
      <c r="Z279" s="54"/>
      <c r="AA279" s="54"/>
      <c r="AB279" s="54"/>
      <c r="AC279" s="54"/>
      <c r="AD279" s="54"/>
      <c r="AE279" s="54"/>
      <c r="AF279" s="54"/>
      <c r="AG279" s="54"/>
      <c r="AH279" s="54"/>
      <c r="AI279" s="54"/>
    </row>
    <row r="280" s="31" customFormat="1" ht="20.399999999999999" customHeight="1">
      <c r="A280" s="33">
        <v>11</v>
      </c>
      <c r="B280" s="50" t="s">
        <v>1084</v>
      </c>
      <c r="C280" s="79">
        <f t="shared" si="215"/>
        <v>291341.84000000003</v>
      </c>
      <c r="D280" s="79">
        <f t="shared" si="216"/>
        <v>0</v>
      </c>
      <c r="E280" s="79">
        <v>0</v>
      </c>
      <c r="F280" s="92">
        <v>0</v>
      </c>
      <c r="G280" s="79">
        <v>0</v>
      </c>
      <c r="H280" s="79">
        <v>0</v>
      </c>
      <c r="I280" s="79">
        <v>0</v>
      </c>
      <c r="J280" s="398">
        <v>0</v>
      </c>
      <c r="K280" s="79">
        <v>0</v>
      </c>
      <c r="L280" s="79">
        <v>0</v>
      </c>
      <c r="M280" s="79">
        <v>0</v>
      </c>
      <c r="N280" s="92">
        <v>0</v>
      </c>
      <c r="O280" s="92">
        <v>0</v>
      </c>
      <c r="P280" s="92">
        <v>291341.84000000003</v>
      </c>
      <c r="Q280" s="79">
        <v>0</v>
      </c>
      <c r="R280" s="79">
        <v>0</v>
      </c>
      <c r="S280" s="79">
        <v>0</v>
      </c>
      <c r="T280" s="79">
        <v>0</v>
      </c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</row>
    <row r="281" s="31" customFormat="1" ht="20.399999999999999" customHeight="1">
      <c r="A281" s="33">
        <v>12</v>
      </c>
      <c r="B281" s="50" t="s">
        <v>1085</v>
      </c>
      <c r="C281" s="400">
        <f t="shared" si="215"/>
        <v>200000</v>
      </c>
      <c r="D281" s="158">
        <f t="shared" si="216"/>
        <v>0</v>
      </c>
      <c r="E281" s="400">
        <v>0</v>
      </c>
      <c r="F281" s="92">
        <v>0</v>
      </c>
      <c r="G281" s="400">
        <v>0</v>
      </c>
      <c r="H281" s="158">
        <v>0</v>
      </c>
      <c r="I281" s="400">
        <v>0</v>
      </c>
      <c r="J281" s="345">
        <v>0</v>
      </c>
      <c r="K281" s="400">
        <v>0</v>
      </c>
      <c r="L281" s="92">
        <v>0</v>
      </c>
      <c r="M281" s="400">
        <v>0</v>
      </c>
      <c r="N281" s="92">
        <v>0</v>
      </c>
      <c r="O281" s="92">
        <v>0</v>
      </c>
      <c r="P281" s="92">
        <v>200000</v>
      </c>
      <c r="Q281" s="400">
        <v>0</v>
      </c>
      <c r="R281" s="158">
        <v>0</v>
      </c>
      <c r="S281" s="400">
        <v>0</v>
      </c>
      <c r="T281" s="79">
        <v>0</v>
      </c>
      <c r="U281" s="399"/>
      <c r="V281" s="399"/>
      <c r="W281" s="399"/>
      <c r="X281" s="399"/>
      <c r="Y281" s="399"/>
      <c r="Z281" s="399"/>
      <c r="AA281" s="399"/>
      <c r="AB281" s="399"/>
      <c r="AC281" s="399"/>
      <c r="AD281" s="399"/>
      <c r="AE281" s="399"/>
      <c r="AF281" s="399"/>
      <c r="AG281" s="399"/>
      <c r="AH281" s="399"/>
      <c r="AI281" s="399"/>
    </row>
    <row r="282" s="60" customFormat="1" ht="22.199999999999999" customHeight="1">
      <c r="A282" s="33">
        <v>13</v>
      </c>
      <c r="B282" s="50" t="s">
        <v>1086</v>
      </c>
      <c r="C282" s="79">
        <f t="shared" si="215"/>
        <v>9505701.3100000005</v>
      </c>
      <c r="D282" s="79">
        <f t="shared" si="216"/>
        <v>0</v>
      </c>
      <c r="E282" s="92">
        <v>0</v>
      </c>
      <c r="F282" s="92">
        <v>0</v>
      </c>
      <c r="G282" s="79">
        <v>0</v>
      </c>
      <c r="H282" s="92">
        <v>0</v>
      </c>
      <c r="I282" s="92">
        <v>0</v>
      </c>
      <c r="J282" s="398">
        <v>0</v>
      </c>
      <c r="K282" s="79">
        <v>0</v>
      </c>
      <c r="L282" s="92">
        <v>9193413.3800000008</v>
      </c>
      <c r="M282" s="79">
        <v>0</v>
      </c>
      <c r="N282" s="79">
        <v>0</v>
      </c>
      <c r="O282" s="79">
        <v>0</v>
      </c>
      <c r="P282" s="92">
        <v>312287.92999999999</v>
      </c>
      <c r="Q282" s="79">
        <v>0</v>
      </c>
      <c r="R282" s="79">
        <v>0</v>
      </c>
      <c r="S282" s="79">
        <v>0</v>
      </c>
      <c r="T282" s="79">
        <v>0</v>
      </c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</row>
    <row r="283" s="60" customFormat="1" ht="22.199999999999999" customHeight="1">
      <c r="A283" s="33">
        <v>14</v>
      </c>
      <c r="B283" s="50" t="s">
        <v>1087</v>
      </c>
      <c r="C283" s="79">
        <f t="shared" si="215"/>
        <v>1930616.8200000001</v>
      </c>
      <c r="D283" s="79">
        <f t="shared" si="216"/>
        <v>1527980.3</v>
      </c>
      <c r="E283" s="92">
        <v>0</v>
      </c>
      <c r="F283" s="92">
        <v>1527980.3</v>
      </c>
      <c r="G283" s="79">
        <v>0</v>
      </c>
      <c r="H283" s="79">
        <v>0</v>
      </c>
      <c r="I283" s="92">
        <v>0</v>
      </c>
      <c r="J283" s="398">
        <v>0</v>
      </c>
      <c r="K283" s="79">
        <v>0</v>
      </c>
      <c r="L283" s="79">
        <v>0</v>
      </c>
      <c r="M283" s="79">
        <v>0</v>
      </c>
      <c r="N283" s="79">
        <v>0</v>
      </c>
      <c r="O283" s="79">
        <v>0</v>
      </c>
      <c r="P283" s="92">
        <v>402636.52000000002</v>
      </c>
      <c r="Q283" s="79">
        <v>0</v>
      </c>
      <c r="R283" s="79">
        <v>0</v>
      </c>
      <c r="S283" s="79">
        <v>0</v>
      </c>
      <c r="T283" s="79">
        <v>0</v>
      </c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</row>
    <row r="284" s="60" customFormat="1" ht="22.199999999999999" customHeight="1">
      <c r="A284" s="33">
        <v>15</v>
      </c>
      <c r="B284" s="50" t="s">
        <v>380</v>
      </c>
      <c r="C284" s="79">
        <f t="shared" si="215"/>
        <v>1998277.3999999999</v>
      </c>
      <c r="D284" s="79">
        <f t="shared" si="216"/>
        <v>0</v>
      </c>
      <c r="E284" s="92">
        <v>0</v>
      </c>
      <c r="F284" s="92">
        <v>0</v>
      </c>
      <c r="G284" s="79">
        <v>0</v>
      </c>
      <c r="H284" s="79">
        <v>0</v>
      </c>
      <c r="I284" s="92">
        <v>0</v>
      </c>
      <c r="J284" s="398">
        <v>0</v>
      </c>
      <c r="K284" s="79">
        <v>0</v>
      </c>
      <c r="L284" s="79">
        <v>1998277.3999999999</v>
      </c>
      <c r="M284" s="79">
        <v>0</v>
      </c>
      <c r="N284" s="79">
        <v>0</v>
      </c>
      <c r="O284" s="79">
        <v>0</v>
      </c>
      <c r="P284" s="92">
        <v>0</v>
      </c>
      <c r="Q284" s="79">
        <v>0</v>
      </c>
      <c r="R284" s="79">
        <v>0</v>
      </c>
      <c r="S284" s="79">
        <v>0</v>
      </c>
      <c r="T284" s="79">
        <v>0</v>
      </c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  <c r="AE284" s="60"/>
    </row>
    <row r="285" s="31" customFormat="1" ht="22.199999999999999" customHeight="1">
      <c r="A285" s="61" t="s">
        <v>381</v>
      </c>
      <c r="B285" s="61"/>
      <c r="C285" s="154">
        <f>SUM(C286:C301)</f>
        <v>15563709.579999996</v>
      </c>
      <c r="D285" s="154">
        <f>SUM(D286:D301)</f>
        <v>11896993.999999998</v>
      </c>
      <c r="E285" s="154">
        <f>SUM(E286:E301)</f>
        <v>2538901.1999999997</v>
      </c>
      <c r="F285" s="154">
        <f>SUM(F286:F301)</f>
        <v>9358092.8000000007</v>
      </c>
      <c r="G285" s="154">
        <f>SUM(G286:G301)</f>
        <v>0</v>
      </c>
      <c r="H285" s="154">
        <f>SUM(H286:H301)</f>
        <v>0</v>
      </c>
      <c r="I285" s="154">
        <f>SUM(I286:I301)</f>
        <v>0</v>
      </c>
      <c r="J285" s="155">
        <f>SUM(J286:J301)</f>
        <v>0</v>
      </c>
      <c r="K285" s="154">
        <f>SUM(K286:K301)</f>
        <v>0</v>
      </c>
      <c r="L285" s="154">
        <f>SUM(L286:L301)</f>
        <v>2367814.96</v>
      </c>
      <c r="M285" s="154">
        <f>SUM(M286:M301)</f>
        <v>0</v>
      </c>
      <c r="N285" s="154">
        <f>SUM(N286:N301)</f>
        <v>1298900.6200000001</v>
      </c>
      <c r="O285" s="154">
        <f>SUM(O286:O301)</f>
        <v>0</v>
      </c>
      <c r="P285" s="154">
        <f>SUM(P286:P301)</f>
        <v>0</v>
      </c>
      <c r="Q285" s="154">
        <f>SUM(Q286:Q301)</f>
        <v>0</v>
      </c>
      <c r="R285" s="154">
        <f>SUM(R286:R301)</f>
        <v>0</v>
      </c>
      <c r="S285" s="154">
        <f>SUM(S286:S301)</f>
        <v>0</v>
      </c>
      <c r="T285" s="154">
        <f>SUM(T286:T301)</f>
        <v>0</v>
      </c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</row>
    <row r="286" s="31" customFormat="1" ht="22.199999999999999" customHeight="1">
      <c r="A286" s="33">
        <v>1</v>
      </c>
      <c r="B286" s="50" t="s">
        <v>382</v>
      </c>
      <c r="C286" s="79">
        <f t="shared" ref="C286:C301" si="217">D286+K286+L286+M286+N286+O286+P286+Q286+R286+S286+T286</f>
        <v>500881.53000000003</v>
      </c>
      <c r="D286" s="79">
        <f t="shared" ref="D286:D301" si="218">SUM(E286:I286)</f>
        <v>500881.53000000003</v>
      </c>
      <c r="E286" s="79">
        <v>0</v>
      </c>
      <c r="F286" s="56">
        <v>500881.53000000003</v>
      </c>
      <c r="G286" s="56">
        <v>0</v>
      </c>
      <c r="H286" s="56">
        <v>0</v>
      </c>
      <c r="I286" s="56">
        <v>0</v>
      </c>
      <c r="J286" s="57">
        <v>0</v>
      </c>
      <c r="K286" s="56">
        <v>0</v>
      </c>
      <c r="L286" s="56">
        <v>0</v>
      </c>
      <c r="M286" s="56">
        <v>0</v>
      </c>
      <c r="N286" s="56">
        <v>0</v>
      </c>
      <c r="O286" s="56">
        <v>0</v>
      </c>
      <c r="P286" s="56">
        <v>0</v>
      </c>
      <c r="Q286" s="56">
        <v>0</v>
      </c>
      <c r="R286" s="56">
        <v>0</v>
      </c>
      <c r="S286" s="56">
        <v>0</v>
      </c>
      <c r="T286" s="56">
        <v>0</v>
      </c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</row>
    <row r="287" s="31" customFormat="1" ht="22.199999999999999" customHeight="1">
      <c r="A287" s="33">
        <v>2</v>
      </c>
      <c r="B287" s="50" t="s">
        <v>384</v>
      </c>
      <c r="C287" s="79">
        <f t="shared" si="217"/>
        <v>1606329.8700000001</v>
      </c>
      <c r="D287" s="79">
        <f t="shared" si="218"/>
        <v>1606329.8700000001</v>
      </c>
      <c r="E287" s="79">
        <v>0</v>
      </c>
      <c r="F287" s="56">
        <v>1606329.8700000001</v>
      </c>
      <c r="G287" s="56">
        <v>0</v>
      </c>
      <c r="H287" s="56">
        <v>0</v>
      </c>
      <c r="I287" s="56">
        <v>0</v>
      </c>
      <c r="J287" s="57">
        <v>0</v>
      </c>
      <c r="K287" s="56">
        <v>0</v>
      </c>
      <c r="L287" s="56">
        <v>0</v>
      </c>
      <c r="M287" s="56">
        <v>0</v>
      </c>
      <c r="N287" s="56">
        <v>0</v>
      </c>
      <c r="O287" s="56">
        <v>0</v>
      </c>
      <c r="P287" s="56">
        <v>0</v>
      </c>
      <c r="Q287" s="56">
        <v>0</v>
      </c>
      <c r="R287" s="56">
        <v>0</v>
      </c>
      <c r="S287" s="56">
        <v>0</v>
      </c>
      <c r="T287" s="56">
        <v>0</v>
      </c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</row>
    <row r="288" s="31" customFormat="1" ht="22.199999999999999" customHeight="1">
      <c r="A288" s="33">
        <v>3</v>
      </c>
      <c r="B288" s="50" t="s">
        <v>385</v>
      </c>
      <c r="C288" s="79">
        <f t="shared" si="217"/>
        <v>1625844.75</v>
      </c>
      <c r="D288" s="79">
        <f t="shared" si="218"/>
        <v>1625844.75</v>
      </c>
      <c r="E288" s="79">
        <v>0</v>
      </c>
      <c r="F288" s="56">
        <v>1625844.75</v>
      </c>
      <c r="G288" s="56">
        <v>0</v>
      </c>
      <c r="H288" s="56">
        <v>0</v>
      </c>
      <c r="I288" s="56">
        <v>0</v>
      </c>
      <c r="J288" s="57">
        <v>0</v>
      </c>
      <c r="K288" s="56">
        <v>0</v>
      </c>
      <c r="L288" s="56">
        <v>0</v>
      </c>
      <c r="M288" s="56">
        <v>0</v>
      </c>
      <c r="N288" s="56">
        <v>0</v>
      </c>
      <c r="O288" s="56">
        <v>0</v>
      </c>
      <c r="P288" s="56">
        <v>0</v>
      </c>
      <c r="Q288" s="56">
        <v>0</v>
      </c>
      <c r="R288" s="56">
        <v>0</v>
      </c>
      <c r="S288" s="56">
        <v>0</v>
      </c>
      <c r="T288" s="56">
        <v>0</v>
      </c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</row>
    <row r="289" s="31" customFormat="1" ht="22.199999999999999" customHeight="1">
      <c r="A289" s="33">
        <v>4</v>
      </c>
      <c r="B289" s="50" t="s">
        <v>386</v>
      </c>
      <c r="C289" s="79">
        <f t="shared" si="217"/>
        <v>950823.64000000001</v>
      </c>
      <c r="D289" s="79">
        <f t="shared" si="218"/>
        <v>950823.64000000001</v>
      </c>
      <c r="E289" s="79">
        <v>0</v>
      </c>
      <c r="F289" s="56">
        <v>950823.64000000001</v>
      </c>
      <c r="G289" s="56">
        <v>0</v>
      </c>
      <c r="H289" s="56">
        <v>0</v>
      </c>
      <c r="I289" s="56">
        <v>0</v>
      </c>
      <c r="J289" s="57">
        <v>0</v>
      </c>
      <c r="K289" s="56">
        <v>0</v>
      </c>
      <c r="L289" s="56">
        <v>0</v>
      </c>
      <c r="M289" s="56">
        <v>0</v>
      </c>
      <c r="N289" s="56">
        <v>0</v>
      </c>
      <c r="O289" s="56">
        <v>0</v>
      </c>
      <c r="P289" s="56">
        <v>0</v>
      </c>
      <c r="Q289" s="56">
        <v>0</v>
      </c>
      <c r="R289" s="56">
        <v>0</v>
      </c>
      <c r="S289" s="56">
        <v>0</v>
      </c>
      <c r="T289" s="56">
        <v>0</v>
      </c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</row>
    <row r="290" s="31" customFormat="1" ht="22.199999999999999" customHeight="1">
      <c r="A290" s="33">
        <v>5</v>
      </c>
      <c r="B290" s="50" t="s">
        <v>387</v>
      </c>
      <c r="C290" s="79">
        <f t="shared" si="217"/>
        <v>583927.48999999999</v>
      </c>
      <c r="D290" s="79">
        <f t="shared" si="218"/>
        <v>583927.48999999999</v>
      </c>
      <c r="E290" s="79">
        <v>0</v>
      </c>
      <c r="F290" s="56">
        <v>583927.48999999999</v>
      </c>
      <c r="G290" s="56">
        <v>0</v>
      </c>
      <c r="H290" s="56">
        <v>0</v>
      </c>
      <c r="I290" s="56">
        <v>0</v>
      </c>
      <c r="J290" s="57">
        <v>0</v>
      </c>
      <c r="K290" s="56">
        <v>0</v>
      </c>
      <c r="L290" s="56">
        <v>0</v>
      </c>
      <c r="M290" s="56">
        <v>0</v>
      </c>
      <c r="N290" s="56">
        <v>0</v>
      </c>
      <c r="O290" s="56">
        <v>0</v>
      </c>
      <c r="P290" s="56">
        <v>0</v>
      </c>
      <c r="Q290" s="56">
        <v>0</v>
      </c>
      <c r="R290" s="56">
        <v>0</v>
      </c>
      <c r="S290" s="56">
        <v>0</v>
      </c>
      <c r="T290" s="56">
        <v>0</v>
      </c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</row>
    <row r="291" s="31" customFormat="1" ht="22.199999999999999" customHeight="1">
      <c r="A291" s="33">
        <v>6</v>
      </c>
      <c r="B291" s="50" t="s">
        <v>388</v>
      </c>
      <c r="C291" s="79">
        <f t="shared" si="217"/>
        <v>1520137.1699999999</v>
      </c>
      <c r="D291" s="79">
        <f t="shared" si="218"/>
        <v>1520137.1699999999</v>
      </c>
      <c r="E291" s="79">
        <v>0</v>
      </c>
      <c r="F291" s="56">
        <v>1520137.1699999999</v>
      </c>
      <c r="G291" s="56">
        <v>0</v>
      </c>
      <c r="H291" s="56">
        <v>0</v>
      </c>
      <c r="I291" s="56">
        <v>0</v>
      </c>
      <c r="J291" s="57">
        <v>0</v>
      </c>
      <c r="K291" s="56">
        <v>0</v>
      </c>
      <c r="L291" s="56">
        <v>0</v>
      </c>
      <c r="M291" s="56">
        <v>0</v>
      </c>
      <c r="N291" s="56">
        <v>0</v>
      </c>
      <c r="O291" s="56">
        <v>0</v>
      </c>
      <c r="P291" s="56">
        <v>0</v>
      </c>
      <c r="Q291" s="56">
        <v>0</v>
      </c>
      <c r="R291" s="56">
        <v>0</v>
      </c>
      <c r="S291" s="56">
        <v>0</v>
      </c>
      <c r="T291" s="56">
        <v>0</v>
      </c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</row>
    <row r="292" s="31" customFormat="1" ht="22.199999999999999" customHeight="1">
      <c r="A292" s="33">
        <v>7</v>
      </c>
      <c r="B292" s="50" t="s">
        <v>389</v>
      </c>
      <c r="C292" s="79">
        <f t="shared" si="217"/>
        <v>649450.31000000006</v>
      </c>
      <c r="D292" s="79">
        <f t="shared" si="218"/>
        <v>0</v>
      </c>
      <c r="E292" s="79">
        <v>0</v>
      </c>
      <c r="F292" s="56">
        <v>0</v>
      </c>
      <c r="G292" s="56">
        <v>0</v>
      </c>
      <c r="H292" s="56">
        <v>0</v>
      </c>
      <c r="I292" s="56">
        <v>0</v>
      </c>
      <c r="J292" s="57">
        <v>0</v>
      </c>
      <c r="K292" s="56">
        <v>0</v>
      </c>
      <c r="L292" s="56">
        <v>0</v>
      </c>
      <c r="M292" s="56">
        <v>0</v>
      </c>
      <c r="N292" s="56">
        <v>649450.31000000006</v>
      </c>
      <c r="O292" s="56">
        <v>0</v>
      </c>
      <c r="P292" s="56">
        <v>0</v>
      </c>
      <c r="Q292" s="56">
        <v>0</v>
      </c>
      <c r="R292" s="56">
        <v>0</v>
      </c>
      <c r="S292" s="56">
        <v>0</v>
      </c>
      <c r="T292" s="56">
        <v>0</v>
      </c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</row>
    <row r="293" s="31" customFormat="1" ht="22.199999999999999" customHeight="1">
      <c r="A293" s="33">
        <v>8</v>
      </c>
      <c r="B293" s="50" t="s">
        <v>390</v>
      </c>
      <c r="C293" s="79">
        <f t="shared" si="217"/>
        <v>649450.31000000006</v>
      </c>
      <c r="D293" s="79">
        <f t="shared" si="218"/>
        <v>0</v>
      </c>
      <c r="E293" s="79">
        <v>0</v>
      </c>
      <c r="F293" s="56">
        <v>0</v>
      </c>
      <c r="G293" s="56">
        <v>0</v>
      </c>
      <c r="H293" s="56">
        <v>0</v>
      </c>
      <c r="I293" s="56">
        <v>0</v>
      </c>
      <c r="J293" s="57">
        <v>0</v>
      </c>
      <c r="K293" s="56">
        <v>0</v>
      </c>
      <c r="L293" s="56">
        <v>0</v>
      </c>
      <c r="M293" s="56">
        <v>0</v>
      </c>
      <c r="N293" s="56">
        <v>649450.31000000006</v>
      </c>
      <c r="O293" s="56">
        <v>0</v>
      </c>
      <c r="P293" s="56">
        <v>0</v>
      </c>
      <c r="Q293" s="56">
        <v>0</v>
      </c>
      <c r="R293" s="56">
        <v>0</v>
      </c>
      <c r="S293" s="56">
        <v>0</v>
      </c>
      <c r="T293" s="56">
        <v>0</v>
      </c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</row>
    <row r="294" s="31" customFormat="1" ht="22.199999999999999" customHeight="1">
      <c r="A294" s="33">
        <v>9</v>
      </c>
      <c r="B294" s="50" t="s">
        <v>1088</v>
      </c>
      <c r="C294" s="79">
        <f t="shared" si="217"/>
        <v>596733.34999999998</v>
      </c>
      <c r="D294" s="79">
        <f t="shared" si="218"/>
        <v>596733.34999999998</v>
      </c>
      <c r="E294" s="79">
        <v>0</v>
      </c>
      <c r="F294" s="56">
        <v>596733.34999999998</v>
      </c>
      <c r="G294" s="56">
        <v>0</v>
      </c>
      <c r="H294" s="56">
        <v>0</v>
      </c>
      <c r="I294" s="56">
        <v>0</v>
      </c>
      <c r="J294" s="57">
        <v>0</v>
      </c>
      <c r="K294" s="56">
        <v>0</v>
      </c>
      <c r="L294" s="56">
        <v>0</v>
      </c>
      <c r="M294" s="56">
        <v>0</v>
      </c>
      <c r="N294" s="56">
        <v>0</v>
      </c>
      <c r="O294" s="56">
        <v>0</v>
      </c>
      <c r="P294" s="56">
        <v>0</v>
      </c>
      <c r="Q294" s="56">
        <v>0</v>
      </c>
      <c r="R294" s="56">
        <v>0</v>
      </c>
      <c r="S294" s="56">
        <v>0</v>
      </c>
      <c r="T294" s="56">
        <v>0</v>
      </c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</row>
    <row r="295" s="31" customFormat="1" ht="22.199999999999999" customHeight="1">
      <c r="A295" s="33">
        <v>10</v>
      </c>
      <c r="B295" s="50" t="s">
        <v>392</v>
      </c>
      <c r="C295" s="79">
        <f t="shared" si="217"/>
        <v>2367814.96</v>
      </c>
      <c r="D295" s="79">
        <f t="shared" si="218"/>
        <v>0</v>
      </c>
      <c r="E295" s="79">
        <v>0</v>
      </c>
      <c r="F295" s="56">
        <v>0</v>
      </c>
      <c r="G295" s="56">
        <v>0</v>
      </c>
      <c r="H295" s="56">
        <v>0</v>
      </c>
      <c r="I295" s="56">
        <v>0</v>
      </c>
      <c r="J295" s="57">
        <v>0</v>
      </c>
      <c r="K295" s="56">
        <v>0</v>
      </c>
      <c r="L295" s="56">
        <v>2367814.96</v>
      </c>
      <c r="M295" s="56">
        <v>0</v>
      </c>
      <c r="N295" s="56">
        <v>0</v>
      </c>
      <c r="O295" s="56">
        <v>0</v>
      </c>
      <c r="P295" s="56">
        <v>0</v>
      </c>
      <c r="Q295" s="56">
        <v>0</v>
      </c>
      <c r="R295" s="56">
        <v>0</v>
      </c>
      <c r="S295" s="56">
        <v>0</v>
      </c>
      <c r="T295" s="56">
        <v>0</v>
      </c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</row>
    <row r="296" s="31" customFormat="1" ht="22.199999999999999" customHeight="1">
      <c r="A296" s="33">
        <v>11</v>
      </c>
      <c r="B296" s="50" t="s">
        <v>393</v>
      </c>
      <c r="C296" s="79">
        <f t="shared" si="217"/>
        <v>1973415</v>
      </c>
      <c r="D296" s="79">
        <f t="shared" si="218"/>
        <v>1973415</v>
      </c>
      <c r="E296" s="79">
        <v>0</v>
      </c>
      <c r="F296" s="56">
        <v>1973415</v>
      </c>
      <c r="G296" s="56">
        <v>0</v>
      </c>
      <c r="H296" s="56">
        <v>0</v>
      </c>
      <c r="I296" s="56">
        <v>0</v>
      </c>
      <c r="J296" s="57">
        <v>0</v>
      </c>
      <c r="K296" s="56">
        <v>0</v>
      </c>
      <c r="L296" s="56">
        <v>0</v>
      </c>
      <c r="M296" s="56">
        <v>0</v>
      </c>
      <c r="N296" s="56">
        <v>0</v>
      </c>
      <c r="O296" s="56">
        <v>0</v>
      </c>
      <c r="P296" s="56">
        <v>0</v>
      </c>
      <c r="Q296" s="56">
        <v>0</v>
      </c>
      <c r="R296" s="56">
        <v>0</v>
      </c>
      <c r="S296" s="56">
        <v>0</v>
      </c>
      <c r="T296" s="56">
        <v>0</v>
      </c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</row>
    <row r="297" s="31" customFormat="1" ht="22.199999999999999" customHeight="1">
      <c r="A297" s="33">
        <v>12</v>
      </c>
      <c r="B297" s="34" t="s">
        <v>394</v>
      </c>
      <c r="C297" s="79">
        <f t="shared" si="217"/>
        <v>563467.19999999995</v>
      </c>
      <c r="D297" s="79">
        <f t="shared" si="218"/>
        <v>563467.19999999995</v>
      </c>
      <c r="E297" s="79">
        <v>563467.19999999995</v>
      </c>
      <c r="F297" s="56">
        <v>0</v>
      </c>
      <c r="G297" s="56">
        <v>0</v>
      </c>
      <c r="H297" s="56">
        <v>0</v>
      </c>
      <c r="I297" s="56">
        <v>0</v>
      </c>
      <c r="J297" s="57">
        <v>0</v>
      </c>
      <c r="K297" s="56">
        <v>0</v>
      </c>
      <c r="L297" s="56">
        <v>0</v>
      </c>
      <c r="M297" s="56">
        <v>0</v>
      </c>
      <c r="N297" s="56">
        <v>0</v>
      </c>
      <c r="O297" s="56">
        <v>0</v>
      </c>
      <c r="P297" s="56">
        <v>0</v>
      </c>
      <c r="Q297" s="56">
        <v>0</v>
      </c>
      <c r="R297" s="56">
        <v>0</v>
      </c>
      <c r="S297" s="56">
        <v>0</v>
      </c>
      <c r="T297" s="56">
        <v>0</v>
      </c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</row>
    <row r="298" s="31" customFormat="1" ht="22.199999999999999" customHeight="1">
      <c r="A298" s="33">
        <v>13</v>
      </c>
      <c r="B298" s="34" t="s">
        <v>395</v>
      </c>
      <c r="C298" s="79">
        <f t="shared" si="217"/>
        <v>571321.19999999995</v>
      </c>
      <c r="D298" s="79">
        <f t="shared" si="218"/>
        <v>571321.19999999995</v>
      </c>
      <c r="E298" s="79">
        <v>571321.19999999995</v>
      </c>
      <c r="F298" s="56">
        <v>0</v>
      </c>
      <c r="G298" s="56">
        <v>0</v>
      </c>
      <c r="H298" s="56">
        <v>0</v>
      </c>
      <c r="I298" s="56">
        <v>0</v>
      </c>
      <c r="J298" s="57">
        <v>0</v>
      </c>
      <c r="K298" s="56">
        <v>0</v>
      </c>
      <c r="L298" s="56">
        <v>0</v>
      </c>
      <c r="M298" s="56">
        <v>0</v>
      </c>
      <c r="N298" s="56">
        <v>0</v>
      </c>
      <c r="O298" s="56">
        <v>0</v>
      </c>
      <c r="P298" s="56">
        <v>0</v>
      </c>
      <c r="Q298" s="56">
        <v>0</v>
      </c>
      <c r="R298" s="56">
        <v>0</v>
      </c>
      <c r="S298" s="56">
        <v>0</v>
      </c>
      <c r="T298" s="56">
        <v>0</v>
      </c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</row>
    <row r="299" s="31" customFormat="1" ht="22.199999999999999" customHeight="1">
      <c r="A299" s="33">
        <v>14</v>
      </c>
      <c r="B299" s="34" t="s">
        <v>396</v>
      </c>
      <c r="C299" s="79">
        <f t="shared" si="217"/>
        <v>463123.20000000001</v>
      </c>
      <c r="D299" s="79">
        <f t="shared" si="218"/>
        <v>463123.20000000001</v>
      </c>
      <c r="E299" s="79">
        <v>463123.20000000001</v>
      </c>
      <c r="F299" s="79">
        <v>0</v>
      </c>
      <c r="G299" s="79">
        <v>0</v>
      </c>
      <c r="H299" s="79">
        <v>0</v>
      </c>
      <c r="I299" s="79">
        <v>0</v>
      </c>
      <c r="J299" s="398">
        <v>0</v>
      </c>
      <c r="K299" s="79">
        <v>0</v>
      </c>
      <c r="L299" s="79">
        <v>0</v>
      </c>
      <c r="M299" s="79">
        <v>0</v>
      </c>
      <c r="N299" s="79">
        <v>0</v>
      </c>
      <c r="O299" s="79">
        <v>0</v>
      </c>
      <c r="P299" s="79">
        <v>0</v>
      </c>
      <c r="Q299" s="79">
        <v>0</v>
      </c>
      <c r="R299" s="79">
        <v>0</v>
      </c>
      <c r="S299" s="79">
        <v>0</v>
      </c>
      <c r="T299" s="79">
        <v>0</v>
      </c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</row>
    <row r="300" s="31" customFormat="1" ht="22.199999999999999" customHeight="1">
      <c r="A300" s="33">
        <v>15</v>
      </c>
      <c r="B300" s="34" t="s">
        <v>397</v>
      </c>
      <c r="C300" s="79">
        <f t="shared" si="217"/>
        <v>472386</v>
      </c>
      <c r="D300" s="79">
        <f t="shared" si="218"/>
        <v>472386</v>
      </c>
      <c r="E300" s="79">
        <v>472386</v>
      </c>
      <c r="F300" s="79">
        <v>0</v>
      </c>
      <c r="G300" s="79">
        <v>0</v>
      </c>
      <c r="H300" s="79">
        <v>0</v>
      </c>
      <c r="I300" s="79">
        <v>0</v>
      </c>
      <c r="J300" s="398">
        <v>0</v>
      </c>
      <c r="K300" s="79">
        <v>0</v>
      </c>
      <c r="L300" s="79">
        <v>0</v>
      </c>
      <c r="M300" s="79">
        <v>0</v>
      </c>
      <c r="N300" s="79">
        <v>0</v>
      </c>
      <c r="O300" s="79">
        <v>0</v>
      </c>
      <c r="P300" s="79">
        <v>0</v>
      </c>
      <c r="Q300" s="79">
        <v>0</v>
      </c>
      <c r="R300" s="79">
        <v>0</v>
      </c>
      <c r="S300" s="79">
        <v>0</v>
      </c>
      <c r="T300" s="79">
        <v>0</v>
      </c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</row>
    <row r="301" s="31" customFormat="1" ht="22.199999999999999" customHeight="1">
      <c r="A301" s="33">
        <v>16</v>
      </c>
      <c r="B301" s="34" t="s">
        <v>398</v>
      </c>
      <c r="C301" s="79">
        <f t="shared" si="217"/>
        <v>468603.59999999998</v>
      </c>
      <c r="D301" s="79">
        <f t="shared" si="218"/>
        <v>468603.59999999998</v>
      </c>
      <c r="E301" s="79">
        <v>468603.59999999998</v>
      </c>
      <c r="F301" s="56">
        <v>0</v>
      </c>
      <c r="G301" s="56">
        <v>0</v>
      </c>
      <c r="H301" s="56">
        <v>0</v>
      </c>
      <c r="I301" s="56">
        <v>0</v>
      </c>
      <c r="J301" s="57">
        <v>0</v>
      </c>
      <c r="K301" s="56">
        <v>0</v>
      </c>
      <c r="L301" s="56">
        <v>0</v>
      </c>
      <c r="M301" s="56">
        <v>0</v>
      </c>
      <c r="N301" s="56">
        <v>0</v>
      </c>
      <c r="O301" s="56">
        <v>0</v>
      </c>
      <c r="P301" s="56">
        <v>0</v>
      </c>
      <c r="Q301" s="56">
        <v>0</v>
      </c>
      <c r="R301" s="56">
        <v>0</v>
      </c>
      <c r="S301" s="56">
        <v>0</v>
      </c>
      <c r="T301" s="56">
        <v>0</v>
      </c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</row>
    <row r="302" s="31" customFormat="1" ht="22.199999999999999" customHeight="1">
      <c r="A302" s="25" t="s">
        <v>399</v>
      </c>
      <c r="B302" s="25"/>
      <c r="C302" s="154">
        <f>SUM(C303:C304)</f>
        <v>2246914.9700000002</v>
      </c>
      <c r="D302" s="154">
        <f>SUM(D303:D304)</f>
        <v>0</v>
      </c>
      <c r="E302" s="154">
        <f>SUM(E303:E304)</f>
        <v>0</v>
      </c>
      <c r="F302" s="154">
        <f>SUM(F303:F304)</f>
        <v>0</v>
      </c>
      <c r="G302" s="154">
        <f>SUM(G303:G304)</f>
        <v>0</v>
      </c>
      <c r="H302" s="154">
        <f>SUM(H303:H304)</f>
        <v>0</v>
      </c>
      <c r="I302" s="154">
        <f>SUM(I303:I304)</f>
        <v>0</v>
      </c>
      <c r="J302" s="155">
        <f>SUM(J303:J304)</f>
        <v>0</v>
      </c>
      <c r="K302" s="154">
        <f>SUM(K303:K304)</f>
        <v>0</v>
      </c>
      <c r="L302" s="154">
        <f>SUM(L303:L304)</f>
        <v>0</v>
      </c>
      <c r="M302" s="154">
        <f>SUM(M303:M304)</f>
        <v>0</v>
      </c>
      <c r="N302" s="154">
        <f>SUM(N303:N304)</f>
        <v>2246914.9700000002</v>
      </c>
      <c r="O302" s="154">
        <f>SUM(O303:O304)</f>
        <v>0</v>
      </c>
      <c r="P302" s="154">
        <f>SUM(P303:P304)</f>
        <v>0</v>
      </c>
      <c r="Q302" s="154">
        <f>SUM(Q303:Q304)</f>
        <v>0</v>
      </c>
      <c r="R302" s="154">
        <f>SUM(R303:R304)</f>
        <v>0</v>
      </c>
      <c r="S302" s="154">
        <f>SUM(S303:S304)</f>
        <v>0</v>
      </c>
      <c r="T302" s="154">
        <f>SUM(T303:T304)</f>
        <v>0</v>
      </c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</row>
    <row r="303" s="60" customFormat="1" ht="22.199999999999999" customHeight="1">
      <c r="A303" s="36">
        <v>1</v>
      </c>
      <c r="B303" s="68" t="s">
        <v>400</v>
      </c>
      <c r="C303" s="79">
        <f t="shared" ref="C303:C304" si="219">D303+K303+L303+M303+N303+O303+P303+Q303+R303+S303+T303</f>
        <v>1043035.16</v>
      </c>
      <c r="D303" s="79">
        <f t="shared" ref="D303:D304" si="220">SUM(E303:I303)</f>
        <v>0</v>
      </c>
      <c r="E303" s="40">
        <v>0</v>
      </c>
      <c r="F303" s="87">
        <v>0</v>
      </c>
      <c r="G303" s="40">
        <v>0</v>
      </c>
      <c r="H303" s="87">
        <v>0</v>
      </c>
      <c r="I303" s="40">
        <v>0</v>
      </c>
      <c r="J303" s="48">
        <v>0</v>
      </c>
      <c r="K303" s="40">
        <v>0</v>
      </c>
      <c r="L303" s="87">
        <v>0</v>
      </c>
      <c r="M303" s="40">
        <v>0</v>
      </c>
      <c r="N303" s="87">
        <v>1043035.16</v>
      </c>
      <c r="O303" s="40">
        <v>0</v>
      </c>
      <c r="P303" s="87">
        <v>0</v>
      </c>
      <c r="Q303" s="40">
        <v>0</v>
      </c>
      <c r="R303" s="40">
        <v>0</v>
      </c>
      <c r="S303" s="40">
        <v>0</v>
      </c>
      <c r="T303" s="40">
        <v>0</v>
      </c>
      <c r="U303" s="60"/>
      <c r="V303" s="60"/>
      <c r="W303" s="60"/>
      <c r="X303" s="60"/>
      <c r="Y303" s="60"/>
      <c r="Z303" s="60"/>
      <c r="AA303" s="60"/>
      <c r="AB303" s="60"/>
      <c r="AC303" s="60"/>
      <c r="AD303" s="60"/>
      <c r="AE303" s="60"/>
    </row>
    <row r="304" s="60" customFormat="1" ht="22.199999999999999" customHeight="1">
      <c r="A304" s="33">
        <v>2</v>
      </c>
      <c r="B304" s="50" t="s">
        <v>401</v>
      </c>
      <c r="C304" s="158">
        <f t="shared" si="219"/>
        <v>1203879.8100000001</v>
      </c>
      <c r="D304" s="79">
        <f t="shared" si="220"/>
        <v>0</v>
      </c>
      <c r="E304" s="158">
        <v>0</v>
      </c>
      <c r="F304" s="92">
        <v>0</v>
      </c>
      <c r="G304" s="158">
        <v>0</v>
      </c>
      <c r="H304" s="92">
        <v>0</v>
      </c>
      <c r="I304" s="92">
        <v>0</v>
      </c>
      <c r="J304" s="345">
        <v>0</v>
      </c>
      <c r="K304" s="79">
        <v>0</v>
      </c>
      <c r="L304" s="92">
        <v>0</v>
      </c>
      <c r="M304" s="158">
        <v>0</v>
      </c>
      <c r="N304" s="79">
        <v>1203879.8100000001</v>
      </c>
      <c r="O304" s="158">
        <v>0</v>
      </c>
      <c r="P304" s="92">
        <v>0</v>
      </c>
      <c r="Q304" s="158">
        <v>0</v>
      </c>
      <c r="R304" s="79">
        <v>0</v>
      </c>
      <c r="S304" s="158">
        <v>0</v>
      </c>
      <c r="T304" s="79">
        <v>0</v>
      </c>
      <c r="U304" s="350"/>
      <c r="V304" s="350"/>
      <c r="W304" s="350"/>
      <c r="X304" s="350"/>
      <c r="Y304" s="350"/>
      <c r="Z304" s="350"/>
      <c r="AA304" s="350"/>
      <c r="AB304" s="350"/>
      <c r="AC304" s="350"/>
      <c r="AD304" s="350"/>
      <c r="AE304" s="350"/>
      <c r="AF304" s="350"/>
      <c r="AG304" s="350"/>
      <c r="AH304" s="350"/>
      <c r="AI304" s="350"/>
    </row>
    <row r="305" s="350" customFormat="1" ht="22.199999999999999" customHeight="1">
      <c r="A305" s="25" t="s">
        <v>402</v>
      </c>
      <c r="B305" s="25"/>
      <c r="C305" s="154">
        <f>SUM(C306:C307)</f>
        <v>1575708.7</v>
      </c>
      <c r="D305" s="154">
        <f>SUM(D306:D307)</f>
        <v>1575708.7</v>
      </c>
      <c r="E305" s="154">
        <f>SUM(E306:E307)</f>
        <v>1575708.7</v>
      </c>
      <c r="F305" s="154">
        <f>SUM(F306:F307)</f>
        <v>0</v>
      </c>
      <c r="G305" s="154">
        <f>SUM(G306:G307)</f>
        <v>0</v>
      </c>
      <c r="H305" s="154">
        <f>SUM(H306:H307)</f>
        <v>0</v>
      </c>
      <c r="I305" s="154">
        <f>SUM(I306:I307)</f>
        <v>0</v>
      </c>
      <c r="J305" s="155">
        <f>SUM(J306:J307)</f>
        <v>0</v>
      </c>
      <c r="K305" s="154">
        <f>SUM(K306:K307)</f>
        <v>0</v>
      </c>
      <c r="L305" s="154">
        <f>SUM(L306:L307)</f>
        <v>0</v>
      </c>
      <c r="M305" s="154">
        <f>SUM(M306:M307)</f>
        <v>0</v>
      </c>
      <c r="N305" s="154">
        <f>SUM(N306:N307)</f>
        <v>0</v>
      </c>
      <c r="O305" s="154">
        <f>SUM(O306:O307)</f>
        <v>0</v>
      </c>
      <c r="P305" s="154">
        <f>SUM(P306:P307)</f>
        <v>0</v>
      </c>
      <c r="Q305" s="154">
        <f>SUM(Q306:Q307)</f>
        <v>0</v>
      </c>
      <c r="R305" s="154">
        <f>SUM(R306:R307)</f>
        <v>0</v>
      </c>
      <c r="S305" s="154">
        <f>SUM(S306:S307)</f>
        <v>0</v>
      </c>
      <c r="T305" s="154">
        <f>SUM(T306:T307)</f>
        <v>0</v>
      </c>
      <c r="U305" s="350"/>
      <c r="V305" s="350"/>
      <c r="W305" s="350"/>
      <c r="X305" s="350"/>
      <c r="Y305" s="350"/>
      <c r="Z305" s="350"/>
      <c r="AA305" s="350"/>
      <c r="AB305" s="350"/>
      <c r="AC305" s="350"/>
      <c r="AD305" s="350"/>
      <c r="AE305" s="350"/>
      <c r="AF305" s="350"/>
      <c r="AG305" s="350"/>
      <c r="AH305" s="350"/>
      <c r="AI305" s="350"/>
    </row>
    <row r="306" s="350" customFormat="1" ht="22.199999999999999" customHeight="1">
      <c r="A306" s="33">
        <v>1</v>
      </c>
      <c r="B306" s="50" t="s">
        <v>403</v>
      </c>
      <c r="C306" s="158">
        <f t="shared" ref="C306:C307" si="221">D306+K306+L306+M306+N306+O306+P306+Q306+R306+S306+T306</f>
        <v>942984.60999999999</v>
      </c>
      <c r="D306" s="79">
        <f t="shared" ref="D306:D307" si="222">SUM(E306:I306)</f>
        <v>942984.60999999999</v>
      </c>
      <c r="E306" s="92">
        <v>942984.60999999999</v>
      </c>
      <c r="F306" s="158">
        <v>0</v>
      </c>
      <c r="G306" s="79">
        <v>0</v>
      </c>
      <c r="H306" s="158">
        <v>0</v>
      </c>
      <c r="I306" s="79">
        <v>0</v>
      </c>
      <c r="J306" s="345">
        <v>0</v>
      </c>
      <c r="K306" s="79">
        <v>0</v>
      </c>
      <c r="L306" s="158">
        <v>0</v>
      </c>
      <c r="M306" s="79">
        <v>0</v>
      </c>
      <c r="N306" s="158">
        <v>0</v>
      </c>
      <c r="O306" s="79">
        <v>0</v>
      </c>
      <c r="P306" s="92">
        <v>0</v>
      </c>
      <c r="Q306" s="158">
        <v>0</v>
      </c>
      <c r="R306" s="79">
        <v>0</v>
      </c>
      <c r="S306" s="158">
        <v>0</v>
      </c>
      <c r="T306" s="79">
        <v>0</v>
      </c>
      <c r="U306" s="54"/>
      <c r="V306" s="54"/>
      <c r="W306" s="54"/>
      <c r="X306" s="54"/>
      <c r="Y306" s="54"/>
      <c r="Z306" s="54"/>
      <c r="AA306" s="54"/>
      <c r="AB306" s="54"/>
      <c r="AC306" s="54"/>
      <c r="AD306" s="54"/>
      <c r="AE306" s="54"/>
      <c r="AF306" s="54"/>
      <c r="AG306" s="54"/>
      <c r="AH306" s="54"/>
      <c r="AI306" s="54"/>
    </row>
    <row r="307" s="54" customFormat="1" ht="22.199999999999999" customHeight="1">
      <c r="A307" s="33">
        <v>2</v>
      </c>
      <c r="B307" s="34" t="s">
        <v>404</v>
      </c>
      <c r="C307" s="79">
        <f t="shared" si="221"/>
        <v>632724.08999999997</v>
      </c>
      <c r="D307" s="79">
        <f t="shared" si="222"/>
        <v>632724.08999999997</v>
      </c>
      <c r="E307" s="79">
        <v>632724.08999999997</v>
      </c>
      <c r="F307" s="92">
        <v>0</v>
      </c>
      <c r="G307" s="79">
        <v>0</v>
      </c>
      <c r="H307" s="92">
        <v>0</v>
      </c>
      <c r="I307" s="92">
        <v>0</v>
      </c>
      <c r="J307" s="398">
        <v>0</v>
      </c>
      <c r="K307" s="79">
        <v>0</v>
      </c>
      <c r="L307" s="92">
        <v>0</v>
      </c>
      <c r="M307" s="79">
        <v>0</v>
      </c>
      <c r="N307" s="79">
        <v>0</v>
      </c>
      <c r="O307" s="79">
        <v>0</v>
      </c>
      <c r="P307" s="92">
        <v>0</v>
      </c>
      <c r="Q307" s="79">
        <v>0</v>
      </c>
      <c r="R307" s="79">
        <v>0</v>
      </c>
      <c r="S307" s="79">
        <v>0</v>
      </c>
      <c r="T307" s="79">
        <v>0</v>
      </c>
      <c r="U307" s="54"/>
      <c r="V307" s="54"/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54"/>
      <c r="AI307" s="54"/>
    </row>
    <row r="308" s="350" customFormat="1" ht="22.199999999999999" customHeight="1">
      <c r="A308" s="25" t="s">
        <v>405</v>
      </c>
      <c r="B308" s="25"/>
      <c r="C308" s="154">
        <f>SUM(C309:C313)</f>
        <v>70642855.790000007</v>
      </c>
      <c r="D308" s="154">
        <f>SUM(D309:D313)</f>
        <v>32486040.550000001</v>
      </c>
      <c r="E308" s="154">
        <f>SUM(E309:E313)</f>
        <v>0</v>
      </c>
      <c r="F308" s="154">
        <f>SUM(F309:F313)</f>
        <v>25029723.609999999</v>
      </c>
      <c r="G308" s="154">
        <f>SUM(G309:G313)</f>
        <v>722856.31999999995</v>
      </c>
      <c r="H308" s="154">
        <f>SUM(H309:H313)</f>
        <v>1983266.5600000001</v>
      </c>
      <c r="I308" s="154">
        <f>SUM(I309:I313)</f>
        <v>4750194.0600000005</v>
      </c>
      <c r="J308" s="155">
        <f>SUM(J309:J313)</f>
        <v>0</v>
      </c>
      <c r="K308" s="154">
        <f>SUM(K309:K313)</f>
        <v>0</v>
      </c>
      <c r="L308" s="154">
        <f>SUM(L309:L313)</f>
        <v>0</v>
      </c>
      <c r="M308" s="154">
        <f>SUM(M309:M313)</f>
        <v>0</v>
      </c>
      <c r="N308" s="154">
        <f>SUM(N309:N313)</f>
        <v>0</v>
      </c>
      <c r="O308" s="154">
        <f>SUM(O309:O313)</f>
        <v>0</v>
      </c>
      <c r="P308" s="154">
        <f>SUM(P309:P313)</f>
        <v>1864574.5399999998</v>
      </c>
      <c r="Q308" s="154">
        <f>SUM(Q309:Q313)</f>
        <v>0</v>
      </c>
      <c r="R308" s="154">
        <f>SUM(R309:R313)</f>
        <v>0</v>
      </c>
      <c r="S308" s="154">
        <f>SUM(S309:S313)</f>
        <v>36292240.700000003</v>
      </c>
      <c r="T308" s="154">
        <f>SUM(T309:T313)</f>
        <v>0</v>
      </c>
      <c r="U308" s="350"/>
      <c r="V308" s="350"/>
      <c r="W308" s="350"/>
      <c r="X308" s="350"/>
      <c r="Y308" s="350"/>
      <c r="Z308" s="350"/>
      <c r="AA308" s="350"/>
      <c r="AB308" s="350"/>
      <c r="AC308" s="350"/>
      <c r="AD308" s="350"/>
      <c r="AE308" s="350"/>
    </row>
    <row r="309" s="54" customFormat="1" ht="22.199999999999999" customHeight="1">
      <c r="A309" s="33">
        <v>1</v>
      </c>
      <c r="B309" s="50" t="s">
        <v>1089</v>
      </c>
      <c r="C309" s="79">
        <f t="shared" ref="C309:C313" si="223">D309+K309+L309+M309+N309+O309+P309+Q309+R309+S309+T309</f>
        <v>279124.94</v>
      </c>
      <c r="D309" s="79">
        <f t="shared" ref="D309:D313" si="224">SUM(E309:I309)</f>
        <v>0</v>
      </c>
      <c r="E309" s="79">
        <v>0</v>
      </c>
      <c r="F309" s="79">
        <v>0</v>
      </c>
      <c r="G309" s="79">
        <v>0</v>
      </c>
      <c r="H309" s="79">
        <v>0</v>
      </c>
      <c r="I309" s="79">
        <v>0</v>
      </c>
      <c r="J309" s="398">
        <v>0</v>
      </c>
      <c r="K309" s="79">
        <v>0</v>
      </c>
      <c r="L309" s="79">
        <v>0</v>
      </c>
      <c r="M309" s="79">
        <v>0</v>
      </c>
      <c r="N309" s="79">
        <v>0</v>
      </c>
      <c r="O309" s="79">
        <v>0</v>
      </c>
      <c r="P309" s="92">
        <v>279124.94</v>
      </c>
      <c r="Q309" s="79">
        <v>0</v>
      </c>
      <c r="R309" s="79">
        <v>0</v>
      </c>
      <c r="S309" s="92">
        <v>0</v>
      </c>
      <c r="T309" s="79">
        <v>0</v>
      </c>
      <c r="U309" s="54"/>
      <c r="V309" s="54"/>
      <c r="W309" s="54"/>
      <c r="X309" s="54"/>
      <c r="Y309" s="54"/>
      <c r="Z309" s="54"/>
      <c r="AA309" s="54"/>
      <c r="AB309" s="54"/>
      <c r="AC309" s="54"/>
      <c r="AD309" s="54"/>
      <c r="AE309" s="54"/>
    </row>
    <row r="310" s="54" customFormat="1" ht="22.5" customHeight="1">
      <c r="A310" s="33">
        <v>2</v>
      </c>
      <c r="B310" s="50" t="s">
        <v>1090</v>
      </c>
      <c r="C310" s="79">
        <f t="shared" si="223"/>
        <v>18523667.609999999</v>
      </c>
      <c r="D310" s="79">
        <f t="shared" si="224"/>
        <v>11081405.340000002</v>
      </c>
      <c r="E310" s="92">
        <v>0</v>
      </c>
      <c r="F310" s="92">
        <v>8528759.4900000002</v>
      </c>
      <c r="G310" s="92">
        <v>398203.96999999997</v>
      </c>
      <c r="H310" s="92">
        <v>600562.14000000001</v>
      </c>
      <c r="I310" s="92">
        <v>1553879.74</v>
      </c>
      <c r="J310" s="401">
        <v>0</v>
      </c>
      <c r="K310" s="92">
        <v>0</v>
      </c>
      <c r="L310" s="92">
        <v>0</v>
      </c>
      <c r="M310" s="92">
        <v>0</v>
      </c>
      <c r="N310" s="92">
        <v>0</v>
      </c>
      <c r="O310" s="92">
        <v>0</v>
      </c>
      <c r="P310" s="92">
        <f>129400.03+101291.43+95799.32</f>
        <v>326490.78000000003</v>
      </c>
      <c r="Q310" s="92">
        <v>0</v>
      </c>
      <c r="R310" s="92">
        <v>0</v>
      </c>
      <c r="S310" s="92">
        <v>7115771.4900000002</v>
      </c>
      <c r="T310" s="79">
        <v>0</v>
      </c>
      <c r="U310" s="54"/>
      <c r="V310" s="54"/>
      <c r="W310" s="54"/>
      <c r="X310" s="54"/>
      <c r="Y310" s="54"/>
      <c r="Z310" s="54"/>
      <c r="AA310" s="54"/>
      <c r="AB310" s="54"/>
      <c r="AC310" s="54"/>
      <c r="AD310" s="54"/>
      <c r="AE310" s="54"/>
    </row>
    <row r="311" s="54" customFormat="1" ht="22.5" customHeight="1">
      <c r="A311" s="33">
        <v>3</v>
      </c>
      <c r="B311" s="50" t="s">
        <v>1091</v>
      </c>
      <c r="C311" s="79">
        <f t="shared" si="223"/>
        <v>20390700.16</v>
      </c>
      <c r="D311" s="79">
        <f t="shared" si="224"/>
        <v>10643925.65</v>
      </c>
      <c r="E311" s="92">
        <v>0</v>
      </c>
      <c r="F311" s="92">
        <v>8101197.7599999998</v>
      </c>
      <c r="G311" s="92">
        <v>324652.34999999998</v>
      </c>
      <c r="H311" s="92">
        <v>620917.06999999995</v>
      </c>
      <c r="I311" s="92">
        <v>1597158.47</v>
      </c>
      <c r="J311" s="401">
        <v>0</v>
      </c>
      <c r="K311" s="92">
        <v>0</v>
      </c>
      <c r="L311" s="92">
        <v>0</v>
      </c>
      <c r="M311" s="92">
        <v>0</v>
      </c>
      <c r="N311" s="92">
        <v>0</v>
      </c>
      <c r="O311" s="92">
        <v>0</v>
      </c>
      <c r="P311" s="92">
        <f>213157.56+162795.86+159195.95</f>
        <v>535149.37</v>
      </c>
      <c r="Q311" s="92">
        <v>0</v>
      </c>
      <c r="R311" s="92">
        <v>0</v>
      </c>
      <c r="S311" s="92">
        <v>9211625.1400000006</v>
      </c>
      <c r="T311" s="79">
        <v>0</v>
      </c>
      <c r="U311" s="54"/>
      <c r="V311" s="54"/>
      <c r="W311" s="54"/>
      <c r="X311" s="54"/>
      <c r="Y311" s="54"/>
      <c r="Z311" s="54"/>
      <c r="AA311" s="54"/>
      <c r="AB311" s="54"/>
      <c r="AC311" s="54"/>
      <c r="AD311" s="54"/>
      <c r="AE311" s="54"/>
    </row>
    <row r="312" s="54" customFormat="1" ht="22.5" customHeight="1">
      <c r="A312" s="33">
        <v>4</v>
      </c>
      <c r="B312" s="50" t="s">
        <v>1092</v>
      </c>
      <c r="C312" s="79">
        <f t="shared" si="223"/>
        <v>11053795.560000001</v>
      </c>
      <c r="D312" s="79">
        <f t="shared" si="224"/>
        <v>0</v>
      </c>
      <c r="E312" s="79">
        <v>0</v>
      </c>
      <c r="F312" s="92">
        <v>0</v>
      </c>
      <c r="G312" s="92">
        <v>0</v>
      </c>
      <c r="H312" s="92">
        <v>0</v>
      </c>
      <c r="I312" s="92">
        <v>0</v>
      </c>
      <c r="J312" s="401">
        <v>0</v>
      </c>
      <c r="K312" s="92">
        <v>0</v>
      </c>
      <c r="L312" s="92">
        <v>0</v>
      </c>
      <c r="M312" s="92">
        <v>0</v>
      </c>
      <c r="N312" s="92">
        <v>0</v>
      </c>
      <c r="O312" s="92">
        <v>0</v>
      </c>
      <c r="P312" s="92">
        <f>172978.82+129573.28+28616.95</f>
        <v>331169.04999999999</v>
      </c>
      <c r="Q312" s="92">
        <v>0</v>
      </c>
      <c r="R312" s="92">
        <v>0</v>
      </c>
      <c r="S312" s="92">
        <v>10722626.51</v>
      </c>
      <c r="T312" s="79">
        <v>0</v>
      </c>
      <c r="U312" s="54"/>
      <c r="V312" s="54"/>
      <c r="W312" s="54"/>
      <c r="X312" s="54"/>
      <c r="Y312" s="54"/>
      <c r="Z312" s="54"/>
      <c r="AA312" s="54"/>
      <c r="AB312" s="54"/>
      <c r="AC312" s="54"/>
      <c r="AD312" s="54"/>
      <c r="AE312" s="54"/>
    </row>
    <row r="313" s="54" customFormat="1" ht="22.5" customHeight="1">
      <c r="A313" s="33">
        <v>5</v>
      </c>
      <c r="B313" s="50" t="s">
        <v>1093</v>
      </c>
      <c r="C313" s="79">
        <f t="shared" si="223"/>
        <v>20395567.52</v>
      </c>
      <c r="D313" s="79">
        <f t="shared" si="224"/>
        <v>10760709.559999999</v>
      </c>
      <c r="E313" s="79">
        <v>0</v>
      </c>
      <c r="F313" s="92">
        <v>8399766.3599999994</v>
      </c>
      <c r="G313" s="92">
        <v>0</v>
      </c>
      <c r="H313" s="92">
        <v>761787.34999999998</v>
      </c>
      <c r="I313" s="92">
        <v>1599155.8500000001</v>
      </c>
      <c r="J313" s="401">
        <v>0</v>
      </c>
      <c r="K313" s="92">
        <v>0</v>
      </c>
      <c r="L313" s="92">
        <v>0</v>
      </c>
      <c r="M313" s="92">
        <v>0</v>
      </c>
      <c r="N313" s="92">
        <v>0</v>
      </c>
      <c r="O313" s="92">
        <v>0</v>
      </c>
      <c r="P313" s="92">
        <f>180762.12+180762.12+31116.16</f>
        <v>392640.39999999997</v>
      </c>
      <c r="Q313" s="92">
        <v>0</v>
      </c>
      <c r="R313" s="92">
        <v>0</v>
      </c>
      <c r="S313" s="92">
        <v>9242217.5600000005</v>
      </c>
      <c r="T313" s="79">
        <v>0</v>
      </c>
      <c r="U313" s="54"/>
      <c r="V313" s="54"/>
      <c r="W313" s="54"/>
      <c r="X313" s="54"/>
      <c r="Y313" s="54"/>
      <c r="Z313" s="54"/>
      <c r="AA313" s="54"/>
      <c r="AB313" s="54"/>
      <c r="AC313" s="54"/>
      <c r="AD313" s="54"/>
      <c r="AE313" s="54"/>
    </row>
    <row r="314" s="350" customFormat="1" ht="22.5" customHeight="1">
      <c r="A314" s="25" t="s">
        <v>411</v>
      </c>
      <c r="B314" s="25"/>
      <c r="C314" s="154">
        <f>SUM(C315:C327)</f>
        <v>47136180.99000001</v>
      </c>
      <c r="D314" s="154">
        <f>SUM(D315:D327)</f>
        <v>3201533.6299999999</v>
      </c>
      <c r="E314" s="154">
        <f>SUM(E315:E327)</f>
        <v>1682629.2</v>
      </c>
      <c r="F314" s="154">
        <f>SUM(F315:F327)</f>
        <v>0</v>
      </c>
      <c r="G314" s="154">
        <f>SUM(G315:G327)</f>
        <v>0</v>
      </c>
      <c r="H314" s="154">
        <f>SUM(H315:H327)</f>
        <v>1518904.4300000002</v>
      </c>
      <c r="I314" s="154">
        <f>SUM(I315:I327)</f>
        <v>0</v>
      </c>
      <c r="J314" s="155">
        <f>SUM(J315:J327)</f>
        <v>0</v>
      </c>
      <c r="K314" s="154">
        <f>SUM(K315:K327)</f>
        <v>0</v>
      </c>
      <c r="L314" s="154">
        <f>SUM(L315:L327)</f>
        <v>27214785.239999998</v>
      </c>
      <c r="M314" s="154">
        <f>SUM(M315:M327)</f>
        <v>0</v>
      </c>
      <c r="N314" s="154">
        <f>SUM(N315:N327)</f>
        <v>14070580.279999999</v>
      </c>
      <c r="O314" s="154">
        <f>SUM(O315:O327)</f>
        <v>0</v>
      </c>
      <c r="P314" s="154">
        <f>SUM(P315:P327)</f>
        <v>2649281.8399999999</v>
      </c>
      <c r="Q314" s="154">
        <f>SUM(Q315:Q327)</f>
        <v>0</v>
      </c>
      <c r="R314" s="154">
        <f>SUM(R315:R327)</f>
        <v>0</v>
      </c>
      <c r="S314" s="154">
        <f>SUM(S315:S327)</f>
        <v>0</v>
      </c>
      <c r="T314" s="154">
        <f>SUM(T315:T327)</f>
        <v>0</v>
      </c>
      <c r="U314" s="350"/>
      <c r="V314" s="350"/>
      <c r="W314" s="350"/>
      <c r="X314" s="350"/>
      <c r="Y314" s="350"/>
      <c r="Z314" s="350"/>
      <c r="AA314" s="350"/>
      <c r="AB314" s="350"/>
      <c r="AC314" s="350"/>
      <c r="AD314" s="350"/>
      <c r="AE314" s="350"/>
    </row>
    <row r="315" s="350" customFormat="1" ht="22.5" customHeight="1">
      <c r="A315" s="33">
        <v>1</v>
      </c>
      <c r="B315" s="86" t="s">
        <v>1094</v>
      </c>
      <c r="C315" s="158">
        <f t="shared" ref="C315:C327" si="225">D315+K315+L315+M315+N315+O315+P315+Q315+R315+S315+T315</f>
        <v>328715.19</v>
      </c>
      <c r="D315" s="79">
        <f t="shared" ref="D315:D327" si="226">SUM(E315:I315)</f>
        <v>0</v>
      </c>
      <c r="E315" s="92">
        <v>0</v>
      </c>
      <c r="F315" s="92">
        <v>0</v>
      </c>
      <c r="G315" s="92">
        <v>0</v>
      </c>
      <c r="H315" s="92">
        <v>0</v>
      </c>
      <c r="I315" s="92">
        <v>0</v>
      </c>
      <c r="J315" s="401">
        <v>0</v>
      </c>
      <c r="K315" s="92">
        <v>0</v>
      </c>
      <c r="L315" s="92">
        <v>0</v>
      </c>
      <c r="M315" s="92">
        <v>0</v>
      </c>
      <c r="N315" s="92">
        <v>0</v>
      </c>
      <c r="O315" s="92">
        <v>0</v>
      </c>
      <c r="P315" s="92">
        <v>328715.19</v>
      </c>
      <c r="Q315" s="92">
        <v>0</v>
      </c>
      <c r="R315" s="92">
        <v>0</v>
      </c>
      <c r="S315" s="92">
        <v>0</v>
      </c>
      <c r="T315" s="92">
        <v>0</v>
      </c>
      <c r="U315" s="60"/>
      <c r="V315" s="60"/>
      <c r="W315" s="60"/>
      <c r="X315" s="60"/>
      <c r="Y315" s="60"/>
      <c r="Z315" s="60"/>
      <c r="AA315" s="60"/>
      <c r="AB315" s="60"/>
      <c r="AC315" s="60"/>
      <c r="AD315" s="60"/>
      <c r="AE315" s="60"/>
      <c r="AF315" s="60"/>
      <c r="AG315" s="60"/>
      <c r="AH315" s="60"/>
      <c r="AI315" s="60"/>
    </row>
    <row r="316" s="54" customFormat="1" ht="24" customHeight="1">
      <c r="A316" s="33">
        <v>2</v>
      </c>
      <c r="B316" s="34" t="s">
        <v>1095</v>
      </c>
      <c r="C316" s="79">
        <f t="shared" si="225"/>
        <v>7827952.0399999991</v>
      </c>
      <c r="D316" s="79">
        <f t="shared" si="226"/>
        <v>0</v>
      </c>
      <c r="E316" s="92">
        <v>0</v>
      </c>
      <c r="F316" s="92">
        <v>0</v>
      </c>
      <c r="G316" s="79">
        <v>0</v>
      </c>
      <c r="H316" s="92">
        <v>0</v>
      </c>
      <c r="I316" s="79">
        <v>0</v>
      </c>
      <c r="J316" s="398">
        <v>0</v>
      </c>
      <c r="K316" s="92">
        <v>0</v>
      </c>
      <c r="L316" s="92">
        <v>0</v>
      </c>
      <c r="M316" s="79">
        <v>0</v>
      </c>
      <c r="N316" s="79">
        <v>7528956.3099999996</v>
      </c>
      <c r="O316" s="79">
        <v>0</v>
      </c>
      <c r="P316" s="92">
        <v>298995.72999999998</v>
      </c>
      <c r="Q316" s="79">
        <v>0</v>
      </c>
      <c r="R316" s="79">
        <v>0</v>
      </c>
      <c r="S316" s="79">
        <v>0</v>
      </c>
      <c r="T316" s="79">
        <v>0</v>
      </c>
      <c r="U316" s="54"/>
      <c r="V316" s="54"/>
      <c r="W316" s="54"/>
      <c r="X316" s="54"/>
      <c r="Y316" s="54"/>
      <c r="Z316" s="54"/>
      <c r="AA316" s="54"/>
      <c r="AB316" s="54"/>
      <c r="AC316" s="54"/>
      <c r="AD316" s="54"/>
      <c r="AE316" s="54"/>
      <c r="AF316" s="54"/>
      <c r="AG316" s="54"/>
      <c r="AH316" s="54"/>
      <c r="AI316" s="54"/>
    </row>
    <row r="317" s="54" customFormat="1" ht="24" customHeight="1">
      <c r="A317" s="33">
        <v>3</v>
      </c>
      <c r="B317" s="50" t="s">
        <v>1096</v>
      </c>
      <c r="C317" s="79">
        <f t="shared" si="225"/>
        <v>7111285.0199999996</v>
      </c>
      <c r="D317" s="79">
        <f t="shared" si="226"/>
        <v>305096.5</v>
      </c>
      <c r="E317" s="92">
        <v>0</v>
      </c>
      <c r="F317" s="79">
        <v>0</v>
      </c>
      <c r="G317" s="79">
        <v>0</v>
      </c>
      <c r="H317" s="92">
        <v>305096.5</v>
      </c>
      <c r="I317" s="79">
        <v>0</v>
      </c>
      <c r="J317" s="398">
        <v>0</v>
      </c>
      <c r="K317" s="92">
        <v>0</v>
      </c>
      <c r="L317" s="92">
        <v>0</v>
      </c>
      <c r="M317" s="79">
        <v>0</v>
      </c>
      <c r="N317" s="79">
        <v>6541623.9699999997</v>
      </c>
      <c r="O317" s="92">
        <v>0</v>
      </c>
      <c r="P317" s="92">
        <v>264564.54999999999</v>
      </c>
      <c r="Q317" s="79">
        <v>0</v>
      </c>
      <c r="R317" s="79">
        <v>0</v>
      </c>
      <c r="S317" s="79">
        <v>0</v>
      </c>
      <c r="T317" s="79">
        <v>0</v>
      </c>
      <c r="U317" s="54"/>
      <c r="V317" s="54"/>
      <c r="W317" s="54"/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/>
    </row>
    <row r="318" s="54" customFormat="1" ht="24" customHeight="1">
      <c r="A318" s="33">
        <v>4</v>
      </c>
      <c r="B318" s="50" t="s">
        <v>1097</v>
      </c>
      <c r="C318" s="79">
        <f t="shared" si="225"/>
        <v>266053.58000000002</v>
      </c>
      <c r="D318" s="79">
        <f t="shared" si="226"/>
        <v>0</v>
      </c>
      <c r="E318" s="92">
        <v>0</v>
      </c>
      <c r="F318" s="79">
        <v>0</v>
      </c>
      <c r="G318" s="79">
        <v>0</v>
      </c>
      <c r="H318" s="92">
        <v>0</v>
      </c>
      <c r="I318" s="79">
        <v>0</v>
      </c>
      <c r="J318" s="398">
        <v>0</v>
      </c>
      <c r="K318" s="92">
        <v>0</v>
      </c>
      <c r="L318" s="92">
        <v>0</v>
      </c>
      <c r="M318" s="79">
        <v>0</v>
      </c>
      <c r="N318" s="79">
        <v>0</v>
      </c>
      <c r="O318" s="92">
        <v>0</v>
      </c>
      <c r="P318" s="92">
        <v>266053.58000000002</v>
      </c>
      <c r="Q318" s="79">
        <v>0</v>
      </c>
      <c r="R318" s="79">
        <v>0</v>
      </c>
      <c r="S318" s="79">
        <v>0</v>
      </c>
      <c r="T318" s="79">
        <v>0</v>
      </c>
      <c r="U318" s="54"/>
      <c r="V318" s="54"/>
      <c r="W318" s="54"/>
      <c r="X318" s="54"/>
      <c r="Y318" s="54"/>
      <c r="Z318" s="54"/>
      <c r="AA318" s="54"/>
      <c r="AB318" s="54"/>
      <c r="AC318" s="54"/>
      <c r="AD318" s="54"/>
      <c r="AE318" s="54"/>
      <c r="AF318" s="54"/>
      <c r="AG318" s="54"/>
      <c r="AH318" s="54"/>
      <c r="AI318" s="54"/>
    </row>
    <row r="319" s="54" customFormat="1" ht="24" customHeight="1">
      <c r="A319" s="33">
        <v>5</v>
      </c>
      <c r="B319" s="34" t="s">
        <v>1098</v>
      </c>
      <c r="C319" s="79">
        <f t="shared" si="225"/>
        <v>635329.48999999999</v>
      </c>
      <c r="D319" s="79">
        <f t="shared" si="226"/>
        <v>0</v>
      </c>
      <c r="E319" s="92">
        <v>0</v>
      </c>
      <c r="F319" s="92">
        <v>0</v>
      </c>
      <c r="G319" s="79">
        <v>0</v>
      </c>
      <c r="H319" s="92">
        <v>0</v>
      </c>
      <c r="I319" s="79">
        <v>0</v>
      </c>
      <c r="J319" s="398">
        <v>0</v>
      </c>
      <c r="K319" s="92">
        <v>0</v>
      </c>
      <c r="L319" s="92">
        <v>0</v>
      </c>
      <c r="M319" s="79">
        <v>0</v>
      </c>
      <c r="N319" s="79">
        <v>0</v>
      </c>
      <c r="O319" s="79">
        <v>0</v>
      </c>
      <c r="P319" s="92">
        <f>400103.15+235226.34</f>
        <v>635329.48999999999</v>
      </c>
      <c r="Q319" s="79">
        <v>0</v>
      </c>
      <c r="R319" s="79">
        <v>0</v>
      </c>
      <c r="S319" s="79">
        <v>0</v>
      </c>
      <c r="T319" s="79">
        <v>0</v>
      </c>
      <c r="U319" s="54"/>
      <c r="V319" s="54"/>
      <c r="W319" s="54"/>
      <c r="X319" s="54"/>
      <c r="Y319" s="54"/>
      <c r="Z319" s="54"/>
      <c r="AA319" s="54"/>
      <c r="AB319" s="54"/>
      <c r="AC319" s="54"/>
      <c r="AD319" s="54"/>
      <c r="AE319" s="54"/>
    </row>
    <row r="320" s="54" customFormat="1" ht="24" customHeight="1">
      <c r="A320" s="33">
        <v>6</v>
      </c>
      <c r="B320" s="34" t="s">
        <v>1099</v>
      </c>
      <c r="C320" s="79">
        <f t="shared" si="225"/>
        <v>27543608.879999999</v>
      </c>
      <c r="D320" s="79">
        <f t="shared" si="226"/>
        <v>0</v>
      </c>
      <c r="E320" s="92">
        <v>0</v>
      </c>
      <c r="F320" s="92">
        <v>0</v>
      </c>
      <c r="G320" s="79">
        <v>0</v>
      </c>
      <c r="H320" s="92">
        <v>0</v>
      </c>
      <c r="I320" s="79">
        <v>0</v>
      </c>
      <c r="J320" s="398">
        <v>0</v>
      </c>
      <c r="K320" s="79">
        <v>0</v>
      </c>
      <c r="L320" s="79">
        <v>27214785.239999998</v>
      </c>
      <c r="M320" s="79">
        <v>0</v>
      </c>
      <c r="N320" s="79">
        <v>0</v>
      </c>
      <c r="O320" s="79">
        <v>0</v>
      </c>
      <c r="P320" s="92">
        <v>328823.64000000001</v>
      </c>
      <c r="Q320" s="79">
        <v>0</v>
      </c>
      <c r="R320" s="79">
        <v>0</v>
      </c>
      <c r="S320" s="79">
        <v>0</v>
      </c>
      <c r="T320" s="79">
        <v>0</v>
      </c>
      <c r="U320" s="54"/>
      <c r="V320" s="54"/>
      <c r="W320" s="54"/>
      <c r="X320" s="54"/>
      <c r="Y320" s="54"/>
      <c r="Z320" s="54"/>
      <c r="AA320" s="54"/>
      <c r="AB320" s="54"/>
      <c r="AC320" s="54"/>
      <c r="AD320" s="54"/>
      <c r="AE320" s="54"/>
    </row>
    <row r="321" s="54" customFormat="1" ht="24" customHeight="1">
      <c r="A321" s="33">
        <v>7</v>
      </c>
      <c r="B321" s="86" t="s">
        <v>422</v>
      </c>
      <c r="C321" s="79">
        <f t="shared" si="225"/>
        <v>301979.03000000003</v>
      </c>
      <c r="D321" s="79">
        <f t="shared" si="226"/>
        <v>301979.03000000003</v>
      </c>
      <c r="E321" s="409">
        <v>0</v>
      </c>
      <c r="F321" s="410">
        <v>0</v>
      </c>
      <c r="G321" s="410">
        <v>0</v>
      </c>
      <c r="H321" s="409">
        <v>301979.03000000003</v>
      </c>
      <c r="I321" s="410">
        <v>0</v>
      </c>
      <c r="J321" s="411">
        <v>0</v>
      </c>
      <c r="K321" s="410">
        <v>0</v>
      </c>
      <c r="L321" s="409">
        <v>0</v>
      </c>
      <c r="M321" s="409">
        <v>0</v>
      </c>
      <c r="N321" s="410">
        <v>0</v>
      </c>
      <c r="O321" s="410">
        <v>0</v>
      </c>
      <c r="P321" s="409">
        <v>0</v>
      </c>
      <c r="Q321" s="410">
        <v>0</v>
      </c>
      <c r="R321" s="410">
        <v>0</v>
      </c>
      <c r="S321" s="410">
        <v>0</v>
      </c>
      <c r="T321" s="410">
        <v>0</v>
      </c>
      <c r="U321" s="54"/>
      <c r="V321" s="54"/>
      <c r="W321" s="54"/>
      <c r="X321" s="54"/>
      <c r="Y321" s="54"/>
      <c r="Z321" s="54"/>
      <c r="AA321" s="54"/>
      <c r="AB321" s="54"/>
      <c r="AC321" s="54"/>
      <c r="AD321" s="54"/>
      <c r="AE321" s="54"/>
    </row>
    <row r="322" s="54" customFormat="1" ht="24" customHeight="1">
      <c r="A322" s="33">
        <v>8</v>
      </c>
      <c r="B322" s="86" t="s">
        <v>423</v>
      </c>
      <c r="C322" s="79">
        <f t="shared" si="225"/>
        <v>305183.58000000002</v>
      </c>
      <c r="D322" s="79">
        <f t="shared" si="226"/>
        <v>305183.58000000002</v>
      </c>
      <c r="E322" s="409">
        <v>0</v>
      </c>
      <c r="F322" s="410">
        <v>0</v>
      </c>
      <c r="G322" s="410">
        <v>0</v>
      </c>
      <c r="H322" s="409">
        <v>305183.58000000002</v>
      </c>
      <c r="I322" s="410">
        <v>0</v>
      </c>
      <c r="J322" s="411">
        <v>0</v>
      </c>
      <c r="K322" s="409">
        <v>0</v>
      </c>
      <c r="L322" s="410">
        <v>0</v>
      </c>
      <c r="M322" s="409">
        <v>0</v>
      </c>
      <c r="N322" s="410">
        <v>0</v>
      </c>
      <c r="O322" s="410">
        <v>0</v>
      </c>
      <c r="P322" s="409">
        <v>0</v>
      </c>
      <c r="Q322" s="410">
        <v>0</v>
      </c>
      <c r="R322" s="410">
        <v>0</v>
      </c>
      <c r="S322" s="410">
        <v>0</v>
      </c>
      <c r="T322" s="410">
        <v>0</v>
      </c>
      <c r="U322" s="54"/>
      <c r="V322" s="54"/>
      <c r="W322" s="54"/>
      <c r="X322" s="54"/>
      <c r="Y322" s="54"/>
      <c r="Z322" s="54"/>
      <c r="AA322" s="54"/>
      <c r="AB322" s="54"/>
      <c r="AC322" s="54"/>
      <c r="AD322" s="54"/>
      <c r="AE322" s="54"/>
    </row>
    <row r="323" s="54" customFormat="1" ht="24" customHeight="1">
      <c r="A323" s="33">
        <v>9</v>
      </c>
      <c r="B323" s="86" t="s">
        <v>424</v>
      </c>
      <c r="C323" s="79">
        <f t="shared" si="225"/>
        <v>301548.72999999998</v>
      </c>
      <c r="D323" s="79">
        <f t="shared" si="226"/>
        <v>301548.72999999998</v>
      </c>
      <c r="E323" s="409">
        <v>0</v>
      </c>
      <c r="F323" s="410">
        <v>0</v>
      </c>
      <c r="G323" s="410">
        <v>0</v>
      </c>
      <c r="H323" s="409">
        <v>301548.72999999998</v>
      </c>
      <c r="I323" s="410">
        <v>0</v>
      </c>
      <c r="J323" s="411">
        <v>0</v>
      </c>
      <c r="K323" s="410">
        <v>0</v>
      </c>
      <c r="L323" s="409">
        <v>0</v>
      </c>
      <c r="M323" s="409">
        <v>0</v>
      </c>
      <c r="N323" s="409">
        <v>0</v>
      </c>
      <c r="O323" s="410">
        <v>0</v>
      </c>
      <c r="P323" s="409">
        <v>0</v>
      </c>
      <c r="Q323" s="410">
        <v>0</v>
      </c>
      <c r="R323" s="410">
        <v>0</v>
      </c>
      <c r="S323" s="410">
        <v>0</v>
      </c>
      <c r="T323" s="410">
        <v>0</v>
      </c>
      <c r="U323" s="54"/>
      <c r="V323" s="54"/>
      <c r="W323" s="54"/>
      <c r="X323" s="54"/>
      <c r="Y323" s="54"/>
      <c r="Z323" s="54"/>
      <c r="AA323" s="54"/>
      <c r="AB323" s="54"/>
      <c r="AC323" s="54"/>
      <c r="AD323" s="54"/>
      <c r="AE323" s="54"/>
    </row>
    <row r="324" s="54" customFormat="1" ht="24" customHeight="1">
      <c r="A324" s="33">
        <v>10</v>
      </c>
      <c r="B324" s="86" t="s">
        <v>425</v>
      </c>
      <c r="C324" s="79">
        <f t="shared" si="225"/>
        <v>305096.59000000003</v>
      </c>
      <c r="D324" s="79">
        <f t="shared" si="226"/>
        <v>305096.59000000003</v>
      </c>
      <c r="E324" s="409">
        <v>0</v>
      </c>
      <c r="F324" s="410">
        <v>0</v>
      </c>
      <c r="G324" s="410">
        <v>0</v>
      </c>
      <c r="H324" s="409">
        <v>305096.59000000003</v>
      </c>
      <c r="I324" s="409">
        <v>0</v>
      </c>
      <c r="J324" s="411">
        <v>0</v>
      </c>
      <c r="K324" s="410">
        <v>0</v>
      </c>
      <c r="L324" s="409">
        <v>0</v>
      </c>
      <c r="M324" s="409">
        <v>0</v>
      </c>
      <c r="N324" s="409">
        <v>0</v>
      </c>
      <c r="O324" s="410">
        <v>0</v>
      </c>
      <c r="P324" s="409">
        <v>0</v>
      </c>
      <c r="Q324" s="410">
        <v>0</v>
      </c>
      <c r="R324" s="410">
        <v>0</v>
      </c>
      <c r="S324" s="410">
        <v>0</v>
      </c>
      <c r="T324" s="410">
        <v>0</v>
      </c>
      <c r="U324" s="54"/>
      <c r="V324" s="54"/>
      <c r="W324" s="54"/>
      <c r="X324" s="54"/>
      <c r="Y324" s="54"/>
      <c r="Z324" s="54"/>
      <c r="AA324" s="54"/>
      <c r="AB324" s="54"/>
      <c r="AC324" s="54"/>
      <c r="AD324" s="54"/>
      <c r="AE324" s="54"/>
    </row>
    <row r="325" s="54" customFormat="1" ht="24" customHeight="1">
      <c r="A325" s="33">
        <v>11</v>
      </c>
      <c r="B325" s="86" t="s">
        <v>1100</v>
      </c>
      <c r="C325" s="158">
        <f t="shared" si="225"/>
        <v>252606.28</v>
      </c>
      <c r="D325" s="79">
        <f t="shared" si="226"/>
        <v>0</v>
      </c>
      <c r="E325" s="409">
        <v>0</v>
      </c>
      <c r="F325" s="409">
        <v>0</v>
      </c>
      <c r="G325" s="409">
        <v>0</v>
      </c>
      <c r="H325" s="409">
        <v>0</v>
      </c>
      <c r="I325" s="409">
        <v>0</v>
      </c>
      <c r="J325" s="411">
        <v>0</v>
      </c>
      <c r="K325" s="410">
        <v>0</v>
      </c>
      <c r="L325" s="412">
        <v>0</v>
      </c>
      <c r="M325" s="410">
        <v>0</v>
      </c>
      <c r="N325" s="412">
        <v>0</v>
      </c>
      <c r="O325" s="410">
        <v>0</v>
      </c>
      <c r="P325" s="409">
        <v>252606.28</v>
      </c>
      <c r="Q325" s="410">
        <v>0</v>
      </c>
      <c r="R325" s="410">
        <v>0</v>
      </c>
      <c r="S325" s="410">
        <v>0</v>
      </c>
      <c r="T325" s="410">
        <v>0</v>
      </c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</row>
    <row r="326" s="54" customFormat="1" ht="24" customHeight="1">
      <c r="A326" s="33">
        <v>12</v>
      </c>
      <c r="B326" s="34" t="s">
        <v>1101</v>
      </c>
      <c r="C326" s="79">
        <f t="shared" si="225"/>
        <v>274193.38</v>
      </c>
      <c r="D326" s="79">
        <f t="shared" si="226"/>
        <v>0</v>
      </c>
      <c r="E326" s="92">
        <v>0</v>
      </c>
      <c r="F326" s="92">
        <v>0</v>
      </c>
      <c r="G326" s="79">
        <v>0</v>
      </c>
      <c r="H326" s="92">
        <v>0</v>
      </c>
      <c r="I326" s="79">
        <v>0</v>
      </c>
      <c r="J326" s="398">
        <v>0</v>
      </c>
      <c r="K326" s="79">
        <v>0</v>
      </c>
      <c r="L326" s="92">
        <v>0</v>
      </c>
      <c r="M326" s="79">
        <v>0</v>
      </c>
      <c r="N326" s="79">
        <v>0</v>
      </c>
      <c r="O326" s="79">
        <v>0</v>
      </c>
      <c r="P326" s="92">
        <v>274193.38</v>
      </c>
      <c r="Q326" s="79">
        <v>0</v>
      </c>
      <c r="R326" s="79">
        <v>0</v>
      </c>
      <c r="S326" s="79">
        <v>0</v>
      </c>
      <c r="T326" s="79">
        <v>0</v>
      </c>
      <c r="U326" s="54"/>
      <c r="V326" s="54"/>
      <c r="W326" s="54"/>
      <c r="X326" s="54"/>
      <c r="Y326" s="54"/>
      <c r="Z326" s="54"/>
      <c r="AA326" s="54"/>
      <c r="AB326" s="54"/>
      <c r="AC326" s="54"/>
      <c r="AD326" s="54"/>
      <c r="AE326" s="54"/>
      <c r="AF326" s="54"/>
      <c r="AG326" s="54"/>
      <c r="AH326" s="54"/>
      <c r="AI326" s="54"/>
    </row>
    <row r="327" s="54" customFormat="1" ht="22.5" customHeight="1">
      <c r="A327" s="33">
        <v>13</v>
      </c>
      <c r="B327" s="34" t="s">
        <v>428</v>
      </c>
      <c r="C327" s="79">
        <f t="shared" si="225"/>
        <v>1682629.2</v>
      </c>
      <c r="D327" s="79">
        <f t="shared" si="226"/>
        <v>1682629.2</v>
      </c>
      <c r="E327" s="92">
        <v>1682629.2</v>
      </c>
      <c r="F327" s="92">
        <v>0</v>
      </c>
      <c r="G327" s="79">
        <v>0</v>
      </c>
      <c r="H327" s="92">
        <v>0</v>
      </c>
      <c r="I327" s="79">
        <v>0</v>
      </c>
      <c r="J327" s="398">
        <v>0</v>
      </c>
      <c r="K327" s="79">
        <v>0</v>
      </c>
      <c r="L327" s="92">
        <v>0</v>
      </c>
      <c r="M327" s="79">
        <v>0</v>
      </c>
      <c r="N327" s="79">
        <v>0</v>
      </c>
      <c r="O327" s="79">
        <v>0</v>
      </c>
      <c r="P327" s="92">
        <v>0</v>
      </c>
      <c r="Q327" s="79">
        <v>0</v>
      </c>
      <c r="R327" s="79">
        <v>0</v>
      </c>
      <c r="S327" s="79">
        <v>0</v>
      </c>
      <c r="T327" s="79">
        <v>0</v>
      </c>
      <c r="U327" s="54"/>
      <c r="V327" s="54"/>
      <c r="W327" s="54"/>
      <c r="X327" s="54"/>
      <c r="Y327" s="54"/>
      <c r="Z327" s="54"/>
      <c r="AA327" s="54"/>
      <c r="AB327" s="54"/>
      <c r="AC327" s="54"/>
      <c r="AD327" s="54"/>
      <c r="AE327" s="54"/>
      <c r="AF327" s="54"/>
      <c r="AG327" s="54"/>
      <c r="AH327" s="54"/>
      <c r="AI327" s="54"/>
    </row>
    <row r="328" s="350" customFormat="1" ht="22.5" customHeight="1">
      <c r="A328" s="25" t="s">
        <v>429</v>
      </c>
      <c r="B328" s="25"/>
      <c r="C328" s="154">
        <f>SUM(C329:C333)</f>
        <v>9147092.0600000005</v>
      </c>
      <c r="D328" s="154">
        <f>SUM(D329:D333)</f>
        <v>7716660.3600000003</v>
      </c>
      <c r="E328" s="154">
        <f>SUM(E329:E333)</f>
        <v>6831507.9000000004</v>
      </c>
      <c r="F328" s="154">
        <f>SUM(F329:F333)</f>
        <v>0</v>
      </c>
      <c r="G328" s="154">
        <f>SUM(G329:G333)</f>
        <v>0</v>
      </c>
      <c r="H328" s="154">
        <f>SUM(H329:H333)</f>
        <v>447105</v>
      </c>
      <c r="I328" s="154">
        <f>SUM(I329:I333)</f>
        <v>438047.45999999996</v>
      </c>
      <c r="J328" s="155">
        <f>SUM(J329:J333)</f>
        <v>0</v>
      </c>
      <c r="K328" s="154">
        <f>SUM(K329:K333)</f>
        <v>0</v>
      </c>
      <c r="L328" s="154">
        <f>SUM(L329:L333)</f>
        <v>0</v>
      </c>
      <c r="M328" s="154">
        <f>SUM(M329:M333)</f>
        <v>0</v>
      </c>
      <c r="N328" s="154">
        <f>SUM(N329:N333)</f>
        <v>0</v>
      </c>
      <c r="O328" s="154">
        <f>SUM(O329:O333)</f>
        <v>0</v>
      </c>
      <c r="P328" s="154">
        <f>SUM(P329:P333)</f>
        <v>1284237.7</v>
      </c>
      <c r="Q328" s="154">
        <f>SUM(Q329:Q333)</f>
        <v>0</v>
      </c>
      <c r="R328" s="154">
        <f>SUM(R329:R333)</f>
        <v>146194</v>
      </c>
      <c r="S328" s="154">
        <f>SUM(S329:S333)</f>
        <v>0</v>
      </c>
      <c r="T328" s="154">
        <f>SUM(T329:T333)</f>
        <v>0</v>
      </c>
      <c r="U328" s="350"/>
      <c r="V328" s="350"/>
      <c r="W328" s="350"/>
      <c r="X328" s="350"/>
      <c r="Y328" s="350"/>
      <c r="Z328" s="350"/>
      <c r="AA328" s="350"/>
      <c r="AB328" s="350"/>
      <c r="AC328" s="350"/>
      <c r="AD328" s="350"/>
      <c r="AE328" s="350"/>
    </row>
    <row r="329" s="350" customFormat="1" ht="22.5" customHeight="1">
      <c r="A329" s="33">
        <v>1</v>
      </c>
      <c r="B329" s="50" t="s">
        <v>1102</v>
      </c>
      <c r="C329" s="158">
        <f t="shared" ref="C329:C333" si="227">D329+K329+L329+M329+N329+O329+P329+Q329+R329+S329+T329</f>
        <v>7328083.9000000004</v>
      </c>
      <c r="D329" s="79">
        <f t="shared" ref="D329:D333" si="228">SUM(E329:I329)</f>
        <v>6831507.9000000004</v>
      </c>
      <c r="E329" s="158">
        <v>6831507.9000000004</v>
      </c>
      <c r="F329" s="79">
        <v>0</v>
      </c>
      <c r="G329" s="158">
        <v>0</v>
      </c>
      <c r="H329" s="79">
        <v>0</v>
      </c>
      <c r="I329" s="158">
        <v>0</v>
      </c>
      <c r="J329" s="398">
        <v>0</v>
      </c>
      <c r="K329" s="158">
        <v>0</v>
      </c>
      <c r="L329" s="92">
        <v>0</v>
      </c>
      <c r="M329" s="158">
        <v>0</v>
      </c>
      <c r="N329" s="79">
        <v>0</v>
      </c>
      <c r="O329" s="158">
        <v>0</v>
      </c>
      <c r="P329" s="92">
        <f>350382</f>
        <v>350382</v>
      </c>
      <c r="Q329" s="158">
        <v>0</v>
      </c>
      <c r="R329" s="79">
        <v>146194</v>
      </c>
      <c r="S329" s="92">
        <v>0</v>
      </c>
      <c r="T329" s="79">
        <v>0</v>
      </c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</row>
    <row r="330" s="54" customFormat="1" ht="22.5" customHeight="1">
      <c r="A330" s="33">
        <v>2</v>
      </c>
      <c r="B330" s="50" t="s">
        <v>1103</v>
      </c>
      <c r="C330" s="79">
        <f t="shared" si="227"/>
        <v>621356.68999999994</v>
      </c>
      <c r="D330" s="79">
        <f t="shared" si="228"/>
        <v>0</v>
      </c>
      <c r="E330" s="79">
        <v>0</v>
      </c>
      <c r="F330" s="79">
        <v>0</v>
      </c>
      <c r="G330" s="79">
        <v>0</v>
      </c>
      <c r="H330" s="79">
        <v>0</v>
      </c>
      <c r="I330" s="79">
        <v>0</v>
      </c>
      <c r="J330" s="398">
        <v>0</v>
      </c>
      <c r="K330" s="79">
        <v>0</v>
      </c>
      <c r="L330" s="92">
        <v>0</v>
      </c>
      <c r="M330" s="79">
        <v>0</v>
      </c>
      <c r="N330" s="79">
        <v>0</v>
      </c>
      <c r="O330" s="79">
        <v>0</v>
      </c>
      <c r="P330" s="92">
        <v>621356.68999999994</v>
      </c>
      <c r="Q330" s="79">
        <v>0</v>
      </c>
      <c r="R330" s="79">
        <v>0</v>
      </c>
      <c r="S330" s="79">
        <v>0</v>
      </c>
      <c r="T330" s="79">
        <v>0</v>
      </c>
      <c r="U330" s="54"/>
      <c r="V330" s="54"/>
      <c r="W330" s="54"/>
      <c r="X330" s="54"/>
      <c r="Y330" s="54"/>
      <c r="Z330" s="54"/>
      <c r="AA330" s="54"/>
      <c r="AB330" s="54"/>
      <c r="AC330" s="54"/>
      <c r="AD330" s="54"/>
      <c r="AE330" s="54"/>
    </row>
    <row r="331" s="54" customFormat="1" ht="22.5" customHeight="1">
      <c r="A331" s="33">
        <v>3</v>
      </c>
      <c r="B331" s="50" t="s">
        <v>1104</v>
      </c>
      <c r="C331" s="79">
        <f t="shared" si="227"/>
        <v>312499.01000000001</v>
      </c>
      <c r="D331" s="79">
        <f t="shared" si="228"/>
        <v>0</v>
      </c>
      <c r="E331" s="79">
        <v>0</v>
      </c>
      <c r="F331" s="79">
        <v>0</v>
      </c>
      <c r="G331" s="92">
        <v>0</v>
      </c>
      <c r="H331" s="79">
        <v>0</v>
      </c>
      <c r="I331" s="79">
        <v>0</v>
      </c>
      <c r="J331" s="398">
        <v>0</v>
      </c>
      <c r="K331" s="79">
        <v>0</v>
      </c>
      <c r="L331" s="79">
        <v>0</v>
      </c>
      <c r="M331" s="79">
        <v>0</v>
      </c>
      <c r="N331" s="79">
        <v>0</v>
      </c>
      <c r="O331" s="79">
        <v>0</v>
      </c>
      <c r="P331" s="92">
        <v>312499.01000000001</v>
      </c>
      <c r="Q331" s="79">
        <v>0</v>
      </c>
      <c r="R331" s="79">
        <v>0</v>
      </c>
      <c r="S331" s="79">
        <v>0</v>
      </c>
      <c r="T331" s="79">
        <v>0</v>
      </c>
      <c r="U331" s="54"/>
      <c r="V331" s="54"/>
      <c r="W331" s="54"/>
      <c r="X331" s="54"/>
      <c r="Y331" s="54"/>
      <c r="Z331" s="54"/>
      <c r="AA331" s="54"/>
      <c r="AB331" s="54"/>
      <c r="AC331" s="54"/>
      <c r="AD331" s="54"/>
      <c r="AE331" s="54"/>
    </row>
    <row r="332" s="54" customFormat="1" ht="22.5" customHeight="1">
      <c r="A332" s="33">
        <v>4</v>
      </c>
      <c r="B332" s="50" t="s">
        <v>433</v>
      </c>
      <c r="C332" s="79">
        <f t="shared" si="227"/>
        <v>426487.32999999996</v>
      </c>
      <c r="D332" s="79">
        <f t="shared" si="228"/>
        <v>426487.32999999996</v>
      </c>
      <c r="E332" s="92">
        <v>0</v>
      </c>
      <c r="F332" s="79">
        <v>0</v>
      </c>
      <c r="G332" s="79">
        <v>0</v>
      </c>
      <c r="H332" s="92">
        <v>215550.37</v>
      </c>
      <c r="I332" s="92">
        <v>210936.95999999999</v>
      </c>
      <c r="J332" s="398">
        <v>0</v>
      </c>
      <c r="K332" s="79">
        <v>0</v>
      </c>
      <c r="L332" s="79">
        <v>0</v>
      </c>
      <c r="M332" s="79">
        <v>0</v>
      </c>
      <c r="N332" s="79">
        <v>0</v>
      </c>
      <c r="O332" s="79">
        <v>0</v>
      </c>
      <c r="P332" s="79">
        <v>0</v>
      </c>
      <c r="Q332" s="79">
        <v>0</v>
      </c>
      <c r="R332" s="79">
        <v>0</v>
      </c>
      <c r="S332" s="79">
        <v>0</v>
      </c>
      <c r="T332" s="79">
        <v>0</v>
      </c>
      <c r="U332" s="54"/>
      <c r="V332" s="54"/>
      <c r="W332" s="54"/>
      <c r="X332" s="54"/>
      <c r="Y332" s="54"/>
      <c r="Z332" s="54"/>
      <c r="AA332" s="54"/>
      <c r="AB332" s="54"/>
      <c r="AC332" s="54"/>
      <c r="AD332" s="54"/>
      <c r="AE332" s="54"/>
    </row>
    <row r="333" s="54" customFormat="1" ht="22.5" customHeight="1">
      <c r="A333" s="33">
        <v>5</v>
      </c>
      <c r="B333" s="50" t="s">
        <v>434</v>
      </c>
      <c r="C333" s="79">
        <f t="shared" si="227"/>
        <v>458665.13</v>
      </c>
      <c r="D333" s="79">
        <f t="shared" si="228"/>
        <v>458665.13</v>
      </c>
      <c r="E333" s="92">
        <v>0</v>
      </c>
      <c r="F333" s="79">
        <v>0</v>
      </c>
      <c r="G333" s="79">
        <v>0</v>
      </c>
      <c r="H333" s="92">
        <v>231554.63</v>
      </c>
      <c r="I333" s="92">
        <v>227110.5</v>
      </c>
      <c r="J333" s="398">
        <v>0</v>
      </c>
      <c r="K333" s="79">
        <v>0</v>
      </c>
      <c r="L333" s="79">
        <v>0</v>
      </c>
      <c r="M333" s="79">
        <v>0</v>
      </c>
      <c r="N333" s="79">
        <v>0</v>
      </c>
      <c r="O333" s="79">
        <v>0</v>
      </c>
      <c r="P333" s="79">
        <v>0</v>
      </c>
      <c r="Q333" s="79">
        <v>0</v>
      </c>
      <c r="R333" s="79">
        <v>0</v>
      </c>
      <c r="S333" s="79">
        <v>0</v>
      </c>
      <c r="T333" s="79">
        <v>0</v>
      </c>
      <c r="U333" s="54"/>
      <c r="V333" s="54"/>
      <c r="W333" s="54"/>
      <c r="X333" s="54"/>
      <c r="Y333" s="54"/>
      <c r="Z333" s="54"/>
      <c r="AA333" s="54"/>
      <c r="AB333" s="54"/>
      <c r="AC333" s="54"/>
      <c r="AD333" s="54"/>
      <c r="AE333" s="54"/>
    </row>
    <row r="334" s="350" customFormat="1" ht="22.5" customHeight="1">
      <c r="A334" s="25" t="s">
        <v>435</v>
      </c>
      <c r="B334" s="25"/>
      <c r="C334" s="154">
        <f>SUM(C335:C348)</f>
        <v>52497090.729999997</v>
      </c>
      <c r="D334" s="154">
        <f>SUM(D335:D348)</f>
        <v>2361364.2400000002</v>
      </c>
      <c r="E334" s="154">
        <f>SUM(E335:E348)</f>
        <v>0</v>
      </c>
      <c r="F334" s="154">
        <f>SUM(F335:F348)</f>
        <v>0</v>
      </c>
      <c r="G334" s="154">
        <f>SUM(G335:G348)</f>
        <v>0</v>
      </c>
      <c r="H334" s="154">
        <f>SUM(H335:H348)</f>
        <v>1059917.1500000001</v>
      </c>
      <c r="I334" s="154">
        <f>SUM(I335:I348)</f>
        <v>1301447.0899999999</v>
      </c>
      <c r="J334" s="155">
        <f>SUM(J335:J348)</f>
        <v>0</v>
      </c>
      <c r="K334" s="154">
        <f>SUM(K335:K348)</f>
        <v>0</v>
      </c>
      <c r="L334" s="154">
        <f>SUM(L335:L348)</f>
        <v>7334555.8899999997</v>
      </c>
      <c r="M334" s="154">
        <f>SUM(M335:M348)</f>
        <v>0</v>
      </c>
      <c r="N334" s="154">
        <f>SUM(N335:N348)</f>
        <v>0</v>
      </c>
      <c r="O334" s="154">
        <f>SUM(O335:O348)</f>
        <v>0</v>
      </c>
      <c r="P334" s="154">
        <f>SUM(P335:P348)</f>
        <v>2385774.7399999998</v>
      </c>
      <c r="Q334" s="154">
        <f>SUM(Q335:Q348)</f>
        <v>0</v>
      </c>
      <c r="R334" s="154">
        <f>SUM(R335:R348)</f>
        <v>0</v>
      </c>
      <c r="S334" s="154">
        <f>SUM(S335:S348)</f>
        <v>40415395.859999999</v>
      </c>
      <c r="T334" s="154">
        <f>SUM(T335:T348)</f>
        <v>0</v>
      </c>
      <c r="U334" s="350"/>
      <c r="V334" s="350"/>
      <c r="W334" s="350"/>
      <c r="X334" s="350"/>
      <c r="Y334" s="350"/>
      <c r="Z334" s="350"/>
      <c r="AA334" s="350"/>
      <c r="AB334" s="350"/>
      <c r="AC334" s="350"/>
      <c r="AD334" s="350"/>
      <c r="AE334" s="350"/>
    </row>
    <row r="335" s="54" customFormat="1" ht="22.5" customHeight="1">
      <c r="A335" s="33">
        <v>1</v>
      </c>
      <c r="B335" s="50" t="s">
        <v>436</v>
      </c>
      <c r="C335" s="79">
        <f t="shared" ref="C335:C348" si="229">D335+K335+L335+M335+N335+O335+P335+Q335+R335+S335+T335</f>
        <v>307799.5</v>
      </c>
      <c r="D335" s="79">
        <f t="shared" ref="D335:D348" si="230">SUM(E335:I335)</f>
        <v>307799.5</v>
      </c>
      <c r="E335" s="79">
        <v>0</v>
      </c>
      <c r="F335" s="79">
        <v>0</v>
      </c>
      <c r="G335" s="79">
        <v>0</v>
      </c>
      <c r="H335" s="79">
        <v>307799.5</v>
      </c>
      <c r="I335" s="79">
        <v>0</v>
      </c>
      <c r="J335" s="398">
        <v>0</v>
      </c>
      <c r="K335" s="79">
        <v>0</v>
      </c>
      <c r="L335" s="79">
        <v>0</v>
      </c>
      <c r="M335" s="79">
        <v>0</v>
      </c>
      <c r="N335" s="79">
        <v>0</v>
      </c>
      <c r="O335" s="79">
        <v>0</v>
      </c>
      <c r="P335" s="92">
        <v>0</v>
      </c>
      <c r="Q335" s="79">
        <v>0</v>
      </c>
      <c r="R335" s="79">
        <v>0</v>
      </c>
      <c r="S335" s="79">
        <v>0</v>
      </c>
      <c r="T335" s="79">
        <v>0</v>
      </c>
      <c r="U335" s="54"/>
      <c r="V335" s="54"/>
      <c r="W335" s="54"/>
      <c r="X335" s="54"/>
      <c r="Y335" s="54"/>
      <c r="Z335" s="54"/>
      <c r="AA335" s="54"/>
      <c r="AB335" s="54"/>
      <c r="AC335" s="54"/>
      <c r="AD335" s="54"/>
      <c r="AE335" s="54"/>
    </row>
    <row r="336" s="413" customFormat="1" ht="23.25" customHeight="1">
      <c r="A336" s="414">
        <v>2</v>
      </c>
      <c r="B336" s="415" t="s">
        <v>437</v>
      </c>
      <c r="C336" s="79">
        <f t="shared" si="229"/>
        <v>7334555.8899999997</v>
      </c>
      <c r="D336" s="79">
        <f t="shared" si="230"/>
        <v>0</v>
      </c>
      <c r="E336" s="416">
        <v>0</v>
      </c>
      <c r="F336" s="416">
        <v>0</v>
      </c>
      <c r="G336" s="416">
        <v>0</v>
      </c>
      <c r="H336" s="416">
        <v>0</v>
      </c>
      <c r="I336" s="416">
        <v>0</v>
      </c>
      <c r="J336" s="417">
        <v>0</v>
      </c>
      <c r="K336" s="416">
        <v>0</v>
      </c>
      <c r="L336" s="416">
        <v>7334555.8899999997</v>
      </c>
      <c r="M336" s="416">
        <v>0</v>
      </c>
      <c r="N336" s="416">
        <v>0</v>
      </c>
      <c r="O336" s="416">
        <v>0</v>
      </c>
      <c r="P336" s="418">
        <v>0</v>
      </c>
      <c r="Q336" s="416">
        <v>0</v>
      </c>
      <c r="R336" s="416">
        <v>0</v>
      </c>
      <c r="S336" s="416">
        <v>0</v>
      </c>
      <c r="T336" s="416">
        <v>0</v>
      </c>
      <c r="U336" s="413"/>
      <c r="V336" s="413"/>
      <c r="W336" s="413"/>
      <c r="X336" s="413"/>
      <c r="Y336" s="413"/>
      <c r="Z336" s="413"/>
      <c r="AA336" s="413"/>
      <c r="AB336" s="413"/>
      <c r="AC336" s="413"/>
      <c r="AD336" s="413"/>
      <c r="AE336" s="413"/>
    </row>
    <row r="337" s="350" customFormat="1" ht="22.5" customHeight="1">
      <c r="A337" s="33">
        <v>3</v>
      </c>
      <c r="B337" s="415" t="s">
        <v>1105</v>
      </c>
      <c r="C337" s="79">
        <f t="shared" si="229"/>
        <v>232502.31</v>
      </c>
      <c r="D337" s="79">
        <f t="shared" si="230"/>
        <v>232502.31</v>
      </c>
      <c r="E337" s="416">
        <v>0</v>
      </c>
      <c r="F337" s="416">
        <v>0</v>
      </c>
      <c r="G337" s="416">
        <v>0</v>
      </c>
      <c r="H337" s="416">
        <v>232502.31</v>
      </c>
      <c r="I337" s="416">
        <v>0</v>
      </c>
      <c r="J337" s="417">
        <v>0</v>
      </c>
      <c r="K337" s="416">
        <v>0</v>
      </c>
      <c r="L337" s="418">
        <v>0</v>
      </c>
      <c r="M337" s="416">
        <v>0</v>
      </c>
      <c r="N337" s="418">
        <v>0</v>
      </c>
      <c r="O337" s="416">
        <v>0</v>
      </c>
      <c r="P337" s="418">
        <v>0</v>
      </c>
      <c r="Q337" s="416">
        <v>0</v>
      </c>
      <c r="R337" s="416">
        <v>0</v>
      </c>
      <c r="S337" s="416">
        <v>0</v>
      </c>
      <c r="T337" s="416">
        <v>0</v>
      </c>
      <c r="U337" s="350"/>
      <c r="V337" s="350"/>
      <c r="W337" s="350"/>
      <c r="X337" s="350"/>
      <c r="Y337" s="350"/>
      <c r="Z337" s="350"/>
      <c r="AA337" s="350"/>
      <c r="AB337" s="350"/>
      <c r="AC337" s="350"/>
      <c r="AD337" s="350"/>
      <c r="AE337" s="350"/>
    </row>
    <row r="338" s="350" customFormat="1" ht="22.5" customHeight="1">
      <c r="A338" s="414">
        <v>4</v>
      </c>
      <c r="B338" s="415" t="s">
        <v>1106</v>
      </c>
      <c r="C338" s="158">
        <f t="shared" si="229"/>
        <v>354405.65999999997</v>
      </c>
      <c r="D338" s="79">
        <f t="shared" si="230"/>
        <v>0</v>
      </c>
      <c r="E338" s="419">
        <v>0</v>
      </c>
      <c r="F338" s="416">
        <v>0</v>
      </c>
      <c r="G338" s="419">
        <v>0</v>
      </c>
      <c r="H338" s="416">
        <v>0</v>
      </c>
      <c r="I338" s="419">
        <v>0</v>
      </c>
      <c r="J338" s="417">
        <v>0</v>
      </c>
      <c r="K338" s="419">
        <v>0</v>
      </c>
      <c r="L338" s="416">
        <v>0</v>
      </c>
      <c r="M338" s="419">
        <v>0</v>
      </c>
      <c r="N338" s="416">
        <v>0</v>
      </c>
      <c r="O338" s="419">
        <v>0</v>
      </c>
      <c r="P338" s="418">
        <v>354405.65999999997</v>
      </c>
      <c r="Q338" s="419">
        <v>0</v>
      </c>
      <c r="R338" s="416">
        <v>0</v>
      </c>
      <c r="S338" s="419">
        <v>0</v>
      </c>
      <c r="T338" s="416">
        <v>0</v>
      </c>
      <c r="U338" s="54"/>
      <c r="V338" s="54"/>
      <c r="W338" s="54"/>
      <c r="X338" s="54"/>
      <c r="Y338" s="54"/>
      <c r="Z338" s="54"/>
      <c r="AA338" s="54"/>
      <c r="AB338" s="54"/>
      <c r="AC338" s="54"/>
      <c r="AD338" s="54"/>
      <c r="AE338" s="54"/>
      <c r="AF338" s="54"/>
      <c r="AG338" s="54"/>
      <c r="AH338" s="54"/>
      <c r="AI338" s="54"/>
    </row>
    <row r="339" s="350" customFormat="1" ht="22.5" customHeight="1">
      <c r="A339" s="33">
        <v>5</v>
      </c>
      <c r="B339" s="415" t="s">
        <v>1107</v>
      </c>
      <c r="C339" s="79">
        <f t="shared" si="229"/>
        <v>869285.34000000008</v>
      </c>
      <c r="D339" s="79">
        <f t="shared" si="230"/>
        <v>519615.34000000003</v>
      </c>
      <c r="E339" s="416">
        <v>0</v>
      </c>
      <c r="F339" s="416">
        <v>0</v>
      </c>
      <c r="G339" s="416">
        <v>0</v>
      </c>
      <c r="H339" s="416">
        <v>519615.34000000003</v>
      </c>
      <c r="I339" s="416">
        <v>0</v>
      </c>
      <c r="J339" s="417">
        <v>0</v>
      </c>
      <c r="K339" s="416">
        <v>0</v>
      </c>
      <c r="L339" s="416">
        <v>0</v>
      </c>
      <c r="M339" s="416">
        <v>0</v>
      </c>
      <c r="N339" s="416">
        <v>0</v>
      </c>
      <c r="O339" s="416">
        <v>0</v>
      </c>
      <c r="P339" s="418">
        <v>349670</v>
      </c>
      <c r="Q339" s="416">
        <v>0</v>
      </c>
      <c r="R339" s="416">
        <v>0</v>
      </c>
      <c r="S339" s="416">
        <v>0</v>
      </c>
      <c r="T339" s="416">
        <v>0</v>
      </c>
      <c r="U339" s="350"/>
      <c r="V339" s="350"/>
      <c r="W339" s="350"/>
      <c r="X339" s="350"/>
      <c r="Y339" s="350"/>
      <c r="Z339" s="350"/>
      <c r="AA339" s="350"/>
      <c r="AB339" s="350"/>
      <c r="AC339" s="350"/>
      <c r="AD339" s="350"/>
      <c r="AE339" s="350"/>
      <c r="AF339" s="350"/>
      <c r="AG339" s="350"/>
      <c r="AH339" s="350"/>
      <c r="AI339" s="350"/>
    </row>
    <row r="340" s="350" customFormat="1" ht="22.5" customHeight="1">
      <c r="A340" s="414">
        <v>6</v>
      </c>
      <c r="B340" s="50" t="s">
        <v>1108</v>
      </c>
      <c r="C340" s="79">
        <f t="shared" si="229"/>
        <v>10142197.380000001</v>
      </c>
      <c r="D340" s="79">
        <f t="shared" si="230"/>
        <v>0</v>
      </c>
      <c r="E340" s="92">
        <v>0</v>
      </c>
      <c r="F340" s="92">
        <v>0</v>
      </c>
      <c r="G340" s="79">
        <v>0</v>
      </c>
      <c r="H340" s="92">
        <v>0</v>
      </c>
      <c r="I340" s="92">
        <v>0</v>
      </c>
      <c r="J340" s="398">
        <v>0</v>
      </c>
      <c r="K340" s="79">
        <v>0</v>
      </c>
      <c r="L340" s="79">
        <v>0</v>
      </c>
      <c r="M340" s="92">
        <v>0</v>
      </c>
      <c r="N340" s="79">
        <v>0</v>
      </c>
      <c r="O340" s="92">
        <v>0</v>
      </c>
      <c r="P340" s="92">
        <v>283310.46000000002</v>
      </c>
      <c r="Q340" s="79">
        <v>0</v>
      </c>
      <c r="R340" s="79">
        <v>0</v>
      </c>
      <c r="S340" s="79">
        <v>9858886.9199999999</v>
      </c>
      <c r="T340" s="79">
        <v>0</v>
      </c>
      <c r="U340" s="350"/>
      <c r="V340" s="350"/>
      <c r="W340" s="350"/>
      <c r="X340" s="350"/>
      <c r="Y340" s="350"/>
      <c r="Z340" s="350"/>
      <c r="AA340" s="350"/>
      <c r="AB340" s="350"/>
      <c r="AC340" s="350"/>
      <c r="AD340" s="350"/>
      <c r="AE340" s="350"/>
    </row>
    <row r="341" s="350" customFormat="1" ht="22.5" customHeight="1">
      <c r="A341" s="33">
        <v>7</v>
      </c>
      <c r="B341" s="50" t="s">
        <v>443</v>
      </c>
      <c r="C341" s="79">
        <f t="shared" si="229"/>
        <v>528380.62</v>
      </c>
      <c r="D341" s="79">
        <f t="shared" si="230"/>
        <v>528380.62</v>
      </c>
      <c r="E341" s="79">
        <v>0</v>
      </c>
      <c r="F341" s="79">
        <v>0</v>
      </c>
      <c r="G341" s="79">
        <v>0</v>
      </c>
      <c r="H341" s="79">
        <v>0</v>
      </c>
      <c r="I341" s="79">
        <v>528380.62</v>
      </c>
      <c r="J341" s="398">
        <v>0</v>
      </c>
      <c r="K341" s="79">
        <v>0</v>
      </c>
      <c r="L341" s="79">
        <v>0</v>
      </c>
      <c r="M341" s="79">
        <v>0</v>
      </c>
      <c r="N341" s="79">
        <v>0</v>
      </c>
      <c r="O341" s="79">
        <v>0</v>
      </c>
      <c r="P341" s="92">
        <v>0</v>
      </c>
      <c r="Q341" s="79">
        <v>0</v>
      </c>
      <c r="R341" s="79">
        <v>0</v>
      </c>
      <c r="S341" s="79">
        <v>0</v>
      </c>
      <c r="T341" s="79">
        <v>0</v>
      </c>
      <c r="U341" s="350"/>
      <c r="V341" s="350"/>
      <c r="W341" s="350"/>
      <c r="X341" s="350"/>
      <c r="Y341" s="350"/>
      <c r="Z341" s="350"/>
      <c r="AA341" s="350"/>
      <c r="AB341" s="350"/>
      <c r="AC341" s="350"/>
      <c r="AD341" s="350"/>
      <c r="AE341" s="350"/>
    </row>
    <row r="342" s="350" customFormat="1" ht="22.5" customHeight="1">
      <c r="A342" s="414">
        <v>8</v>
      </c>
      <c r="B342" s="50" t="s">
        <v>444</v>
      </c>
      <c r="C342" s="79">
        <f t="shared" si="229"/>
        <v>773066.46999999997</v>
      </c>
      <c r="D342" s="79">
        <f t="shared" si="230"/>
        <v>773066.46999999997</v>
      </c>
      <c r="E342" s="79">
        <v>0</v>
      </c>
      <c r="F342" s="79">
        <v>0</v>
      </c>
      <c r="G342" s="79">
        <v>0</v>
      </c>
      <c r="H342" s="79">
        <v>0</v>
      </c>
      <c r="I342" s="79">
        <v>773066.46999999997</v>
      </c>
      <c r="J342" s="398">
        <v>0</v>
      </c>
      <c r="K342" s="79">
        <v>0</v>
      </c>
      <c r="L342" s="79">
        <v>0</v>
      </c>
      <c r="M342" s="79">
        <v>0</v>
      </c>
      <c r="N342" s="79">
        <v>0</v>
      </c>
      <c r="O342" s="79">
        <v>0</v>
      </c>
      <c r="P342" s="92">
        <v>0</v>
      </c>
      <c r="Q342" s="79">
        <v>0</v>
      </c>
      <c r="R342" s="79">
        <v>0</v>
      </c>
      <c r="S342" s="79">
        <v>0</v>
      </c>
      <c r="T342" s="79">
        <v>0</v>
      </c>
      <c r="U342" s="350"/>
      <c r="V342" s="350"/>
      <c r="W342" s="350"/>
      <c r="X342" s="350"/>
      <c r="Y342" s="350"/>
      <c r="Z342" s="350"/>
      <c r="AA342" s="350"/>
      <c r="AB342" s="350"/>
      <c r="AC342" s="350"/>
      <c r="AD342" s="350"/>
      <c r="AE342" s="350"/>
    </row>
    <row r="343" s="350" customFormat="1" ht="22.5" customHeight="1">
      <c r="A343" s="33">
        <v>9</v>
      </c>
      <c r="B343" s="50" t="s">
        <v>1109</v>
      </c>
      <c r="C343" s="79">
        <f t="shared" si="229"/>
        <v>212907.76999999999</v>
      </c>
      <c r="D343" s="79">
        <f t="shared" si="230"/>
        <v>0</v>
      </c>
      <c r="E343" s="79">
        <v>0</v>
      </c>
      <c r="F343" s="79">
        <v>0</v>
      </c>
      <c r="G343" s="79">
        <v>0</v>
      </c>
      <c r="H343" s="92">
        <v>0</v>
      </c>
      <c r="I343" s="79">
        <v>0</v>
      </c>
      <c r="J343" s="398">
        <v>0</v>
      </c>
      <c r="K343" s="79">
        <v>0</v>
      </c>
      <c r="L343" s="79">
        <v>0</v>
      </c>
      <c r="M343" s="79">
        <v>0</v>
      </c>
      <c r="N343" s="79">
        <v>0</v>
      </c>
      <c r="O343" s="92">
        <v>0</v>
      </c>
      <c r="P343" s="92">
        <v>212907.76999999999</v>
      </c>
      <c r="Q343" s="79">
        <v>0</v>
      </c>
      <c r="R343" s="79">
        <v>0</v>
      </c>
      <c r="S343" s="79">
        <v>0</v>
      </c>
      <c r="T343" s="79">
        <v>0</v>
      </c>
      <c r="U343" s="350"/>
      <c r="V343" s="350"/>
      <c r="W343" s="350"/>
      <c r="X343" s="350"/>
      <c r="Y343" s="350"/>
      <c r="Z343" s="350"/>
      <c r="AA343" s="350"/>
      <c r="AB343" s="350"/>
      <c r="AC343" s="350"/>
      <c r="AD343" s="350"/>
      <c r="AE343" s="350"/>
    </row>
    <row r="344" s="350" customFormat="1" ht="22.5" customHeight="1">
      <c r="A344" s="414">
        <v>10</v>
      </c>
      <c r="B344" s="50" t="s">
        <v>1110</v>
      </c>
      <c r="C344" s="79">
        <f t="shared" si="229"/>
        <v>15442094.1</v>
      </c>
      <c r="D344" s="79">
        <f t="shared" si="230"/>
        <v>0</v>
      </c>
      <c r="E344" s="79">
        <v>0</v>
      </c>
      <c r="F344" s="79">
        <v>0</v>
      </c>
      <c r="G344" s="79">
        <v>0</v>
      </c>
      <c r="H344" s="79">
        <v>0</v>
      </c>
      <c r="I344" s="79">
        <v>0</v>
      </c>
      <c r="J344" s="398">
        <v>0</v>
      </c>
      <c r="K344" s="79">
        <v>0</v>
      </c>
      <c r="L344" s="79">
        <v>0</v>
      </c>
      <c r="M344" s="79">
        <v>0</v>
      </c>
      <c r="N344" s="79">
        <v>0</v>
      </c>
      <c r="O344" s="79">
        <v>0</v>
      </c>
      <c r="P344" s="92">
        <v>99103.520000000004</v>
      </c>
      <c r="Q344" s="79">
        <v>0</v>
      </c>
      <c r="R344" s="79">
        <v>0</v>
      </c>
      <c r="S344" s="79">
        <v>15342990.58</v>
      </c>
      <c r="T344" s="79">
        <v>0</v>
      </c>
      <c r="U344" s="350"/>
      <c r="V344" s="350"/>
      <c r="W344" s="350"/>
      <c r="X344" s="350"/>
      <c r="Y344" s="350"/>
      <c r="Z344" s="350"/>
      <c r="AA344" s="350"/>
      <c r="AB344" s="350"/>
      <c r="AC344" s="350"/>
      <c r="AD344" s="350"/>
      <c r="AE344" s="350"/>
    </row>
    <row r="345" s="350" customFormat="1" ht="22.5" customHeight="1">
      <c r="A345" s="33">
        <v>11</v>
      </c>
      <c r="B345" s="50" t="s">
        <v>1111</v>
      </c>
      <c r="C345" s="79">
        <f t="shared" si="229"/>
        <v>15507487.17</v>
      </c>
      <c r="D345" s="79">
        <f t="shared" si="230"/>
        <v>0</v>
      </c>
      <c r="E345" s="79">
        <v>0</v>
      </c>
      <c r="F345" s="79">
        <v>0</v>
      </c>
      <c r="G345" s="79">
        <v>0</v>
      </c>
      <c r="H345" s="79">
        <v>0</v>
      </c>
      <c r="I345" s="79">
        <v>0</v>
      </c>
      <c r="J345" s="398">
        <v>0</v>
      </c>
      <c r="K345" s="79">
        <v>0</v>
      </c>
      <c r="L345" s="79">
        <v>0</v>
      </c>
      <c r="M345" s="79">
        <v>0</v>
      </c>
      <c r="N345" s="79">
        <v>0</v>
      </c>
      <c r="O345" s="79">
        <v>0</v>
      </c>
      <c r="P345" s="92">
        <v>293968.81</v>
      </c>
      <c r="Q345" s="79">
        <v>0</v>
      </c>
      <c r="R345" s="79">
        <v>0</v>
      </c>
      <c r="S345" s="79">
        <v>15213518.359999999</v>
      </c>
      <c r="T345" s="79">
        <v>0</v>
      </c>
      <c r="U345" s="350"/>
      <c r="V345" s="350"/>
      <c r="W345" s="350"/>
      <c r="X345" s="350"/>
      <c r="Y345" s="350"/>
      <c r="Z345" s="350"/>
      <c r="AA345" s="350"/>
      <c r="AB345" s="350"/>
      <c r="AC345" s="350"/>
      <c r="AD345" s="350"/>
      <c r="AE345" s="350"/>
    </row>
    <row r="346" s="350" customFormat="1" ht="22.5" customHeight="1">
      <c r="A346" s="414">
        <v>12</v>
      </c>
      <c r="B346" s="50" t="s">
        <v>1112</v>
      </c>
      <c r="C346" s="79">
        <f t="shared" si="229"/>
        <v>267012.94</v>
      </c>
      <c r="D346" s="79">
        <f t="shared" si="230"/>
        <v>0</v>
      </c>
      <c r="E346" s="79">
        <v>0</v>
      </c>
      <c r="F346" s="79">
        <v>0</v>
      </c>
      <c r="G346" s="79">
        <v>0</v>
      </c>
      <c r="H346" s="79">
        <v>0</v>
      </c>
      <c r="I346" s="79">
        <v>0</v>
      </c>
      <c r="J346" s="398">
        <v>0</v>
      </c>
      <c r="K346" s="79">
        <v>0</v>
      </c>
      <c r="L346" s="79">
        <v>0</v>
      </c>
      <c r="M346" s="79">
        <v>0</v>
      </c>
      <c r="N346" s="79">
        <v>0</v>
      </c>
      <c r="O346" s="79">
        <v>0</v>
      </c>
      <c r="P346" s="92">
        <v>267012.94</v>
      </c>
      <c r="Q346" s="79">
        <v>0</v>
      </c>
      <c r="R346" s="79">
        <v>0</v>
      </c>
      <c r="S346" s="79">
        <v>0</v>
      </c>
      <c r="T346" s="79">
        <v>0</v>
      </c>
      <c r="U346" s="350"/>
      <c r="V346" s="350"/>
      <c r="W346" s="350"/>
      <c r="X346" s="350"/>
      <c r="Y346" s="350"/>
      <c r="Z346" s="350"/>
      <c r="AA346" s="350"/>
      <c r="AB346" s="350"/>
      <c r="AC346" s="350"/>
      <c r="AD346" s="350"/>
      <c r="AE346" s="350"/>
    </row>
    <row r="347" s="350" customFormat="1" ht="22.5" customHeight="1">
      <c r="A347" s="33">
        <v>13</v>
      </c>
      <c r="B347" s="50" t="s">
        <v>1113</v>
      </c>
      <c r="C347" s="79">
        <f t="shared" si="229"/>
        <v>262697.78999999998</v>
      </c>
      <c r="D347" s="79">
        <f t="shared" si="230"/>
        <v>0</v>
      </c>
      <c r="E347" s="79">
        <v>0</v>
      </c>
      <c r="F347" s="79">
        <v>0</v>
      </c>
      <c r="G347" s="79">
        <v>0</v>
      </c>
      <c r="H347" s="79">
        <v>0</v>
      </c>
      <c r="I347" s="79">
        <v>0</v>
      </c>
      <c r="J347" s="398">
        <v>0</v>
      </c>
      <c r="K347" s="79">
        <v>0</v>
      </c>
      <c r="L347" s="92">
        <v>0</v>
      </c>
      <c r="M347" s="79">
        <v>0</v>
      </c>
      <c r="N347" s="92">
        <v>0</v>
      </c>
      <c r="O347" s="79">
        <v>0</v>
      </c>
      <c r="P347" s="92">
        <v>262697.78999999998</v>
      </c>
      <c r="Q347" s="79">
        <v>0</v>
      </c>
      <c r="R347" s="79">
        <v>0</v>
      </c>
      <c r="S347" s="79">
        <v>0</v>
      </c>
      <c r="T347" s="79">
        <v>0</v>
      </c>
      <c r="U347" s="350"/>
      <c r="V347" s="350"/>
      <c r="W347" s="350"/>
      <c r="X347" s="350"/>
      <c r="Y347" s="350"/>
      <c r="Z347" s="350"/>
      <c r="AA347" s="350"/>
      <c r="AB347" s="350"/>
      <c r="AC347" s="350"/>
      <c r="AD347" s="350"/>
      <c r="AE347" s="350"/>
    </row>
    <row r="348" s="350" customFormat="1" ht="22.5" customHeight="1">
      <c r="A348" s="414">
        <v>14</v>
      </c>
      <c r="B348" s="50" t="s">
        <v>1114</v>
      </c>
      <c r="C348" s="79">
        <f t="shared" si="229"/>
        <v>262697.78999999998</v>
      </c>
      <c r="D348" s="79">
        <f t="shared" si="230"/>
        <v>0</v>
      </c>
      <c r="E348" s="79">
        <v>0</v>
      </c>
      <c r="F348" s="79">
        <v>0</v>
      </c>
      <c r="G348" s="79">
        <v>0</v>
      </c>
      <c r="H348" s="79">
        <v>0</v>
      </c>
      <c r="I348" s="79">
        <v>0</v>
      </c>
      <c r="J348" s="398">
        <v>0</v>
      </c>
      <c r="K348" s="79">
        <v>0</v>
      </c>
      <c r="L348" s="92">
        <v>0</v>
      </c>
      <c r="M348" s="79">
        <v>0</v>
      </c>
      <c r="N348" s="92">
        <v>0</v>
      </c>
      <c r="O348" s="79">
        <v>0</v>
      </c>
      <c r="P348" s="92">
        <v>262697.78999999998</v>
      </c>
      <c r="Q348" s="79">
        <v>0</v>
      </c>
      <c r="R348" s="79">
        <v>0</v>
      </c>
      <c r="S348" s="79">
        <v>0</v>
      </c>
      <c r="T348" s="79">
        <v>0</v>
      </c>
      <c r="U348" s="350"/>
      <c r="V348" s="350"/>
      <c r="W348" s="350"/>
      <c r="X348" s="350"/>
      <c r="Y348" s="350"/>
      <c r="Z348" s="350"/>
      <c r="AA348" s="350"/>
      <c r="AB348" s="350"/>
      <c r="AC348" s="350"/>
      <c r="AD348" s="350"/>
      <c r="AE348" s="350"/>
    </row>
    <row r="349" s="350" customFormat="1" ht="29.25" customHeight="1">
      <c r="A349" s="25" t="s">
        <v>451</v>
      </c>
      <c r="B349" s="25"/>
      <c r="C349" s="154">
        <f>SUM(C350:C359)</f>
        <v>50131385.139999993</v>
      </c>
      <c r="D349" s="154">
        <f>SUM(D350:D359)</f>
        <v>2272272</v>
      </c>
      <c r="E349" s="154">
        <f>SUM(E350:E359)</f>
        <v>0</v>
      </c>
      <c r="F349" s="154">
        <f>SUM(F350:F359)</f>
        <v>1842348</v>
      </c>
      <c r="G349" s="154">
        <f>SUM(G350:G359)</f>
        <v>0</v>
      </c>
      <c r="H349" s="154">
        <f>SUM(H350:H359)</f>
        <v>193474.79999999999</v>
      </c>
      <c r="I349" s="154">
        <f>SUM(I350:I359)</f>
        <v>236449.20000000001</v>
      </c>
      <c r="J349" s="155">
        <f>SUM(J350:J359)</f>
        <v>0</v>
      </c>
      <c r="K349" s="154">
        <f>SUM(K350:K359)</f>
        <v>0</v>
      </c>
      <c r="L349" s="154">
        <f>SUM(L350:L359)</f>
        <v>25154080.329999998</v>
      </c>
      <c r="M349" s="154">
        <f>SUM(M350:M359)</f>
        <v>0</v>
      </c>
      <c r="N349" s="154">
        <f>SUM(N350:N359)</f>
        <v>22705032.810000002</v>
      </c>
      <c r="O349" s="154">
        <f>SUM(O350:O359)</f>
        <v>0</v>
      </c>
      <c r="P349" s="154">
        <f>SUM(P350:P359)</f>
        <v>0</v>
      </c>
      <c r="Q349" s="154">
        <f>SUM(Q350:Q359)</f>
        <v>0</v>
      </c>
      <c r="R349" s="154">
        <f>SUM(R350:R359)</f>
        <v>0</v>
      </c>
      <c r="S349" s="154">
        <f>SUM(S350:S359)</f>
        <v>0</v>
      </c>
      <c r="T349" s="154">
        <f>SUM(T350:T359)</f>
        <v>0</v>
      </c>
      <c r="U349" s="350"/>
      <c r="V349" s="350"/>
      <c r="W349" s="350"/>
      <c r="X349" s="350"/>
      <c r="Y349" s="350"/>
      <c r="Z349" s="350"/>
      <c r="AA349" s="350"/>
      <c r="AB349" s="350"/>
      <c r="AC349" s="350"/>
      <c r="AD349" s="350"/>
      <c r="AE349" s="350"/>
    </row>
    <row r="350" s="350" customFormat="1" ht="22.5" customHeight="1">
      <c r="A350" s="33">
        <v>1</v>
      </c>
      <c r="B350" s="34" t="s">
        <v>452</v>
      </c>
      <c r="C350" s="79">
        <f t="shared" ref="C350:C359" si="231">D350+K350+L350+M350+N350+O350+P350+Q350+R350+S350+T350</f>
        <v>4971031.1399999997</v>
      </c>
      <c r="D350" s="79">
        <f t="shared" ref="D350:D359" si="232">SUM(E350:I350)</f>
        <v>0</v>
      </c>
      <c r="E350" s="92">
        <v>0</v>
      </c>
      <c r="F350" s="79">
        <v>0</v>
      </c>
      <c r="G350" s="79">
        <v>0</v>
      </c>
      <c r="H350" s="92">
        <v>0</v>
      </c>
      <c r="I350" s="79">
        <v>0</v>
      </c>
      <c r="J350" s="398">
        <v>0</v>
      </c>
      <c r="K350" s="92">
        <v>0</v>
      </c>
      <c r="L350" s="79">
        <v>4971031.1399999997</v>
      </c>
      <c r="M350" s="92">
        <v>0</v>
      </c>
      <c r="N350" s="79">
        <v>0</v>
      </c>
      <c r="O350" s="79">
        <v>0</v>
      </c>
      <c r="P350" s="92">
        <v>0</v>
      </c>
      <c r="Q350" s="79">
        <v>0</v>
      </c>
      <c r="R350" s="79">
        <v>0</v>
      </c>
      <c r="S350" s="79">
        <v>0</v>
      </c>
      <c r="T350" s="79">
        <v>0</v>
      </c>
      <c r="U350" s="350"/>
      <c r="V350" s="350"/>
      <c r="W350" s="350"/>
      <c r="X350" s="350"/>
      <c r="Y350" s="350"/>
      <c r="Z350" s="350"/>
      <c r="AA350" s="350"/>
      <c r="AB350" s="350"/>
      <c r="AC350" s="350"/>
      <c r="AD350" s="350"/>
      <c r="AE350" s="350"/>
    </row>
    <row r="351" s="350" customFormat="1" ht="22.5" customHeight="1">
      <c r="A351" s="33">
        <v>2</v>
      </c>
      <c r="B351" s="34" t="s">
        <v>453</v>
      </c>
      <c r="C351" s="79">
        <f t="shared" si="231"/>
        <v>5165490.9800000004</v>
      </c>
      <c r="D351" s="79">
        <f t="shared" si="232"/>
        <v>0</v>
      </c>
      <c r="E351" s="79">
        <v>0</v>
      </c>
      <c r="F351" s="79">
        <v>0</v>
      </c>
      <c r="G351" s="79">
        <v>0</v>
      </c>
      <c r="H351" s="79">
        <v>0</v>
      </c>
      <c r="I351" s="79">
        <v>0</v>
      </c>
      <c r="J351" s="398">
        <v>0</v>
      </c>
      <c r="K351" s="79">
        <v>0</v>
      </c>
      <c r="L351" s="92">
        <v>0</v>
      </c>
      <c r="M351" s="79">
        <v>0</v>
      </c>
      <c r="N351" s="92">
        <v>5165490.9800000004</v>
      </c>
      <c r="O351" s="79">
        <v>0</v>
      </c>
      <c r="P351" s="92">
        <v>0</v>
      </c>
      <c r="Q351" s="79">
        <v>0</v>
      </c>
      <c r="R351" s="79">
        <v>0</v>
      </c>
      <c r="S351" s="79">
        <v>0</v>
      </c>
      <c r="T351" s="79">
        <v>0</v>
      </c>
      <c r="U351" s="350"/>
      <c r="V351" s="350"/>
      <c r="W351" s="350"/>
      <c r="X351" s="350"/>
      <c r="Y351" s="350"/>
      <c r="Z351" s="350"/>
      <c r="AA351" s="350"/>
      <c r="AB351" s="350"/>
      <c r="AC351" s="350"/>
      <c r="AD351" s="350"/>
      <c r="AE351" s="350"/>
    </row>
    <row r="352" s="350" customFormat="1" ht="22.5" customHeight="1">
      <c r="A352" s="33">
        <v>3</v>
      </c>
      <c r="B352" s="34" t="s">
        <v>454</v>
      </c>
      <c r="C352" s="79">
        <f t="shared" si="231"/>
        <v>8183947.8200000003</v>
      </c>
      <c r="D352" s="79">
        <f t="shared" si="232"/>
        <v>0</v>
      </c>
      <c r="E352" s="92">
        <v>0</v>
      </c>
      <c r="F352" s="79">
        <v>0</v>
      </c>
      <c r="G352" s="79">
        <v>0</v>
      </c>
      <c r="H352" s="79">
        <v>0</v>
      </c>
      <c r="I352" s="79">
        <v>0</v>
      </c>
      <c r="J352" s="398">
        <v>0</v>
      </c>
      <c r="K352" s="92">
        <v>0</v>
      </c>
      <c r="L352" s="92">
        <v>0</v>
      </c>
      <c r="M352" s="79">
        <v>0</v>
      </c>
      <c r="N352" s="79">
        <v>8183947.8200000003</v>
      </c>
      <c r="O352" s="92">
        <v>0</v>
      </c>
      <c r="P352" s="92">
        <v>0</v>
      </c>
      <c r="Q352" s="79">
        <v>0</v>
      </c>
      <c r="R352" s="79">
        <v>0</v>
      </c>
      <c r="S352" s="79">
        <v>0</v>
      </c>
      <c r="T352" s="79">
        <v>0</v>
      </c>
      <c r="U352" s="350"/>
      <c r="V352" s="350"/>
      <c r="W352" s="350"/>
      <c r="X352" s="350"/>
      <c r="Y352" s="350"/>
      <c r="Z352" s="350"/>
      <c r="AA352" s="350"/>
      <c r="AB352" s="350"/>
      <c r="AC352" s="350"/>
      <c r="AD352" s="350"/>
      <c r="AE352" s="350"/>
    </row>
    <row r="353" s="350" customFormat="1" ht="22.5" customHeight="1">
      <c r="A353" s="33">
        <v>4</v>
      </c>
      <c r="B353" s="34" t="s">
        <v>456</v>
      </c>
      <c r="C353" s="79">
        <f t="shared" si="231"/>
        <v>2774766.6499999999</v>
      </c>
      <c r="D353" s="79">
        <f t="shared" si="232"/>
        <v>0</v>
      </c>
      <c r="E353" s="92">
        <v>0</v>
      </c>
      <c r="F353" s="92">
        <v>0</v>
      </c>
      <c r="G353" s="92">
        <v>0</v>
      </c>
      <c r="H353" s="92">
        <v>0</v>
      </c>
      <c r="I353" s="92">
        <v>0</v>
      </c>
      <c r="J353" s="398">
        <v>0</v>
      </c>
      <c r="K353" s="92">
        <v>0</v>
      </c>
      <c r="L353" s="79">
        <v>2774766.6499999999</v>
      </c>
      <c r="M353" s="79">
        <v>0</v>
      </c>
      <c r="N353" s="79">
        <v>0</v>
      </c>
      <c r="O353" s="79">
        <v>0</v>
      </c>
      <c r="P353" s="92">
        <v>0</v>
      </c>
      <c r="Q353" s="79">
        <v>0</v>
      </c>
      <c r="R353" s="79">
        <v>0</v>
      </c>
      <c r="S353" s="79">
        <v>0</v>
      </c>
      <c r="T353" s="79">
        <v>0</v>
      </c>
      <c r="U353" s="350"/>
      <c r="V353" s="350"/>
      <c r="W353" s="350"/>
      <c r="X353" s="350"/>
      <c r="Y353" s="350"/>
      <c r="Z353" s="350"/>
      <c r="AA353" s="350"/>
      <c r="AB353" s="350"/>
      <c r="AC353" s="350"/>
      <c r="AD353" s="350"/>
      <c r="AE353" s="350"/>
    </row>
    <row r="354" s="350" customFormat="1" ht="22.5" customHeight="1">
      <c r="A354" s="33">
        <v>5</v>
      </c>
      <c r="B354" s="34" t="s">
        <v>457</v>
      </c>
      <c r="C354" s="158">
        <f t="shared" si="231"/>
        <v>6231085.7400000002</v>
      </c>
      <c r="D354" s="79">
        <f t="shared" si="232"/>
        <v>0</v>
      </c>
      <c r="E354" s="158">
        <v>0</v>
      </c>
      <c r="F354" s="79">
        <v>0</v>
      </c>
      <c r="G354" s="158">
        <v>0</v>
      </c>
      <c r="H354" s="79">
        <v>0</v>
      </c>
      <c r="I354" s="158">
        <v>0</v>
      </c>
      <c r="J354" s="398">
        <v>0</v>
      </c>
      <c r="K354" s="158">
        <v>0</v>
      </c>
      <c r="L354" s="92">
        <v>6231085.7400000002</v>
      </c>
      <c r="M354" s="158">
        <v>0</v>
      </c>
      <c r="N354" s="92">
        <v>0</v>
      </c>
      <c r="O354" s="158">
        <v>0</v>
      </c>
      <c r="P354" s="92">
        <v>0</v>
      </c>
      <c r="Q354" s="158">
        <v>0</v>
      </c>
      <c r="R354" s="79">
        <v>0</v>
      </c>
      <c r="S354" s="158">
        <v>0</v>
      </c>
      <c r="T354" s="79">
        <v>0</v>
      </c>
      <c r="U354" s="54"/>
      <c r="V354" s="54"/>
      <c r="W354" s="54"/>
      <c r="X354" s="54"/>
      <c r="Y354" s="54"/>
      <c r="Z354" s="54"/>
      <c r="AA354" s="54"/>
      <c r="AB354" s="54"/>
      <c r="AC354" s="54"/>
      <c r="AD354" s="54"/>
      <c r="AE354" s="54"/>
    </row>
    <row r="355" s="350" customFormat="1" ht="22.5" customHeight="1">
      <c r="A355" s="33">
        <v>6</v>
      </c>
      <c r="B355" s="34" t="s">
        <v>458</v>
      </c>
      <c r="C355" s="79">
        <f t="shared" si="231"/>
        <v>6100174.3899999997</v>
      </c>
      <c r="D355" s="158">
        <f t="shared" si="232"/>
        <v>0</v>
      </c>
      <c r="E355" s="79">
        <v>0</v>
      </c>
      <c r="F355" s="158">
        <v>0</v>
      </c>
      <c r="G355" s="79">
        <v>0</v>
      </c>
      <c r="H355" s="158">
        <v>0</v>
      </c>
      <c r="I355" s="79">
        <v>0</v>
      </c>
      <c r="J355" s="345">
        <v>0</v>
      </c>
      <c r="K355" s="79">
        <v>0</v>
      </c>
      <c r="L355" s="92">
        <v>6100174.3899999997</v>
      </c>
      <c r="M355" s="79">
        <v>0</v>
      </c>
      <c r="N355" s="92">
        <v>0</v>
      </c>
      <c r="O355" s="79">
        <v>0</v>
      </c>
      <c r="P355" s="92">
        <v>0</v>
      </c>
      <c r="Q355" s="79">
        <v>0</v>
      </c>
      <c r="R355" s="158">
        <v>0</v>
      </c>
      <c r="S355" s="79">
        <v>0</v>
      </c>
      <c r="T355" s="79">
        <v>0</v>
      </c>
      <c r="U355" s="54"/>
      <c r="V355" s="54"/>
      <c r="W355" s="54"/>
      <c r="X355" s="54"/>
      <c r="Y355" s="54"/>
      <c r="Z355" s="54"/>
      <c r="AA355" s="54"/>
      <c r="AB355" s="54"/>
      <c r="AC355" s="54"/>
      <c r="AD355" s="54"/>
      <c r="AE355" s="54"/>
    </row>
    <row r="356" s="350" customFormat="1" ht="22.5" customHeight="1">
      <c r="A356" s="33">
        <v>7</v>
      </c>
      <c r="B356" s="34" t="s">
        <v>459</v>
      </c>
      <c r="C356" s="79">
        <f t="shared" si="231"/>
        <v>5077022.4100000001</v>
      </c>
      <c r="D356" s="79">
        <f t="shared" si="232"/>
        <v>0</v>
      </c>
      <c r="E356" s="92">
        <v>0</v>
      </c>
      <c r="F356" s="79">
        <v>0</v>
      </c>
      <c r="G356" s="79">
        <v>0</v>
      </c>
      <c r="H356" s="92">
        <v>0</v>
      </c>
      <c r="I356" s="79">
        <v>0</v>
      </c>
      <c r="J356" s="398">
        <v>0</v>
      </c>
      <c r="K356" s="79">
        <v>0</v>
      </c>
      <c r="L356" s="92">
        <v>5077022.4100000001</v>
      </c>
      <c r="M356" s="92">
        <v>0</v>
      </c>
      <c r="N356" s="92">
        <v>0</v>
      </c>
      <c r="O356" s="79">
        <v>0</v>
      </c>
      <c r="P356" s="92">
        <v>0</v>
      </c>
      <c r="Q356" s="79">
        <v>0</v>
      </c>
      <c r="R356" s="79">
        <v>0</v>
      </c>
      <c r="S356" s="79">
        <v>0</v>
      </c>
      <c r="T356" s="79">
        <v>0</v>
      </c>
      <c r="U356" s="350"/>
      <c r="V356" s="350"/>
      <c r="W356" s="350"/>
      <c r="X356" s="350"/>
      <c r="Y356" s="350"/>
      <c r="Z356" s="350"/>
      <c r="AA356" s="350"/>
      <c r="AB356" s="350"/>
      <c r="AC356" s="350"/>
      <c r="AD356" s="350"/>
      <c r="AE356" s="350"/>
    </row>
    <row r="357" s="350" customFormat="1" ht="22.5" customHeight="1">
      <c r="A357" s="33">
        <v>8</v>
      </c>
      <c r="B357" s="34" t="s">
        <v>461</v>
      </c>
      <c r="C357" s="158">
        <f t="shared" si="231"/>
        <v>4878003.46</v>
      </c>
      <c r="D357" s="79">
        <f t="shared" si="232"/>
        <v>0</v>
      </c>
      <c r="E357" s="92">
        <v>0</v>
      </c>
      <c r="F357" s="92">
        <v>0</v>
      </c>
      <c r="G357" s="158">
        <v>0</v>
      </c>
      <c r="H357" s="92">
        <v>0</v>
      </c>
      <c r="I357" s="158">
        <v>0</v>
      </c>
      <c r="J357" s="398">
        <v>0</v>
      </c>
      <c r="K357" s="158">
        <v>0</v>
      </c>
      <c r="L357" s="79">
        <v>0</v>
      </c>
      <c r="M357" s="158">
        <v>0</v>
      </c>
      <c r="N357" s="79">
        <v>4878003.46</v>
      </c>
      <c r="O357" s="158">
        <v>0</v>
      </c>
      <c r="P357" s="92">
        <v>0</v>
      </c>
      <c r="Q357" s="158">
        <v>0</v>
      </c>
      <c r="R357" s="79">
        <v>0</v>
      </c>
      <c r="S357" s="158">
        <v>0</v>
      </c>
      <c r="T357" s="79">
        <v>0</v>
      </c>
      <c r="U357" s="54"/>
      <c r="V357" s="54"/>
      <c r="W357" s="54"/>
      <c r="X357" s="54"/>
      <c r="Y357" s="54"/>
      <c r="Z357" s="54"/>
      <c r="AA357" s="54"/>
      <c r="AB357" s="54"/>
      <c r="AC357" s="54"/>
      <c r="AD357" s="54"/>
      <c r="AE357" s="54"/>
      <c r="AF357" s="54"/>
      <c r="AG357" s="54"/>
      <c r="AH357" s="54"/>
      <c r="AI357" s="54"/>
    </row>
    <row r="358" s="350" customFormat="1" ht="22.5" customHeight="1">
      <c r="A358" s="33">
        <v>9</v>
      </c>
      <c r="B358" s="34" t="s">
        <v>462</v>
      </c>
      <c r="C358" s="79">
        <f t="shared" si="231"/>
        <v>4477590.5499999998</v>
      </c>
      <c r="D358" s="79">
        <f t="shared" si="232"/>
        <v>0</v>
      </c>
      <c r="E358" s="92">
        <v>0</v>
      </c>
      <c r="F358" s="92">
        <v>0</v>
      </c>
      <c r="G358" s="79">
        <v>0</v>
      </c>
      <c r="H358" s="92">
        <v>0</v>
      </c>
      <c r="I358" s="79">
        <v>0</v>
      </c>
      <c r="J358" s="398">
        <v>0</v>
      </c>
      <c r="K358" s="92">
        <v>0</v>
      </c>
      <c r="L358" s="92">
        <v>0</v>
      </c>
      <c r="M358" s="79">
        <v>0</v>
      </c>
      <c r="N358" s="79">
        <v>4477590.5499999998</v>
      </c>
      <c r="O358" s="79">
        <v>0</v>
      </c>
      <c r="P358" s="92">
        <v>0</v>
      </c>
      <c r="Q358" s="79">
        <v>0</v>
      </c>
      <c r="R358" s="79">
        <v>0</v>
      </c>
      <c r="S358" s="79">
        <v>0</v>
      </c>
      <c r="T358" s="79">
        <v>0</v>
      </c>
      <c r="U358" s="350"/>
      <c r="V358" s="350"/>
      <c r="W358" s="350"/>
      <c r="X358" s="350"/>
      <c r="Y358" s="350"/>
      <c r="Z358" s="350"/>
      <c r="AA358" s="350"/>
      <c r="AB358" s="350"/>
      <c r="AC358" s="350"/>
      <c r="AD358" s="350"/>
      <c r="AE358" s="350"/>
      <c r="AF358" s="350"/>
      <c r="AG358" s="350"/>
      <c r="AH358" s="350"/>
      <c r="AI358" s="350"/>
    </row>
    <row r="359" s="350" customFormat="1" ht="22.5" customHeight="1">
      <c r="A359" s="33">
        <v>10</v>
      </c>
      <c r="B359" s="34" t="s">
        <v>463</v>
      </c>
      <c r="C359" s="79">
        <f t="shared" si="231"/>
        <v>2272272</v>
      </c>
      <c r="D359" s="79">
        <f t="shared" si="232"/>
        <v>2272272</v>
      </c>
      <c r="E359" s="92">
        <v>0</v>
      </c>
      <c r="F359" s="92">
        <v>1842348</v>
      </c>
      <c r="G359" s="79">
        <v>0</v>
      </c>
      <c r="H359" s="92">
        <v>193474.79999999999</v>
      </c>
      <c r="I359" s="79">
        <v>236449.20000000001</v>
      </c>
      <c r="J359" s="398">
        <v>0</v>
      </c>
      <c r="K359" s="92">
        <v>0</v>
      </c>
      <c r="L359" s="92">
        <v>0</v>
      </c>
      <c r="M359" s="79">
        <v>0</v>
      </c>
      <c r="N359" s="79">
        <v>0</v>
      </c>
      <c r="O359" s="79">
        <v>0</v>
      </c>
      <c r="P359" s="92">
        <v>0</v>
      </c>
      <c r="Q359" s="79">
        <v>0</v>
      </c>
      <c r="R359" s="79">
        <v>0</v>
      </c>
      <c r="S359" s="79">
        <v>0</v>
      </c>
      <c r="T359" s="79">
        <v>0</v>
      </c>
      <c r="U359" s="350"/>
      <c r="V359" s="350"/>
      <c r="W359" s="350"/>
      <c r="X359" s="350"/>
      <c r="Y359" s="350"/>
      <c r="Z359" s="350"/>
      <c r="AA359" s="350"/>
      <c r="AB359" s="350"/>
      <c r="AC359" s="350"/>
      <c r="AD359" s="350"/>
      <c r="AE359" s="350"/>
      <c r="AF359" s="350"/>
      <c r="AG359" s="350"/>
      <c r="AH359" s="350"/>
      <c r="AI359" s="350"/>
    </row>
    <row r="360" s="350" customFormat="1" ht="22.5" customHeight="1">
      <c r="A360" s="61" t="s">
        <v>464</v>
      </c>
      <c r="B360" s="61"/>
      <c r="C360" s="154">
        <f>SUM(C361:C369)</f>
        <v>14154042</v>
      </c>
      <c r="D360" s="154">
        <f>SUM(D361:D369)</f>
        <v>8293085.2400000002</v>
      </c>
      <c r="E360" s="154">
        <f>SUM(E361:E369)</f>
        <v>2227548.0800000001</v>
      </c>
      <c r="F360" s="154">
        <f>SUM(F361:F369)</f>
        <v>2335472.96</v>
      </c>
      <c r="G360" s="154">
        <f>SUM(G361:G369)</f>
        <v>427252.15000000002</v>
      </c>
      <c r="H360" s="154">
        <f>SUM(H361:H369)</f>
        <v>1180861.8299999998</v>
      </c>
      <c r="I360" s="154">
        <f>SUM(I361:I369)</f>
        <v>2121950.2200000002</v>
      </c>
      <c r="J360" s="155">
        <f>SUM(J361:J369)</f>
        <v>0</v>
      </c>
      <c r="K360" s="154">
        <f>SUM(K361:K369)</f>
        <v>0</v>
      </c>
      <c r="L360" s="154">
        <f>SUM(L361:L369)</f>
        <v>4375216.8099999996</v>
      </c>
      <c r="M360" s="154">
        <f>SUM(M361:M369)</f>
        <v>0</v>
      </c>
      <c r="N360" s="154">
        <f>SUM(N361:N369)</f>
        <v>0</v>
      </c>
      <c r="O360" s="154">
        <f>SUM(O361:O369)</f>
        <v>0</v>
      </c>
      <c r="P360" s="154">
        <f>SUM(P361:P369)</f>
        <v>1485739.95</v>
      </c>
      <c r="Q360" s="154">
        <f>SUM(Q361:Q369)</f>
        <v>0</v>
      </c>
      <c r="R360" s="154">
        <f>SUM(R361:R369)</f>
        <v>0</v>
      </c>
      <c r="S360" s="154">
        <f>SUM(S361:S369)</f>
        <v>0</v>
      </c>
      <c r="T360" s="154">
        <f>SUM(T361:T369)</f>
        <v>0</v>
      </c>
      <c r="U360" s="350"/>
      <c r="V360" s="350"/>
      <c r="W360" s="350"/>
      <c r="X360" s="350"/>
      <c r="Y360" s="350"/>
      <c r="Z360" s="350"/>
      <c r="AA360" s="350"/>
      <c r="AB360" s="350"/>
      <c r="AC360" s="350"/>
      <c r="AD360" s="350"/>
      <c r="AE360" s="350"/>
    </row>
    <row r="361" s="350" customFormat="1" ht="22.5" customHeight="1">
      <c r="A361" s="33">
        <v>1</v>
      </c>
      <c r="B361" s="52" t="s">
        <v>1115</v>
      </c>
      <c r="C361" s="79">
        <f t="shared" ref="C361:C369" si="233">D361+K361+L361+M361+N361+O361+P361+Q361+R361+S361+T361</f>
        <v>3095482.1699999999</v>
      </c>
      <c r="D361" s="79">
        <f t="shared" ref="D361:D369" si="234">SUM(E361:I361)</f>
        <v>2674570.1499999999</v>
      </c>
      <c r="E361" s="79">
        <v>0</v>
      </c>
      <c r="F361" s="79">
        <v>1329984.74</v>
      </c>
      <c r="G361" s="79">
        <v>273491.5</v>
      </c>
      <c r="H361" s="79">
        <v>319104.21999999997</v>
      </c>
      <c r="I361" s="79">
        <v>751989.68999999994</v>
      </c>
      <c r="J361" s="398">
        <v>0</v>
      </c>
      <c r="K361" s="79">
        <v>0</v>
      </c>
      <c r="L361" s="92">
        <v>0</v>
      </c>
      <c r="M361" s="79">
        <v>0</v>
      </c>
      <c r="N361" s="92">
        <v>0</v>
      </c>
      <c r="O361" s="79">
        <v>0</v>
      </c>
      <c r="P361" s="92">
        <v>420912.02000000002</v>
      </c>
      <c r="Q361" s="79">
        <v>0</v>
      </c>
      <c r="R361" s="79">
        <v>0</v>
      </c>
      <c r="S361" s="79">
        <v>0</v>
      </c>
      <c r="T361" s="79">
        <v>0</v>
      </c>
      <c r="U361" s="350"/>
      <c r="V361" s="350"/>
      <c r="W361" s="350"/>
      <c r="X361" s="350"/>
      <c r="Y361" s="350"/>
      <c r="Z361" s="350"/>
      <c r="AA361" s="350"/>
      <c r="AB361" s="350"/>
      <c r="AC361" s="350"/>
      <c r="AD361" s="350"/>
      <c r="AE361" s="350"/>
    </row>
    <row r="362" s="350" customFormat="1" ht="22.5" customHeight="1">
      <c r="A362" s="33">
        <v>2</v>
      </c>
      <c r="B362" s="52" t="s">
        <v>1116</v>
      </c>
      <c r="C362" s="79">
        <f t="shared" si="233"/>
        <v>701311.69999999995</v>
      </c>
      <c r="D362" s="79">
        <f t="shared" si="234"/>
        <v>302570.10999999999</v>
      </c>
      <c r="E362" s="79">
        <v>0</v>
      </c>
      <c r="F362" s="79">
        <v>0</v>
      </c>
      <c r="G362" s="79">
        <v>0</v>
      </c>
      <c r="H362" s="79">
        <v>302570.10999999999</v>
      </c>
      <c r="I362" s="79">
        <v>0</v>
      </c>
      <c r="J362" s="398">
        <v>0</v>
      </c>
      <c r="K362" s="79">
        <v>0</v>
      </c>
      <c r="L362" s="79">
        <v>0</v>
      </c>
      <c r="M362" s="79">
        <v>0</v>
      </c>
      <c r="N362" s="79">
        <v>0</v>
      </c>
      <c r="O362" s="79">
        <v>0</v>
      </c>
      <c r="P362" s="92">
        <f>209569.02+189172.57</f>
        <v>398741.58999999997</v>
      </c>
      <c r="Q362" s="79">
        <v>0</v>
      </c>
      <c r="R362" s="79">
        <v>0</v>
      </c>
      <c r="S362" s="79">
        <v>0</v>
      </c>
      <c r="T362" s="79">
        <v>0</v>
      </c>
      <c r="U362" s="350"/>
      <c r="V362" s="350"/>
      <c r="W362" s="350"/>
      <c r="X362" s="350"/>
      <c r="Y362" s="350"/>
      <c r="Z362" s="350"/>
      <c r="AA362" s="350"/>
      <c r="AB362" s="350"/>
      <c r="AC362" s="350"/>
      <c r="AD362" s="350"/>
      <c r="AE362" s="350"/>
    </row>
    <row r="363" s="350" customFormat="1" ht="22.5" customHeight="1">
      <c r="A363" s="33">
        <v>3</v>
      </c>
      <c r="B363" s="52" t="s">
        <v>1117</v>
      </c>
      <c r="C363" s="79">
        <f t="shared" si="233"/>
        <v>210123.73000000001</v>
      </c>
      <c r="D363" s="79">
        <f t="shared" si="234"/>
        <v>0</v>
      </c>
      <c r="E363" s="79">
        <v>0</v>
      </c>
      <c r="F363" s="79">
        <v>0</v>
      </c>
      <c r="G363" s="79">
        <v>0</v>
      </c>
      <c r="H363" s="79">
        <v>0</v>
      </c>
      <c r="I363" s="79">
        <v>0</v>
      </c>
      <c r="J363" s="398">
        <v>0</v>
      </c>
      <c r="K363" s="79">
        <v>0</v>
      </c>
      <c r="L363" s="79">
        <v>0</v>
      </c>
      <c r="M363" s="79">
        <v>0</v>
      </c>
      <c r="N363" s="79">
        <v>0</v>
      </c>
      <c r="O363" s="79">
        <v>0</v>
      </c>
      <c r="P363" s="92">
        <v>210123.73000000001</v>
      </c>
      <c r="Q363" s="79">
        <v>0</v>
      </c>
      <c r="R363" s="79">
        <v>0</v>
      </c>
      <c r="S363" s="79">
        <v>0</v>
      </c>
      <c r="T363" s="79">
        <v>0</v>
      </c>
      <c r="U363" s="350"/>
      <c r="V363" s="350"/>
      <c r="W363" s="350"/>
      <c r="X363" s="350"/>
      <c r="Y363" s="350"/>
      <c r="Z363" s="350"/>
      <c r="AA363" s="350"/>
      <c r="AB363" s="350"/>
      <c r="AC363" s="350"/>
      <c r="AD363" s="350"/>
      <c r="AE363" s="350"/>
    </row>
    <row r="364" s="350" customFormat="1" ht="30" customHeight="1">
      <c r="A364" s="33">
        <v>4</v>
      </c>
      <c r="B364" s="52" t="s">
        <v>1118</v>
      </c>
      <c r="C364" s="79">
        <f t="shared" si="233"/>
        <v>216008.39000000001</v>
      </c>
      <c r="D364" s="79">
        <f t="shared" si="234"/>
        <v>0</v>
      </c>
      <c r="E364" s="79">
        <v>0</v>
      </c>
      <c r="F364" s="79">
        <v>0</v>
      </c>
      <c r="G364" s="79">
        <v>0</v>
      </c>
      <c r="H364" s="79">
        <v>0</v>
      </c>
      <c r="I364" s="79">
        <v>0</v>
      </c>
      <c r="J364" s="398">
        <v>0</v>
      </c>
      <c r="K364" s="79">
        <v>0</v>
      </c>
      <c r="L364" s="79">
        <v>0</v>
      </c>
      <c r="M364" s="79">
        <v>0</v>
      </c>
      <c r="N364" s="79">
        <v>0</v>
      </c>
      <c r="O364" s="79">
        <v>0</v>
      </c>
      <c r="P364" s="92">
        <v>216008.39000000001</v>
      </c>
      <c r="Q364" s="79">
        <v>0</v>
      </c>
      <c r="R364" s="79">
        <v>0</v>
      </c>
      <c r="S364" s="79">
        <v>0</v>
      </c>
      <c r="T364" s="79">
        <v>0</v>
      </c>
      <c r="U364" s="350"/>
      <c r="V364" s="350"/>
      <c r="W364" s="350"/>
      <c r="X364" s="350"/>
      <c r="Y364" s="350"/>
      <c r="Z364" s="350"/>
      <c r="AA364" s="350"/>
      <c r="AB364" s="350"/>
      <c r="AC364" s="350"/>
      <c r="AD364" s="350"/>
      <c r="AE364" s="350"/>
    </row>
    <row r="365" s="350" customFormat="1" ht="22.5" customHeight="1">
      <c r="A365" s="33">
        <v>5</v>
      </c>
      <c r="B365" s="52" t="s">
        <v>469</v>
      </c>
      <c r="C365" s="79">
        <f t="shared" si="233"/>
        <v>1380679.2</v>
      </c>
      <c r="D365" s="79">
        <f t="shared" si="234"/>
        <v>1380679.2</v>
      </c>
      <c r="E365" s="79">
        <v>450394.79999999999</v>
      </c>
      <c r="F365" s="79">
        <v>0</v>
      </c>
      <c r="G365" s="79">
        <v>0</v>
      </c>
      <c r="H365" s="79">
        <v>301996.79999999999</v>
      </c>
      <c r="I365" s="79">
        <v>628287.59999999998</v>
      </c>
      <c r="J365" s="398">
        <v>0</v>
      </c>
      <c r="K365" s="79">
        <v>0</v>
      </c>
      <c r="L365" s="79">
        <v>0</v>
      </c>
      <c r="M365" s="79">
        <v>0</v>
      </c>
      <c r="N365" s="79">
        <v>0</v>
      </c>
      <c r="O365" s="79">
        <v>0</v>
      </c>
      <c r="P365" s="92">
        <v>0</v>
      </c>
      <c r="Q365" s="79">
        <v>0</v>
      </c>
      <c r="R365" s="79">
        <v>0</v>
      </c>
      <c r="S365" s="79">
        <v>0</v>
      </c>
      <c r="T365" s="79">
        <v>0</v>
      </c>
      <c r="U365" s="350"/>
      <c r="V365" s="350"/>
      <c r="W365" s="350"/>
      <c r="X365" s="350"/>
      <c r="Y365" s="350"/>
      <c r="Z365" s="350"/>
      <c r="AA365" s="350"/>
      <c r="AB365" s="350"/>
      <c r="AC365" s="350"/>
      <c r="AD365" s="350"/>
      <c r="AE365" s="350"/>
    </row>
    <row r="366" s="350" customFormat="1" ht="22.5" customHeight="1">
      <c r="A366" s="33">
        <v>6</v>
      </c>
      <c r="B366" s="52" t="s">
        <v>1119</v>
      </c>
      <c r="C366" s="79">
        <f t="shared" si="233"/>
        <v>2421323.9200000004</v>
      </c>
      <c r="D366" s="79">
        <f t="shared" si="234"/>
        <v>2181369.7000000002</v>
      </c>
      <c r="E366" s="79">
        <v>260349.60000000001</v>
      </c>
      <c r="F366" s="79">
        <v>1005488.22</v>
      </c>
      <c r="G366" s="79">
        <v>153760.64999999999</v>
      </c>
      <c r="H366" s="79">
        <v>257190.70000000001</v>
      </c>
      <c r="I366" s="79">
        <v>504580.53000000003</v>
      </c>
      <c r="J366" s="398">
        <v>0</v>
      </c>
      <c r="K366" s="79">
        <v>0</v>
      </c>
      <c r="L366" s="92">
        <v>0</v>
      </c>
      <c r="M366" s="79">
        <v>0</v>
      </c>
      <c r="N366" s="92">
        <v>0</v>
      </c>
      <c r="O366" s="79">
        <v>0</v>
      </c>
      <c r="P366" s="92">
        <v>239954.22</v>
      </c>
      <c r="Q366" s="79">
        <v>0</v>
      </c>
      <c r="R366" s="79">
        <v>0</v>
      </c>
      <c r="S366" s="79">
        <v>0</v>
      </c>
      <c r="T366" s="79">
        <v>0</v>
      </c>
      <c r="U366" s="350"/>
      <c r="V366" s="350"/>
      <c r="W366" s="350"/>
      <c r="X366" s="350"/>
      <c r="Y366" s="350"/>
      <c r="Z366" s="350"/>
      <c r="AA366" s="350"/>
      <c r="AB366" s="350"/>
      <c r="AC366" s="350"/>
      <c r="AD366" s="350"/>
      <c r="AE366" s="350"/>
    </row>
    <row r="367" s="350" customFormat="1" ht="22.5" customHeight="1">
      <c r="A367" s="33">
        <v>7</v>
      </c>
      <c r="B367" s="52" t="s">
        <v>471</v>
      </c>
      <c r="C367" s="79">
        <f t="shared" si="233"/>
        <v>4612309.21</v>
      </c>
      <c r="D367" s="79">
        <f t="shared" si="234"/>
        <v>237092.39999999999</v>
      </c>
      <c r="E367" s="79">
        <v>0</v>
      </c>
      <c r="F367" s="79">
        <v>0</v>
      </c>
      <c r="G367" s="79">
        <v>0</v>
      </c>
      <c r="H367" s="79">
        <v>0</v>
      </c>
      <c r="I367" s="79">
        <v>237092.39999999999</v>
      </c>
      <c r="J367" s="398">
        <v>0</v>
      </c>
      <c r="K367" s="79">
        <v>0</v>
      </c>
      <c r="L367" s="79">
        <v>4375216.8099999996</v>
      </c>
      <c r="M367" s="79">
        <v>0</v>
      </c>
      <c r="N367" s="79">
        <v>0</v>
      </c>
      <c r="O367" s="79">
        <v>0</v>
      </c>
      <c r="P367" s="79">
        <v>0</v>
      </c>
      <c r="Q367" s="79">
        <v>0</v>
      </c>
      <c r="R367" s="79">
        <v>0</v>
      </c>
      <c r="S367" s="79">
        <v>0</v>
      </c>
      <c r="T367" s="79">
        <v>0</v>
      </c>
      <c r="U367" s="350"/>
      <c r="V367" s="350"/>
      <c r="W367" s="350"/>
      <c r="X367" s="350"/>
      <c r="Y367" s="350"/>
      <c r="Z367" s="350"/>
      <c r="AA367" s="350"/>
      <c r="AB367" s="350"/>
      <c r="AC367" s="350"/>
      <c r="AD367" s="350"/>
      <c r="AE367" s="350"/>
    </row>
    <row r="368" s="350" customFormat="1" ht="22.5" customHeight="1">
      <c r="A368" s="33">
        <v>8</v>
      </c>
      <c r="B368" s="52" t="s">
        <v>472</v>
      </c>
      <c r="C368" s="79">
        <f t="shared" si="233"/>
        <v>778401.83999999997</v>
      </c>
      <c r="D368" s="79">
        <f t="shared" si="234"/>
        <v>778401.83999999997</v>
      </c>
      <c r="E368" s="79">
        <v>778401.83999999997</v>
      </c>
      <c r="F368" s="79">
        <v>0</v>
      </c>
      <c r="G368" s="79">
        <v>0</v>
      </c>
      <c r="H368" s="79">
        <v>0</v>
      </c>
      <c r="I368" s="79">
        <v>0</v>
      </c>
      <c r="J368" s="398">
        <v>0</v>
      </c>
      <c r="K368" s="79">
        <v>0</v>
      </c>
      <c r="L368" s="79">
        <v>0</v>
      </c>
      <c r="M368" s="79">
        <v>0</v>
      </c>
      <c r="N368" s="79">
        <v>0</v>
      </c>
      <c r="O368" s="79">
        <v>0</v>
      </c>
      <c r="P368" s="92">
        <v>0</v>
      </c>
      <c r="Q368" s="79">
        <v>0</v>
      </c>
      <c r="R368" s="79">
        <v>0</v>
      </c>
      <c r="S368" s="79">
        <v>0</v>
      </c>
      <c r="T368" s="79">
        <v>0</v>
      </c>
      <c r="U368" s="350"/>
      <c r="V368" s="350"/>
      <c r="W368" s="350"/>
      <c r="X368" s="350"/>
      <c r="Y368" s="350"/>
      <c r="Z368" s="350"/>
      <c r="AA368" s="350"/>
      <c r="AB368" s="350"/>
      <c r="AC368" s="350"/>
      <c r="AD368" s="350"/>
      <c r="AE368" s="350"/>
    </row>
    <row r="369" s="350" customFormat="1" ht="22.5" customHeight="1">
      <c r="A369" s="33">
        <v>9</v>
      </c>
      <c r="B369" s="52" t="s">
        <v>473</v>
      </c>
      <c r="C369" s="79">
        <f t="shared" si="233"/>
        <v>738401.83999999997</v>
      </c>
      <c r="D369" s="79">
        <f t="shared" si="234"/>
        <v>738401.83999999997</v>
      </c>
      <c r="E369" s="79">
        <v>738401.83999999997</v>
      </c>
      <c r="F369" s="79">
        <v>0</v>
      </c>
      <c r="G369" s="79">
        <v>0</v>
      </c>
      <c r="H369" s="79">
        <v>0</v>
      </c>
      <c r="I369" s="79">
        <v>0</v>
      </c>
      <c r="J369" s="398">
        <v>0</v>
      </c>
      <c r="K369" s="79">
        <v>0</v>
      </c>
      <c r="L369" s="79">
        <v>0</v>
      </c>
      <c r="M369" s="79">
        <v>0</v>
      </c>
      <c r="N369" s="79">
        <v>0</v>
      </c>
      <c r="O369" s="79">
        <v>0</v>
      </c>
      <c r="P369" s="92">
        <v>0</v>
      </c>
      <c r="Q369" s="79">
        <v>0</v>
      </c>
      <c r="R369" s="79">
        <v>0</v>
      </c>
      <c r="S369" s="79">
        <v>0</v>
      </c>
      <c r="T369" s="79">
        <v>0</v>
      </c>
      <c r="U369" s="350"/>
      <c r="V369" s="350"/>
      <c r="W369" s="350"/>
      <c r="X369" s="350"/>
      <c r="Y369" s="350"/>
      <c r="Z369" s="350"/>
      <c r="AA369" s="350"/>
      <c r="AB369" s="350"/>
      <c r="AC369" s="350"/>
      <c r="AD369" s="350"/>
      <c r="AE369" s="350"/>
    </row>
    <row r="370" s="350" customFormat="1" ht="29.25" customHeight="1">
      <c r="A370" s="25" t="s">
        <v>474</v>
      </c>
      <c r="B370" s="25"/>
      <c r="C370" s="154">
        <f>C371+C373+C376</f>
        <v>5138679.2799999993</v>
      </c>
      <c r="D370" s="154">
        <f>D371+D373+D376</f>
        <v>4994894.0800000001</v>
      </c>
      <c r="E370" s="154">
        <f>E371+E373+E376</f>
        <v>3298796.4299999997</v>
      </c>
      <c r="F370" s="154">
        <f>F371+F373+F376</f>
        <v>0</v>
      </c>
      <c r="G370" s="154">
        <f>G371+G373+G376</f>
        <v>0</v>
      </c>
      <c r="H370" s="154">
        <f>H371+H373+H376</f>
        <v>553955.02000000002</v>
      </c>
      <c r="I370" s="154">
        <f>I371+I373+I376</f>
        <v>1142142.6299999999</v>
      </c>
      <c r="J370" s="155">
        <f>J371+J373+J376</f>
        <v>0</v>
      </c>
      <c r="K370" s="154">
        <f>K371+K373+K376</f>
        <v>0</v>
      </c>
      <c r="L370" s="154">
        <f>L371+L373+L376</f>
        <v>0</v>
      </c>
      <c r="M370" s="154">
        <f>M371+M373+M376</f>
        <v>0</v>
      </c>
      <c r="N370" s="154">
        <f>N371+N373+N376</f>
        <v>0</v>
      </c>
      <c r="O370" s="154">
        <f>O371+O373+O376</f>
        <v>0</v>
      </c>
      <c r="P370" s="154">
        <f>P371+P373+P376</f>
        <v>143785.20000000001</v>
      </c>
      <c r="Q370" s="154">
        <f>Q371+Q373+Q376</f>
        <v>0</v>
      </c>
      <c r="R370" s="154">
        <f>R371+R373+R376</f>
        <v>0</v>
      </c>
      <c r="S370" s="154">
        <f>S371+S373+S376</f>
        <v>0</v>
      </c>
      <c r="T370" s="154">
        <f>T371+T373+T376</f>
        <v>0</v>
      </c>
      <c r="U370" s="350"/>
      <c r="V370" s="350"/>
      <c r="W370" s="350"/>
      <c r="X370" s="350"/>
      <c r="Y370" s="350"/>
      <c r="Z370" s="350"/>
      <c r="AA370" s="350"/>
      <c r="AB370" s="350"/>
      <c r="AC370" s="350"/>
      <c r="AD370" s="350"/>
      <c r="AE370" s="350"/>
    </row>
    <row r="371" s="350" customFormat="1" ht="22.5" customHeight="1">
      <c r="A371" s="61" t="s">
        <v>475</v>
      </c>
      <c r="B371" s="61"/>
      <c r="C371" s="154">
        <f>C372</f>
        <v>1938929.04</v>
      </c>
      <c r="D371" s="154">
        <f>D372</f>
        <v>1938929.04</v>
      </c>
      <c r="E371" s="154">
        <f>E372</f>
        <v>1938929.04</v>
      </c>
      <c r="F371" s="154">
        <f>F372</f>
        <v>0</v>
      </c>
      <c r="G371" s="154">
        <f>G372</f>
        <v>0</v>
      </c>
      <c r="H371" s="154">
        <f>H372</f>
        <v>0</v>
      </c>
      <c r="I371" s="154">
        <f>I372</f>
        <v>0</v>
      </c>
      <c r="J371" s="155">
        <f>J372</f>
        <v>0</v>
      </c>
      <c r="K371" s="154">
        <f>K372</f>
        <v>0</v>
      </c>
      <c r="L371" s="154">
        <f>L372</f>
        <v>0</v>
      </c>
      <c r="M371" s="154">
        <f>M372</f>
        <v>0</v>
      </c>
      <c r="N371" s="154">
        <f>N372</f>
        <v>0</v>
      </c>
      <c r="O371" s="154">
        <f>O372</f>
        <v>0</v>
      </c>
      <c r="P371" s="154">
        <f>P372</f>
        <v>0</v>
      </c>
      <c r="Q371" s="154">
        <f>Q372</f>
        <v>0</v>
      </c>
      <c r="R371" s="154">
        <f>R372</f>
        <v>0</v>
      </c>
      <c r="S371" s="154">
        <f>S372</f>
        <v>0</v>
      </c>
      <c r="T371" s="154">
        <f>T372</f>
        <v>0</v>
      </c>
      <c r="U371" s="350"/>
      <c r="V371" s="350"/>
      <c r="W371" s="350"/>
      <c r="X371" s="350"/>
      <c r="Y371" s="350"/>
      <c r="Z371" s="350"/>
      <c r="AA371" s="350"/>
      <c r="AB371" s="350"/>
      <c r="AC371" s="350"/>
      <c r="AD371" s="350"/>
      <c r="AE371" s="350"/>
    </row>
    <row r="372" s="350" customFormat="1" ht="22.5" customHeight="1">
      <c r="A372" s="33">
        <v>1</v>
      </c>
      <c r="B372" s="34" t="s">
        <v>476</v>
      </c>
      <c r="C372" s="79">
        <f t="shared" ref="C372:C378" si="235">D372+K372+L372+M372+N372+O372+P372+Q372+R372+S372+T372</f>
        <v>1938929.04</v>
      </c>
      <c r="D372" s="79">
        <f t="shared" ref="D372:D378" si="236">SUM(E372:I372)</f>
        <v>1938929.04</v>
      </c>
      <c r="E372" s="79">
        <v>1938929.04</v>
      </c>
      <c r="F372" s="79">
        <v>0</v>
      </c>
      <c r="G372" s="79">
        <v>0</v>
      </c>
      <c r="H372" s="92">
        <v>0</v>
      </c>
      <c r="I372" s="92">
        <v>0</v>
      </c>
      <c r="J372" s="398">
        <v>0</v>
      </c>
      <c r="K372" s="79">
        <v>0</v>
      </c>
      <c r="L372" s="92">
        <v>0</v>
      </c>
      <c r="M372" s="79">
        <v>0</v>
      </c>
      <c r="N372" s="92">
        <v>0</v>
      </c>
      <c r="O372" s="79">
        <v>0</v>
      </c>
      <c r="P372" s="92">
        <v>0</v>
      </c>
      <c r="Q372" s="79">
        <v>0</v>
      </c>
      <c r="R372" s="79">
        <v>0</v>
      </c>
      <c r="S372" s="79">
        <v>0</v>
      </c>
      <c r="T372" s="79">
        <v>0</v>
      </c>
      <c r="U372" s="350"/>
      <c r="V372" s="350"/>
      <c r="W372" s="350"/>
      <c r="X372" s="350"/>
      <c r="Y372" s="350"/>
      <c r="Z372" s="350"/>
      <c r="AA372" s="350"/>
      <c r="AB372" s="350"/>
      <c r="AC372" s="350"/>
      <c r="AD372" s="350"/>
      <c r="AE372" s="350"/>
    </row>
    <row r="373" s="350" customFormat="1" ht="22.5" customHeight="1">
      <c r="A373" s="61" t="s">
        <v>478</v>
      </c>
      <c r="B373" s="61"/>
      <c r="C373" s="154">
        <f>SUM(C374:C375)</f>
        <v>1696097.6499999999</v>
      </c>
      <c r="D373" s="154">
        <f>SUM(D374:D375)</f>
        <v>1696097.6499999999</v>
      </c>
      <c r="E373" s="154">
        <f>SUM(E374:E375)</f>
        <v>0</v>
      </c>
      <c r="F373" s="154">
        <f>SUM(F374:F375)</f>
        <v>0</v>
      </c>
      <c r="G373" s="154">
        <f>SUM(G374:G375)</f>
        <v>0</v>
      </c>
      <c r="H373" s="154">
        <f>SUM(H374:H375)</f>
        <v>553955.02000000002</v>
      </c>
      <c r="I373" s="154">
        <f>SUM(I374:I375)</f>
        <v>1142142.6299999999</v>
      </c>
      <c r="J373" s="155">
        <f>SUM(J374:J375)</f>
        <v>0</v>
      </c>
      <c r="K373" s="154">
        <f>SUM(K374:K375)</f>
        <v>0</v>
      </c>
      <c r="L373" s="154">
        <f>SUM(L374:L375)</f>
        <v>0</v>
      </c>
      <c r="M373" s="154">
        <f>SUM(M374:M375)</f>
        <v>0</v>
      </c>
      <c r="N373" s="154">
        <f>SUM(N374:N375)</f>
        <v>0</v>
      </c>
      <c r="O373" s="154">
        <f>SUM(O374:O375)</f>
        <v>0</v>
      </c>
      <c r="P373" s="154">
        <f>SUM(P374:P375)</f>
        <v>0</v>
      </c>
      <c r="Q373" s="154">
        <f>SUM(Q374:Q375)</f>
        <v>0</v>
      </c>
      <c r="R373" s="154">
        <f>SUM(R374:R375)</f>
        <v>0</v>
      </c>
      <c r="S373" s="154">
        <f>SUM(S374:S375)</f>
        <v>0</v>
      </c>
      <c r="T373" s="154">
        <f>SUM(T374:T375)</f>
        <v>0</v>
      </c>
      <c r="U373" s="350"/>
      <c r="V373" s="350"/>
      <c r="W373" s="350"/>
      <c r="X373" s="350"/>
      <c r="Y373" s="350"/>
      <c r="Z373" s="350"/>
      <c r="AA373" s="350"/>
      <c r="AB373" s="350"/>
      <c r="AC373" s="350"/>
      <c r="AD373" s="350"/>
      <c r="AE373" s="350"/>
    </row>
    <row r="374" s="350" customFormat="1" ht="22.5" customHeight="1">
      <c r="A374" s="33">
        <v>1</v>
      </c>
      <c r="B374" s="50" t="s">
        <v>479</v>
      </c>
      <c r="C374" s="158">
        <f>D374+K374+L374+M374+N374+O374+P374+Q374+R374+S374+T374</f>
        <v>830748.84999999998</v>
      </c>
      <c r="D374" s="79">
        <f>SUM(E374:I374)</f>
        <v>830748.84999999998</v>
      </c>
      <c r="E374" s="92">
        <v>0</v>
      </c>
      <c r="F374" s="92">
        <v>0</v>
      </c>
      <c r="G374" s="92">
        <v>0</v>
      </c>
      <c r="H374" s="92">
        <v>256560.22</v>
      </c>
      <c r="I374" s="92">
        <v>574188.63</v>
      </c>
      <c r="J374" s="401">
        <v>0</v>
      </c>
      <c r="K374" s="158">
        <v>0</v>
      </c>
      <c r="L374" s="79">
        <v>0</v>
      </c>
      <c r="M374" s="158">
        <v>0</v>
      </c>
      <c r="N374" s="79">
        <v>0</v>
      </c>
      <c r="O374" s="158">
        <v>0</v>
      </c>
      <c r="P374" s="92">
        <v>0</v>
      </c>
      <c r="Q374" s="158">
        <v>0</v>
      </c>
      <c r="R374" s="79">
        <v>0</v>
      </c>
      <c r="S374" s="158">
        <v>0</v>
      </c>
      <c r="T374" s="79">
        <v>0</v>
      </c>
      <c r="U374" s="54"/>
      <c r="V374" s="54"/>
      <c r="W374" s="54"/>
      <c r="X374" s="54"/>
      <c r="Y374" s="54"/>
      <c r="Z374" s="54"/>
      <c r="AA374" s="54"/>
      <c r="AB374" s="54"/>
      <c r="AC374" s="54"/>
      <c r="AD374" s="54"/>
      <c r="AE374" s="54"/>
    </row>
    <row r="375" s="350" customFormat="1" ht="22.5" customHeight="1">
      <c r="A375" s="33">
        <v>2</v>
      </c>
      <c r="B375" s="50" t="s">
        <v>1120</v>
      </c>
      <c r="C375" s="79">
        <f t="shared" si="235"/>
        <v>865348.80000000005</v>
      </c>
      <c r="D375" s="79">
        <f t="shared" si="236"/>
        <v>865348.80000000005</v>
      </c>
      <c r="E375" s="79">
        <v>0</v>
      </c>
      <c r="F375" s="79">
        <v>0</v>
      </c>
      <c r="G375" s="79">
        <v>0</v>
      </c>
      <c r="H375" s="79">
        <v>297394.79999999999</v>
      </c>
      <c r="I375" s="79">
        <v>567954</v>
      </c>
      <c r="J375" s="398">
        <v>0</v>
      </c>
      <c r="K375" s="79">
        <v>0</v>
      </c>
      <c r="L375" s="92">
        <v>0</v>
      </c>
      <c r="M375" s="79">
        <v>0</v>
      </c>
      <c r="N375" s="92">
        <v>0</v>
      </c>
      <c r="O375" s="79">
        <v>0</v>
      </c>
      <c r="P375" s="92">
        <v>0</v>
      </c>
      <c r="Q375" s="79">
        <v>0</v>
      </c>
      <c r="R375" s="79">
        <v>0</v>
      </c>
      <c r="S375" s="79">
        <v>0</v>
      </c>
      <c r="T375" s="79">
        <v>0</v>
      </c>
      <c r="U375" s="350"/>
      <c r="V375" s="350"/>
      <c r="W375" s="350"/>
      <c r="X375" s="350"/>
      <c r="Y375" s="350"/>
      <c r="Z375" s="350"/>
      <c r="AA375" s="350"/>
      <c r="AB375" s="350"/>
      <c r="AC375" s="350"/>
      <c r="AD375" s="350"/>
      <c r="AE375" s="350"/>
    </row>
    <row r="376" s="350" customFormat="1" ht="22.5" customHeight="1">
      <c r="A376" s="61" t="s">
        <v>481</v>
      </c>
      <c r="B376" s="61"/>
      <c r="C376" s="154">
        <f>SUM(C377:C378)</f>
        <v>1503652.5899999999</v>
      </c>
      <c r="D376" s="154">
        <f>SUM(D377:D378)</f>
        <v>1359867.3899999999</v>
      </c>
      <c r="E376" s="154">
        <f>SUM(E377:E378)</f>
        <v>1359867.3899999999</v>
      </c>
      <c r="F376" s="154">
        <f>SUM(F377:F378)</f>
        <v>0</v>
      </c>
      <c r="G376" s="154">
        <f>SUM(G377:G378)</f>
        <v>0</v>
      </c>
      <c r="H376" s="154">
        <f>SUM(H377:H378)</f>
        <v>0</v>
      </c>
      <c r="I376" s="154">
        <f>SUM(I377:I378)</f>
        <v>0</v>
      </c>
      <c r="J376" s="155">
        <f>SUM(J377:J378)</f>
        <v>0</v>
      </c>
      <c r="K376" s="154">
        <f>SUM(K377:K378)</f>
        <v>0</v>
      </c>
      <c r="L376" s="154">
        <f>SUM(L377:L378)</f>
        <v>0</v>
      </c>
      <c r="M376" s="154">
        <f>SUM(M377:M378)</f>
        <v>0</v>
      </c>
      <c r="N376" s="154">
        <f>SUM(N377:N378)</f>
        <v>0</v>
      </c>
      <c r="O376" s="154">
        <f>SUM(O377:O378)</f>
        <v>0</v>
      </c>
      <c r="P376" s="154">
        <f>SUM(P377:P378)</f>
        <v>143785.20000000001</v>
      </c>
      <c r="Q376" s="154">
        <f>SUM(Q377:Q378)</f>
        <v>0</v>
      </c>
      <c r="R376" s="154">
        <f>SUM(R377:R378)</f>
        <v>0</v>
      </c>
      <c r="S376" s="154">
        <f>SUM(S377:S378)</f>
        <v>0</v>
      </c>
      <c r="T376" s="154">
        <f>SUM(T377:T378)</f>
        <v>0</v>
      </c>
      <c r="U376" s="350"/>
      <c r="V376" s="350"/>
      <c r="W376" s="350"/>
      <c r="X376" s="350"/>
      <c r="Y376" s="350"/>
      <c r="Z376" s="350"/>
      <c r="AA376" s="350"/>
      <c r="AB376" s="350"/>
      <c r="AC376" s="350"/>
      <c r="AD376" s="350"/>
      <c r="AE376" s="350"/>
    </row>
    <row r="377" s="350" customFormat="1" ht="22.5" customHeight="1">
      <c r="A377" s="33">
        <v>1</v>
      </c>
      <c r="B377" s="98" t="s">
        <v>1121</v>
      </c>
      <c r="C377" s="79">
        <f t="shared" si="235"/>
        <v>143785.20000000001</v>
      </c>
      <c r="D377" s="79">
        <f t="shared" si="236"/>
        <v>0</v>
      </c>
      <c r="E377" s="92">
        <v>0</v>
      </c>
      <c r="F377" s="92">
        <v>0</v>
      </c>
      <c r="G377" s="79">
        <v>0</v>
      </c>
      <c r="H377" s="92">
        <v>0</v>
      </c>
      <c r="I377" s="79">
        <v>0</v>
      </c>
      <c r="J377" s="398">
        <v>0</v>
      </c>
      <c r="K377" s="79">
        <v>0</v>
      </c>
      <c r="L377" s="79">
        <v>0</v>
      </c>
      <c r="M377" s="79">
        <v>0</v>
      </c>
      <c r="N377" s="79">
        <v>0</v>
      </c>
      <c r="O377" s="79">
        <v>0</v>
      </c>
      <c r="P377" s="92">
        <v>143785.20000000001</v>
      </c>
      <c r="Q377" s="79">
        <v>0</v>
      </c>
      <c r="R377" s="79">
        <v>0</v>
      </c>
      <c r="S377" s="79">
        <v>0</v>
      </c>
      <c r="T377" s="79">
        <v>0</v>
      </c>
      <c r="U377" s="350"/>
      <c r="V377" s="350"/>
      <c r="W377" s="350"/>
      <c r="X377" s="350"/>
      <c r="Y377" s="350"/>
      <c r="Z377" s="350"/>
      <c r="AA377" s="350"/>
      <c r="AB377" s="350"/>
      <c r="AC377" s="350"/>
      <c r="AD377" s="350"/>
      <c r="AE377" s="350"/>
    </row>
    <row r="378" s="350" customFormat="1" ht="22.5" customHeight="1">
      <c r="A378" s="33">
        <v>2</v>
      </c>
      <c r="B378" s="50" t="s">
        <v>483</v>
      </c>
      <c r="C378" s="158">
        <f t="shared" si="235"/>
        <v>1359867.3899999999</v>
      </c>
      <c r="D378" s="79">
        <f t="shared" si="236"/>
        <v>1359867.3899999999</v>
      </c>
      <c r="E378" s="92">
        <v>1359867.3899999999</v>
      </c>
      <c r="F378" s="158">
        <v>0</v>
      </c>
      <c r="G378" s="79">
        <v>0</v>
      </c>
      <c r="H378" s="92">
        <v>0</v>
      </c>
      <c r="I378" s="158">
        <v>0</v>
      </c>
      <c r="J378" s="398">
        <v>0</v>
      </c>
      <c r="K378" s="158">
        <v>0</v>
      </c>
      <c r="L378" s="79">
        <v>0</v>
      </c>
      <c r="M378" s="158">
        <v>0</v>
      </c>
      <c r="N378" s="79">
        <v>0</v>
      </c>
      <c r="O378" s="158">
        <v>0</v>
      </c>
      <c r="P378" s="79">
        <v>0</v>
      </c>
      <c r="Q378" s="158">
        <v>0</v>
      </c>
      <c r="R378" s="56">
        <v>0</v>
      </c>
      <c r="S378" s="158">
        <v>0</v>
      </c>
      <c r="T378" s="79">
        <v>0</v>
      </c>
      <c r="U378" s="54"/>
      <c r="V378" s="54"/>
      <c r="W378" s="54"/>
      <c r="X378" s="54"/>
      <c r="Y378" s="54"/>
      <c r="Z378" s="54"/>
      <c r="AA378" s="54"/>
      <c r="AB378" s="54"/>
      <c r="AC378" s="54"/>
      <c r="AD378" s="54"/>
      <c r="AE378" s="54"/>
    </row>
    <row r="379" s="350" customFormat="1" ht="22.5" customHeight="1">
      <c r="A379" s="25" t="s">
        <v>484</v>
      </c>
      <c r="B379" s="25"/>
      <c r="C379" s="154">
        <f>SUM(C380:C381)</f>
        <v>1845810.1700000002</v>
      </c>
      <c r="D379" s="154">
        <f>SUM(D380:D381)</f>
        <v>1589399.9300000002</v>
      </c>
      <c r="E379" s="154">
        <f>SUM(E380:E381)</f>
        <v>501439.20000000001</v>
      </c>
      <c r="F379" s="154">
        <f>SUM(F380:F381)</f>
        <v>0</v>
      </c>
      <c r="G379" s="154">
        <f>SUM(G380:G381)</f>
        <v>0</v>
      </c>
      <c r="H379" s="154">
        <f>SUM(H380:H381)</f>
        <v>348349.19</v>
      </c>
      <c r="I379" s="154">
        <f>SUM(I380:I381)</f>
        <v>739611.54000000004</v>
      </c>
      <c r="J379" s="155">
        <f>SUM(J380:J381)</f>
        <v>0</v>
      </c>
      <c r="K379" s="154">
        <f>SUM(K380:K381)</f>
        <v>0</v>
      </c>
      <c r="L379" s="154">
        <f>SUM(L380:L381)</f>
        <v>0</v>
      </c>
      <c r="M379" s="154">
        <f>SUM(M380:M381)</f>
        <v>0</v>
      </c>
      <c r="N379" s="154">
        <f>SUM(N380:N381)</f>
        <v>0</v>
      </c>
      <c r="O379" s="154">
        <f>SUM(O380:O381)</f>
        <v>0</v>
      </c>
      <c r="P379" s="154">
        <f>SUM(P380:P381)</f>
        <v>256410.23999999999</v>
      </c>
      <c r="Q379" s="154">
        <f>SUM(Q380:Q381)</f>
        <v>0</v>
      </c>
      <c r="R379" s="154">
        <f>SUM(R380:R381)</f>
        <v>0</v>
      </c>
      <c r="S379" s="154">
        <f>SUM(S380:S381)</f>
        <v>0</v>
      </c>
      <c r="T379" s="154">
        <f>SUM(T380:T381)</f>
        <v>0</v>
      </c>
      <c r="U379" s="350"/>
      <c r="V379" s="350"/>
      <c r="W379" s="350"/>
      <c r="X379" s="350"/>
      <c r="Y379" s="350"/>
      <c r="Z379" s="350"/>
      <c r="AA379" s="350"/>
      <c r="AB379" s="350"/>
      <c r="AC379" s="350"/>
      <c r="AD379" s="350"/>
      <c r="AE379" s="350"/>
    </row>
    <row r="380" s="350" customFormat="1" ht="22.5" customHeight="1">
      <c r="A380" s="33">
        <v>1</v>
      </c>
      <c r="B380" s="50" t="s">
        <v>1122</v>
      </c>
      <c r="C380" s="79">
        <f t="shared" ref="C380:C381" si="237">D380+K380+L380+M380+N380+O380+P380+Q380+R380+S380+T380</f>
        <v>256410.23999999999</v>
      </c>
      <c r="D380" s="79">
        <f t="shared" ref="D380:D381" si="238">SUM(E380:I380)</f>
        <v>0</v>
      </c>
      <c r="E380" s="79">
        <v>0</v>
      </c>
      <c r="F380" s="79">
        <v>0</v>
      </c>
      <c r="G380" s="79">
        <v>0</v>
      </c>
      <c r="H380" s="79">
        <v>0</v>
      </c>
      <c r="I380" s="79">
        <v>0</v>
      </c>
      <c r="J380" s="398">
        <v>0</v>
      </c>
      <c r="K380" s="79">
        <v>0</v>
      </c>
      <c r="L380" s="92">
        <v>0</v>
      </c>
      <c r="M380" s="79">
        <v>0</v>
      </c>
      <c r="N380" s="92">
        <v>0</v>
      </c>
      <c r="O380" s="79">
        <v>0</v>
      </c>
      <c r="P380" s="92">
        <v>256410.23999999999</v>
      </c>
      <c r="Q380" s="79">
        <v>0</v>
      </c>
      <c r="R380" s="79">
        <v>0</v>
      </c>
      <c r="S380" s="79">
        <v>0</v>
      </c>
      <c r="T380" s="79">
        <v>0</v>
      </c>
      <c r="U380" s="350"/>
      <c r="V380" s="350"/>
      <c r="W380" s="350"/>
      <c r="X380" s="350"/>
      <c r="Y380" s="350"/>
      <c r="Z380" s="350"/>
      <c r="AA380" s="350"/>
      <c r="AB380" s="350"/>
      <c r="AC380" s="350"/>
      <c r="AD380" s="350"/>
      <c r="AE380" s="350"/>
    </row>
    <row r="381" s="350" customFormat="1" ht="22.5" customHeight="1">
      <c r="A381" s="33">
        <v>2</v>
      </c>
      <c r="B381" s="50" t="s">
        <v>486</v>
      </c>
      <c r="C381" s="79">
        <f t="shared" si="237"/>
        <v>1589399.9300000002</v>
      </c>
      <c r="D381" s="79">
        <f t="shared" si="238"/>
        <v>1589399.9300000002</v>
      </c>
      <c r="E381" s="79">
        <v>501439.20000000001</v>
      </c>
      <c r="F381" s="79">
        <v>0</v>
      </c>
      <c r="G381" s="79">
        <v>0</v>
      </c>
      <c r="H381" s="79">
        <v>348349.19</v>
      </c>
      <c r="I381" s="79">
        <v>739611.54000000004</v>
      </c>
      <c r="J381" s="398">
        <v>0</v>
      </c>
      <c r="K381" s="79">
        <v>0</v>
      </c>
      <c r="L381" s="92">
        <v>0</v>
      </c>
      <c r="M381" s="79">
        <v>0</v>
      </c>
      <c r="N381" s="92">
        <v>0</v>
      </c>
      <c r="O381" s="79">
        <v>0</v>
      </c>
      <c r="P381" s="92">
        <v>0</v>
      </c>
      <c r="Q381" s="79">
        <v>0</v>
      </c>
      <c r="R381" s="79">
        <v>0</v>
      </c>
      <c r="S381" s="79">
        <v>0</v>
      </c>
      <c r="T381" s="79">
        <v>0</v>
      </c>
      <c r="U381" s="350"/>
      <c r="V381" s="350"/>
      <c r="W381" s="350"/>
      <c r="X381" s="350"/>
      <c r="Y381" s="350"/>
      <c r="Z381" s="350"/>
      <c r="AA381" s="350"/>
      <c r="AB381" s="350"/>
      <c r="AC381" s="350"/>
      <c r="AD381" s="350"/>
      <c r="AE381" s="350"/>
    </row>
    <row r="382" s="350" customFormat="1" ht="22.5" customHeight="1">
      <c r="A382" s="61" t="s">
        <v>487</v>
      </c>
      <c r="B382" s="61"/>
      <c r="C382" s="154">
        <f>SUM(C383:C387)</f>
        <v>7888827.0300000003</v>
      </c>
      <c r="D382" s="154">
        <f>SUM(D383:D387)</f>
        <v>7482098.1500000004</v>
      </c>
      <c r="E382" s="154">
        <f>SUM(E383:E387)</f>
        <v>1346160</v>
      </c>
      <c r="F382" s="154">
        <f>SUM(F383:F387)</f>
        <v>4167634.5899999999</v>
      </c>
      <c r="G382" s="154">
        <f>SUM(G383:G387)</f>
        <v>389342.40000000002</v>
      </c>
      <c r="H382" s="154">
        <f>SUM(H383:H387)</f>
        <v>1086285.5600000001</v>
      </c>
      <c r="I382" s="154">
        <f>SUM(I383:I387)</f>
        <v>492675.59999999998</v>
      </c>
      <c r="J382" s="155">
        <f>SUM(J383:J387)</f>
        <v>0</v>
      </c>
      <c r="K382" s="154">
        <f>SUM(K383:K387)</f>
        <v>0</v>
      </c>
      <c r="L382" s="154">
        <f>SUM(L383:L387)</f>
        <v>0</v>
      </c>
      <c r="M382" s="154">
        <f>SUM(M383:M387)</f>
        <v>0</v>
      </c>
      <c r="N382" s="154">
        <f>SUM(N383:N387)</f>
        <v>0</v>
      </c>
      <c r="O382" s="154">
        <f>SUM(O383:O387)</f>
        <v>0</v>
      </c>
      <c r="P382" s="154">
        <f>SUM(P383:P387)</f>
        <v>406728.88</v>
      </c>
      <c r="Q382" s="154">
        <f>SUM(Q383:Q387)</f>
        <v>0</v>
      </c>
      <c r="R382" s="154">
        <f>SUM(R383:R387)</f>
        <v>0</v>
      </c>
      <c r="S382" s="154">
        <f>SUM(S383:S387)</f>
        <v>0</v>
      </c>
      <c r="T382" s="154">
        <f>SUM(T383:T387)</f>
        <v>0</v>
      </c>
      <c r="U382" s="350"/>
      <c r="V382" s="350"/>
      <c r="W382" s="350"/>
      <c r="X382" s="350"/>
      <c r="Y382" s="350"/>
      <c r="Z382" s="350"/>
      <c r="AA382" s="350"/>
      <c r="AB382" s="350"/>
      <c r="AC382" s="350"/>
      <c r="AD382" s="350"/>
      <c r="AE382" s="350"/>
    </row>
    <row r="383" s="350" customFormat="1" ht="22.5" customHeight="1">
      <c r="A383" s="33">
        <v>1</v>
      </c>
      <c r="B383" s="50" t="s">
        <v>1123</v>
      </c>
      <c r="C383" s="79">
        <f t="shared" ref="C383:C387" si="239">D383+K383+L383+M383+N383+O383+P383+Q383+R383+S383+T383</f>
        <v>6802541.4699999997</v>
      </c>
      <c r="D383" s="79">
        <f t="shared" ref="D383:D387" si="240">SUM(E383:I383)</f>
        <v>6395812.5899999999</v>
      </c>
      <c r="E383" s="92">
        <v>1346160</v>
      </c>
      <c r="F383" s="79">
        <v>4167634.5899999999</v>
      </c>
      <c r="G383" s="79">
        <v>389342.40000000002</v>
      </c>
      <c r="H383" s="79">
        <v>0</v>
      </c>
      <c r="I383" s="92">
        <v>492675.59999999998</v>
      </c>
      <c r="J383" s="398">
        <v>0</v>
      </c>
      <c r="K383" s="79">
        <v>0</v>
      </c>
      <c r="L383" s="92">
        <v>0</v>
      </c>
      <c r="M383" s="79">
        <v>0</v>
      </c>
      <c r="N383" s="92">
        <v>0</v>
      </c>
      <c r="O383" s="79">
        <v>0</v>
      </c>
      <c r="P383" s="92">
        <f>148109.42+258619.46</f>
        <v>406728.88</v>
      </c>
      <c r="Q383" s="79">
        <v>0</v>
      </c>
      <c r="R383" s="79">
        <v>0</v>
      </c>
      <c r="S383" s="79">
        <v>0</v>
      </c>
      <c r="T383" s="79">
        <v>0</v>
      </c>
      <c r="U383" s="350"/>
      <c r="V383" s="350"/>
      <c r="W383" s="350"/>
      <c r="X383" s="350"/>
      <c r="Y383" s="350"/>
      <c r="Z383" s="350"/>
      <c r="AA383" s="350"/>
      <c r="AB383" s="350"/>
      <c r="AC383" s="350"/>
      <c r="AD383" s="350"/>
      <c r="AE383" s="350"/>
    </row>
    <row r="384" s="350" customFormat="1" ht="22.5" customHeight="1">
      <c r="A384" s="33">
        <v>2</v>
      </c>
      <c r="B384" s="50" t="s">
        <v>489</v>
      </c>
      <c r="C384" s="400">
        <f t="shared" si="239"/>
        <v>358384.53999999998</v>
      </c>
      <c r="D384" s="158">
        <f t="shared" si="240"/>
        <v>358384.53999999998</v>
      </c>
      <c r="E384" s="400">
        <v>0</v>
      </c>
      <c r="F384" s="92">
        <v>0</v>
      </c>
      <c r="G384" s="92">
        <v>0</v>
      </c>
      <c r="H384" s="400">
        <v>358384.53999999998</v>
      </c>
      <c r="I384" s="92">
        <v>0</v>
      </c>
      <c r="J384" s="402">
        <v>0</v>
      </c>
      <c r="K384" s="158">
        <v>0</v>
      </c>
      <c r="L384" s="92">
        <v>0</v>
      </c>
      <c r="M384" s="400">
        <v>0</v>
      </c>
      <c r="N384" s="158">
        <v>0</v>
      </c>
      <c r="O384" s="400">
        <v>0</v>
      </c>
      <c r="P384" s="92">
        <v>0</v>
      </c>
      <c r="Q384" s="400">
        <v>0</v>
      </c>
      <c r="R384" s="58">
        <v>0</v>
      </c>
      <c r="S384" s="400">
        <v>0</v>
      </c>
      <c r="T384" s="79">
        <v>0</v>
      </c>
      <c r="U384" s="54"/>
      <c r="V384" s="54"/>
      <c r="W384" s="54"/>
      <c r="X384" s="54"/>
      <c r="Y384" s="54"/>
      <c r="Z384" s="54"/>
      <c r="AA384" s="54"/>
      <c r="AB384" s="54"/>
      <c r="AC384" s="54"/>
      <c r="AD384" s="54"/>
      <c r="AE384" s="54"/>
    </row>
    <row r="385" s="350" customFormat="1" ht="22.5" customHeight="1">
      <c r="A385" s="33">
        <v>3</v>
      </c>
      <c r="B385" s="50" t="s">
        <v>490</v>
      </c>
      <c r="C385" s="79">
        <f t="shared" si="239"/>
        <v>208075.54000000001</v>
      </c>
      <c r="D385" s="79">
        <f t="shared" si="240"/>
        <v>208075.54000000001</v>
      </c>
      <c r="E385" s="79">
        <v>0</v>
      </c>
      <c r="F385" s="158">
        <v>0</v>
      </c>
      <c r="G385" s="79">
        <v>0</v>
      </c>
      <c r="H385" s="92">
        <v>208075.54000000001</v>
      </c>
      <c r="I385" s="158">
        <v>0</v>
      </c>
      <c r="J385" s="398">
        <v>0</v>
      </c>
      <c r="K385" s="79">
        <v>0</v>
      </c>
      <c r="L385" s="158">
        <v>0</v>
      </c>
      <c r="M385" s="79">
        <v>0</v>
      </c>
      <c r="N385" s="79">
        <v>0</v>
      </c>
      <c r="O385" s="79">
        <v>0</v>
      </c>
      <c r="P385" s="92">
        <v>0</v>
      </c>
      <c r="Q385" s="79">
        <v>0</v>
      </c>
      <c r="R385" s="56">
        <v>0</v>
      </c>
      <c r="S385" s="79">
        <v>0</v>
      </c>
      <c r="T385" s="79">
        <v>0</v>
      </c>
      <c r="U385" s="54"/>
      <c r="V385" s="54"/>
      <c r="W385" s="54"/>
      <c r="X385" s="54"/>
      <c r="Y385" s="54"/>
      <c r="Z385" s="54"/>
      <c r="AA385" s="54"/>
      <c r="AB385" s="54"/>
      <c r="AC385" s="54"/>
      <c r="AD385" s="54"/>
      <c r="AE385" s="54"/>
    </row>
    <row r="386" s="350" customFormat="1" ht="22.5" customHeight="1">
      <c r="A386" s="33">
        <v>4</v>
      </c>
      <c r="B386" s="50" t="s">
        <v>491</v>
      </c>
      <c r="C386" s="79">
        <f t="shared" si="239"/>
        <v>259912.73999999999</v>
      </c>
      <c r="D386" s="79">
        <f t="shared" si="240"/>
        <v>259912.73999999999</v>
      </c>
      <c r="E386" s="79">
        <v>0</v>
      </c>
      <c r="F386" s="79">
        <v>0</v>
      </c>
      <c r="G386" s="158">
        <v>0</v>
      </c>
      <c r="H386" s="92">
        <v>259912.73999999999</v>
      </c>
      <c r="I386" s="79">
        <v>0</v>
      </c>
      <c r="J386" s="398">
        <v>0</v>
      </c>
      <c r="K386" s="79">
        <v>0</v>
      </c>
      <c r="L386" s="79">
        <v>0</v>
      </c>
      <c r="M386" s="79">
        <v>0</v>
      </c>
      <c r="N386" s="79">
        <v>0</v>
      </c>
      <c r="O386" s="79">
        <v>0</v>
      </c>
      <c r="P386" s="158">
        <v>0</v>
      </c>
      <c r="Q386" s="79">
        <v>0</v>
      </c>
      <c r="R386" s="79">
        <v>0</v>
      </c>
      <c r="S386" s="79">
        <v>0</v>
      </c>
      <c r="T386" s="79">
        <v>0</v>
      </c>
      <c r="U386" s="54"/>
      <c r="V386" s="54"/>
      <c r="W386" s="54"/>
      <c r="X386" s="54"/>
      <c r="Y386" s="54"/>
      <c r="Z386" s="54"/>
      <c r="AA386" s="54"/>
      <c r="AB386" s="54"/>
      <c r="AC386" s="54"/>
      <c r="AD386" s="54"/>
      <c r="AE386" s="54"/>
    </row>
    <row r="387" s="350" customFormat="1" ht="22.5" customHeight="1">
      <c r="A387" s="33">
        <v>5</v>
      </c>
      <c r="B387" s="50" t="s">
        <v>492</v>
      </c>
      <c r="C387" s="79">
        <f t="shared" si="239"/>
        <v>259912.73999999999</v>
      </c>
      <c r="D387" s="79">
        <f t="shared" si="240"/>
        <v>259912.73999999999</v>
      </c>
      <c r="E387" s="79">
        <v>0</v>
      </c>
      <c r="F387" s="158">
        <v>0</v>
      </c>
      <c r="G387" s="79">
        <v>0</v>
      </c>
      <c r="H387" s="92">
        <v>259912.73999999999</v>
      </c>
      <c r="I387" s="158">
        <v>0</v>
      </c>
      <c r="J387" s="398">
        <v>0</v>
      </c>
      <c r="K387" s="79">
        <v>0</v>
      </c>
      <c r="L387" s="158">
        <v>0</v>
      </c>
      <c r="M387" s="79">
        <v>0</v>
      </c>
      <c r="N387" s="79">
        <v>0</v>
      </c>
      <c r="O387" s="79">
        <v>0</v>
      </c>
      <c r="P387" s="79">
        <v>0</v>
      </c>
      <c r="Q387" s="79">
        <v>0</v>
      </c>
      <c r="R387" s="79">
        <v>0</v>
      </c>
      <c r="S387" s="79">
        <v>0</v>
      </c>
      <c r="T387" s="79">
        <v>0</v>
      </c>
      <c r="U387" s="54"/>
      <c r="V387" s="54"/>
      <c r="W387" s="54"/>
      <c r="X387" s="54"/>
      <c r="Y387" s="54"/>
      <c r="Z387" s="54"/>
      <c r="AA387" s="54"/>
      <c r="AB387" s="54"/>
      <c r="AC387" s="54"/>
      <c r="AD387" s="54"/>
      <c r="AE387" s="54"/>
    </row>
    <row r="388" s="350" customFormat="1" ht="22.5" customHeight="1">
      <c r="A388" s="61" t="s">
        <v>493</v>
      </c>
      <c r="B388" s="61"/>
      <c r="C388" s="154">
        <f>SUM(C389:C394)</f>
        <v>6915654.7000000002</v>
      </c>
      <c r="D388" s="154">
        <f>SUM(D389:D394)</f>
        <v>4531672.8100000005</v>
      </c>
      <c r="E388" s="154">
        <f>SUM(E389:E394)</f>
        <v>1871107.2000000002</v>
      </c>
      <c r="F388" s="154">
        <f>SUM(F389:F394)</f>
        <v>0</v>
      </c>
      <c r="G388" s="154">
        <f>SUM(G389:G394)</f>
        <v>574928.40000000002</v>
      </c>
      <c r="H388" s="154">
        <f>SUM(H389:H394)</f>
        <v>966734.40999999992</v>
      </c>
      <c r="I388" s="154">
        <f>SUM(I389:I394)</f>
        <v>1118902.8</v>
      </c>
      <c r="J388" s="155">
        <f>SUM(J389:J394)</f>
        <v>0</v>
      </c>
      <c r="K388" s="154">
        <f>SUM(K389:K394)</f>
        <v>0</v>
      </c>
      <c r="L388" s="154">
        <f>SUM(L389:L394)</f>
        <v>2238381.0899999999</v>
      </c>
      <c r="M388" s="154">
        <f>SUM(M389:M394)</f>
        <v>0</v>
      </c>
      <c r="N388" s="154">
        <f>SUM(N389:N394)</f>
        <v>0</v>
      </c>
      <c r="O388" s="154">
        <f>SUM(O389:O394)</f>
        <v>0</v>
      </c>
      <c r="P388" s="154">
        <f>SUM(P389:P394)</f>
        <v>145600.79999999999</v>
      </c>
      <c r="Q388" s="154">
        <f>SUM(Q389:Q394)</f>
        <v>0</v>
      </c>
      <c r="R388" s="154">
        <f>SUM(R389:R394)</f>
        <v>0</v>
      </c>
      <c r="S388" s="154">
        <f>SUM(S389:S394)</f>
        <v>0</v>
      </c>
      <c r="T388" s="154">
        <f>SUM(T389:T394)</f>
        <v>0</v>
      </c>
      <c r="U388" s="350"/>
      <c r="V388" s="350"/>
      <c r="W388" s="350"/>
      <c r="X388" s="350"/>
      <c r="Y388" s="350"/>
      <c r="Z388" s="350"/>
      <c r="AA388" s="350"/>
      <c r="AB388" s="350"/>
      <c r="AC388" s="350"/>
      <c r="AD388" s="350"/>
      <c r="AE388" s="350"/>
    </row>
    <row r="389" s="350" customFormat="1" ht="22.5" customHeight="1">
      <c r="A389" s="33">
        <v>1</v>
      </c>
      <c r="B389" s="50" t="s">
        <v>494</v>
      </c>
      <c r="C389" s="79">
        <f t="shared" ref="C389:C394" si="241">D389+K389+L389+M389+N389+O389+P389+Q389+R389+S389+T389</f>
        <v>298930.79999999999</v>
      </c>
      <c r="D389" s="79">
        <f t="shared" ref="D389:D394" si="242">SUM(E389:I389)</f>
        <v>298930.79999999999</v>
      </c>
      <c r="E389" s="79">
        <v>0</v>
      </c>
      <c r="F389" s="79">
        <v>0</v>
      </c>
      <c r="G389" s="79">
        <v>0</v>
      </c>
      <c r="H389" s="79">
        <v>298930.79999999999</v>
      </c>
      <c r="I389" s="79">
        <v>0</v>
      </c>
      <c r="J389" s="398">
        <v>0</v>
      </c>
      <c r="K389" s="79">
        <v>0</v>
      </c>
      <c r="L389" s="92">
        <v>0</v>
      </c>
      <c r="M389" s="79">
        <v>0</v>
      </c>
      <c r="N389" s="92">
        <v>0</v>
      </c>
      <c r="O389" s="79">
        <v>0</v>
      </c>
      <c r="P389" s="92">
        <v>0</v>
      </c>
      <c r="Q389" s="79">
        <v>0</v>
      </c>
      <c r="R389" s="79">
        <v>0</v>
      </c>
      <c r="S389" s="79">
        <v>0</v>
      </c>
      <c r="T389" s="79">
        <v>0</v>
      </c>
      <c r="U389" s="350"/>
      <c r="V389" s="350"/>
      <c r="W389" s="350"/>
      <c r="X389" s="350"/>
      <c r="Y389" s="350"/>
      <c r="Z389" s="350"/>
      <c r="AA389" s="350"/>
      <c r="AB389" s="350"/>
      <c r="AC389" s="350"/>
      <c r="AD389" s="350"/>
      <c r="AE389" s="350"/>
      <c r="AF389" s="350"/>
      <c r="AG389" s="350"/>
      <c r="AH389" s="350"/>
      <c r="AI389" s="350"/>
    </row>
    <row r="390" s="350" customFormat="1" ht="22.5" customHeight="1">
      <c r="A390" s="33">
        <v>2</v>
      </c>
      <c r="B390" s="50" t="s">
        <v>495</v>
      </c>
      <c r="C390" s="79">
        <f t="shared" si="241"/>
        <v>862596.01000000001</v>
      </c>
      <c r="D390" s="79">
        <f t="shared" si="242"/>
        <v>862596.01000000001</v>
      </c>
      <c r="E390" s="79">
        <v>0</v>
      </c>
      <c r="F390" s="79">
        <v>0</v>
      </c>
      <c r="G390" s="79">
        <v>574928.40000000002</v>
      </c>
      <c r="H390" s="79">
        <v>287667.60999999999</v>
      </c>
      <c r="I390" s="79">
        <v>0</v>
      </c>
      <c r="J390" s="398">
        <v>0</v>
      </c>
      <c r="K390" s="79">
        <v>0</v>
      </c>
      <c r="L390" s="92">
        <v>0</v>
      </c>
      <c r="M390" s="79">
        <v>0</v>
      </c>
      <c r="N390" s="79">
        <v>0</v>
      </c>
      <c r="O390" s="79">
        <v>0</v>
      </c>
      <c r="P390" s="92">
        <v>0</v>
      </c>
      <c r="Q390" s="79">
        <v>0</v>
      </c>
      <c r="R390" s="79">
        <v>0</v>
      </c>
      <c r="S390" s="79">
        <v>0</v>
      </c>
      <c r="T390" s="79">
        <v>0</v>
      </c>
      <c r="U390" s="350"/>
      <c r="V390" s="350"/>
      <c r="W390" s="350"/>
      <c r="X390" s="350"/>
      <c r="Y390" s="350"/>
      <c r="Z390" s="350"/>
      <c r="AA390" s="350"/>
      <c r="AB390" s="350"/>
      <c r="AC390" s="350"/>
      <c r="AD390" s="350"/>
      <c r="AE390" s="350"/>
      <c r="AF390" s="350"/>
      <c r="AG390" s="350"/>
      <c r="AH390" s="350"/>
      <c r="AI390" s="350"/>
    </row>
    <row r="391" s="350" customFormat="1" ht="22.5" customHeight="1">
      <c r="A391" s="33">
        <v>3</v>
      </c>
      <c r="B391" s="50" t="s">
        <v>496</v>
      </c>
      <c r="C391" s="92">
        <f t="shared" si="241"/>
        <v>725902.80000000005</v>
      </c>
      <c r="D391" s="79">
        <f t="shared" si="242"/>
        <v>725902.80000000005</v>
      </c>
      <c r="E391" s="79">
        <v>567622.80000000005</v>
      </c>
      <c r="F391" s="79">
        <v>0</v>
      </c>
      <c r="G391" s="79">
        <v>0</v>
      </c>
      <c r="H391" s="79">
        <v>158280</v>
      </c>
      <c r="I391" s="79">
        <v>0</v>
      </c>
      <c r="J391" s="398">
        <v>0</v>
      </c>
      <c r="K391" s="79">
        <v>0</v>
      </c>
      <c r="L391" s="92">
        <v>0</v>
      </c>
      <c r="M391" s="79">
        <v>0</v>
      </c>
      <c r="N391" s="92">
        <v>0</v>
      </c>
      <c r="O391" s="79">
        <v>0</v>
      </c>
      <c r="P391" s="92">
        <v>0</v>
      </c>
      <c r="Q391" s="79">
        <v>0</v>
      </c>
      <c r="R391" s="79">
        <v>0</v>
      </c>
      <c r="S391" s="79">
        <v>0</v>
      </c>
      <c r="T391" s="79">
        <v>0</v>
      </c>
      <c r="U391" s="350"/>
      <c r="V391" s="350"/>
      <c r="W391" s="350"/>
      <c r="X391" s="350"/>
      <c r="Y391" s="350"/>
      <c r="Z391" s="350"/>
      <c r="AA391" s="350"/>
      <c r="AB391" s="350"/>
      <c r="AC391" s="350"/>
      <c r="AD391" s="350"/>
      <c r="AE391" s="350"/>
    </row>
    <row r="392" s="350" customFormat="1" ht="22.5" customHeight="1">
      <c r="A392" s="33">
        <v>4</v>
      </c>
      <c r="B392" s="50" t="s">
        <v>1124</v>
      </c>
      <c r="C392" s="79">
        <f t="shared" si="241"/>
        <v>2717917.8899999997</v>
      </c>
      <c r="D392" s="79">
        <f t="shared" si="242"/>
        <v>333936</v>
      </c>
      <c r="E392" s="79">
        <v>0</v>
      </c>
      <c r="F392" s="79">
        <v>0</v>
      </c>
      <c r="G392" s="79">
        <v>0</v>
      </c>
      <c r="H392" s="79">
        <v>0</v>
      </c>
      <c r="I392" s="79">
        <v>333936</v>
      </c>
      <c r="J392" s="398">
        <v>0</v>
      </c>
      <c r="K392" s="79">
        <v>0</v>
      </c>
      <c r="L392" s="92">
        <v>2238381.0899999999</v>
      </c>
      <c r="M392" s="79">
        <v>0</v>
      </c>
      <c r="N392" s="92">
        <v>0</v>
      </c>
      <c r="O392" s="79">
        <v>0</v>
      </c>
      <c r="P392" s="92">
        <v>145600.79999999999</v>
      </c>
      <c r="Q392" s="79">
        <v>0</v>
      </c>
      <c r="R392" s="79">
        <v>0</v>
      </c>
      <c r="S392" s="79">
        <v>0</v>
      </c>
      <c r="T392" s="79">
        <v>0</v>
      </c>
      <c r="U392" s="350"/>
      <c r="V392" s="350"/>
      <c r="W392" s="350"/>
      <c r="X392" s="350"/>
      <c r="Y392" s="350"/>
      <c r="Z392" s="350"/>
      <c r="AA392" s="350"/>
      <c r="AB392" s="350"/>
      <c r="AC392" s="350"/>
      <c r="AD392" s="350"/>
      <c r="AE392" s="350"/>
    </row>
    <row r="393" s="350" customFormat="1" ht="22.5" customHeight="1">
      <c r="A393" s="33">
        <v>5</v>
      </c>
      <c r="B393" s="50" t="s">
        <v>499</v>
      </c>
      <c r="C393" s="79">
        <f t="shared" si="241"/>
        <v>976898.39999999991</v>
      </c>
      <c r="D393" s="79">
        <f t="shared" si="242"/>
        <v>976898.39999999991</v>
      </c>
      <c r="E393" s="79">
        <v>477352.79999999999</v>
      </c>
      <c r="F393" s="79">
        <v>0</v>
      </c>
      <c r="G393" s="79">
        <v>0</v>
      </c>
      <c r="H393" s="79">
        <v>0</v>
      </c>
      <c r="I393" s="79">
        <v>499545.59999999998</v>
      </c>
      <c r="J393" s="398">
        <v>0</v>
      </c>
      <c r="K393" s="79">
        <v>0</v>
      </c>
      <c r="L393" s="79">
        <v>0</v>
      </c>
      <c r="M393" s="79">
        <v>0</v>
      </c>
      <c r="N393" s="79">
        <v>0</v>
      </c>
      <c r="O393" s="79">
        <v>0</v>
      </c>
      <c r="P393" s="79">
        <v>0</v>
      </c>
      <c r="Q393" s="79">
        <v>0</v>
      </c>
      <c r="R393" s="79">
        <v>0</v>
      </c>
      <c r="S393" s="79">
        <v>0</v>
      </c>
      <c r="T393" s="79">
        <v>0</v>
      </c>
      <c r="U393" s="350"/>
      <c r="V393" s="350"/>
      <c r="W393" s="350"/>
      <c r="X393" s="350"/>
      <c r="Y393" s="350"/>
      <c r="Z393" s="350"/>
      <c r="AA393" s="350"/>
      <c r="AB393" s="350"/>
      <c r="AC393" s="350"/>
      <c r="AD393" s="350"/>
      <c r="AE393" s="350"/>
    </row>
    <row r="394" s="350" customFormat="1" ht="22.5" customHeight="1">
      <c r="A394" s="33">
        <v>6</v>
      </c>
      <c r="B394" s="50" t="s">
        <v>500</v>
      </c>
      <c r="C394" s="79">
        <f t="shared" si="241"/>
        <v>1333408.8</v>
      </c>
      <c r="D394" s="79">
        <f t="shared" si="242"/>
        <v>1333408.8</v>
      </c>
      <c r="E394" s="79">
        <v>826131.59999999998</v>
      </c>
      <c r="F394" s="79">
        <v>0</v>
      </c>
      <c r="G394" s="79">
        <v>0</v>
      </c>
      <c r="H394" s="79">
        <v>221856</v>
      </c>
      <c r="I394" s="79">
        <v>285421.20000000001</v>
      </c>
      <c r="J394" s="398">
        <v>0</v>
      </c>
      <c r="K394" s="79">
        <v>0</v>
      </c>
      <c r="L394" s="92">
        <v>0</v>
      </c>
      <c r="M394" s="79">
        <v>0</v>
      </c>
      <c r="N394" s="92">
        <v>0</v>
      </c>
      <c r="O394" s="79">
        <v>0</v>
      </c>
      <c r="P394" s="92">
        <v>0</v>
      </c>
      <c r="Q394" s="79">
        <v>0</v>
      </c>
      <c r="R394" s="79">
        <v>0</v>
      </c>
      <c r="S394" s="79">
        <v>0</v>
      </c>
      <c r="T394" s="79">
        <v>0</v>
      </c>
      <c r="U394" s="350"/>
      <c r="V394" s="350"/>
      <c r="W394" s="350"/>
      <c r="X394" s="350"/>
      <c r="Y394" s="350"/>
      <c r="Z394" s="350"/>
      <c r="AA394" s="350"/>
      <c r="AB394" s="350"/>
      <c r="AC394" s="350"/>
      <c r="AD394" s="350"/>
      <c r="AE394" s="350"/>
      <c r="AF394" s="350"/>
      <c r="AG394" s="350"/>
      <c r="AH394" s="350"/>
      <c r="AI394" s="350"/>
      <c r="AJ394" s="350"/>
      <c r="AK394" s="350"/>
    </row>
    <row r="395" s="350" customFormat="1" ht="22.5" customHeight="1">
      <c r="A395" s="61" t="s">
        <v>501</v>
      </c>
      <c r="B395" s="61"/>
      <c r="C395" s="154">
        <f>SUM(C396:C399)</f>
        <v>21689586.439999998</v>
      </c>
      <c r="D395" s="154">
        <f>SUM(D396:D399)</f>
        <v>0</v>
      </c>
      <c r="E395" s="154">
        <f>SUM(E396:E399)</f>
        <v>0</v>
      </c>
      <c r="F395" s="154">
        <f>SUM(F396:F399)</f>
        <v>0</v>
      </c>
      <c r="G395" s="154">
        <f>SUM(G396:G399)</f>
        <v>0</v>
      </c>
      <c r="H395" s="154">
        <f>SUM(H396:H399)</f>
        <v>0</v>
      </c>
      <c r="I395" s="154">
        <f>SUM(I396:I399)</f>
        <v>0</v>
      </c>
      <c r="J395" s="155">
        <f>SUM(J396:J399)</f>
        <v>0</v>
      </c>
      <c r="K395" s="154">
        <f>SUM(K396:K399)</f>
        <v>0</v>
      </c>
      <c r="L395" s="154">
        <f>SUM(L396:L399)</f>
        <v>21488783.099999998</v>
      </c>
      <c r="M395" s="154">
        <f>SUM(M396:M399)</f>
        <v>0</v>
      </c>
      <c r="N395" s="154">
        <f>SUM(N396:N399)</f>
        <v>0</v>
      </c>
      <c r="O395" s="154">
        <f>SUM(O396:O399)</f>
        <v>0</v>
      </c>
      <c r="P395" s="154">
        <f>SUM(P396:P399)</f>
        <v>200803.34</v>
      </c>
      <c r="Q395" s="154">
        <f>SUM(Q396:Q399)</f>
        <v>0</v>
      </c>
      <c r="R395" s="154">
        <f>SUM(R396:R399)</f>
        <v>0</v>
      </c>
      <c r="S395" s="154">
        <f>SUM(S396:S399)</f>
        <v>0</v>
      </c>
      <c r="T395" s="154">
        <f>SUM(T396:T399)</f>
        <v>0</v>
      </c>
      <c r="U395" s="350"/>
      <c r="V395" s="350"/>
      <c r="W395" s="350"/>
      <c r="X395" s="350"/>
      <c r="Y395" s="350"/>
      <c r="Z395" s="350"/>
      <c r="AA395" s="350"/>
      <c r="AB395" s="350"/>
      <c r="AC395" s="350"/>
      <c r="AD395" s="350"/>
      <c r="AE395" s="350"/>
    </row>
    <row r="396" s="350" customFormat="1" ht="22.5" customHeight="1">
      <c r="A396" s="33">
        <v>1</v>
      </c>
      <c r="B396" s="50" t="s">
        <v>1125</v>
      </c>
      <c r="C396" s="79">
        <f t="shared" ref="C396:C399" si="243">D396+K396+L396+M396+N396+O396+P396+Q396+R396+S396+T396</f>
        <v>200803.34</v>
      </c>
      <c r="D396" s="79">
        <f t="shared" ref="D396:D399" si="244">SUM(E396:I396)</f>
        <v>0</v>
      </c>
      <c r="E396" s="79">
        <v>0</v>
      </c>
      <c r="F396" s="79">
        <v>0</v>
      </c>
      <c r="G396" s="79">
        <v>0</v>
      </c>
      <c r="H396" s="79">
        <v>0</v>
      </c>
      <c r="I396" s="79">
        <v>0</v>
      </c>
      <c r="J396" s="398">
        <v>0</v>
      </c>
      <c r="K396" s="79">
        <v>0</v>
      </c>
      <c r="L396" s="79">
        <v>0</v>
      </c>
      <c r="M396" s="79">
        <v>0</v>
      </c>
      <c r="N396" s="79">
        <v>0</v>
      </c>
      <c r="O396" s="79">
        <v>0</v>
      </c>
      <c r="P396" s="79">
        <v>200803.34</v>
      </c>
      <c r="Q396" s="79">
        <v>0</v>
      </c>
      <c r="R396" s="79">
        <v>0</v>
      </c>
      <c r="S396" s="79">
        <v>0</v>
      </c>
      <c r="T396" s="79">
        <v>0</v>
      </c>
      <c r="U396" s="350"/>
      <c r="V396" s="350"/>
      <c r="W396" s="350"/>
      <c r="X396" s="350"/>
      <c r="Y396" s="350"/>
      <c r="Z396" s="350"/>
      <c r="AA396" s="350"/>
      <c r="AB396" s="350"/>
      <c r="AC396" s="350"/>
      <c r="AD396" s="350"/>
      <c r="AE396" s="350"/>
    </row>
    <row r="397" s="350" customFormat="1" ht="22.5" customHeight="1">
      <c r="A397" s="33">
        <v>2</v>
      </c>
      <c r="B397" s="50" t="s">
        <v>503</v>
      </c>
      <c r="C397" s="79">
        <f t="shared" si="243"/>
        <v>7224280.8099999996</v>
      </c>
      <c r="D397" s="79">
        <f t="shared" si="244"/>
        <v>0</v>
      </c>
      <c r="E397" s="79">
        <v>0</v>
      </c>
      <c r="F397" s="79">
        <v>0</v>
      </c>
      <c r="G397" s="79">
        <v>0</v>
      </c>
      <c r="H397" s="79">
        <v>0</v>
      </c>
      <c r="I397" s="79">
        <v>0</v>
      </c>
      <c r="J397" s="398">
        <v>0</v>
      </c>
      <c r="K397" s="79">
        <v>0</v>
      </c>
      <c r="L397" s="79">
        <v>7224280.8099999996</v>
      </c>
      <c r="M397" s="79">
        <v>0</v>
      </c>
      <c r="N397" s="79">
        <v>0</v>
      </c>
      <c r="O397" s="79">
        <v>0</v>
      </c>
      <c r="P397" s="79">
        <v>0</v>
      </c>
      <c r="Q397" s="79">
        <v>0</v>
      </c>
      <c r="R397" s="79">
        <v>0</v>
      </c>
      <c r="S397" s="79">
        <v>0</v>
      </c>
      <c r="T397" s="79">
        <v>0</v>
      </c>
      <c r="U397" s="350"/>
      <c r="V397" s="350"/>
      <c r="W397" s="350"/>
      <c r="X397" s="350"/>
      <c r="Y397" s="350"/>
      <c r="Z397" s="350"/>
      <c r="AA397" s="350"/>
      <c r="AB397" s="350"/>
      <c r="AC397" s="350"/>
      <c r="AD397" s="350"/>
      <c r="AE397" s="350"/>
    </row>
    <row r="398" s="350" customFormat="1" ht="22.5" customHeight="1">
      <c r="A398" s="33">
        <v>3</v>
      </c>
      <c r="B398" s="50" t="s">
        <v>504</v>
      </c>
      <c r="C398" s="79">
        <f t="shared" si="243"/>
        <v>4574639.0899999999</v>
      </c>
      <c r="D398" s="79">
        <f t="shared" si="244"/>
        <v>0</v>
      </c>
      <c r="E398" s="79">
        <v>0</v>
      </c>
      <c r="F398" s="79">
        <v>0</v>
      </c>
      <c r="G398" s="79">
        <v>0</v>
      </c>
      <c r="H398" s="79">
        <v>0</v>
      </c>
      <c r="I398" s="79">
        <v>0</v>
      </c>
      <c r="J398" s="398">
        <v>0</v>
      </c>
      <c r="K398" s="79">
        <v>0</v>
      </c>
      <c r="L398" s="79">
        <v>4574639.0899999999</v>
      </c>
      <c r="M398" s="79">
        <v>0</v>
      </c>
      <c r="N398" s="79">
        <v>0</v>
      </c>
      <c r="O398" s="79">
        <v>0</v>
      </c>
      <c r="P398" s="79">
        <v>0</v>
      </c>
      <c r="Q398" s="79">
        <v>0</v>
      </c>
      <c r="R398" s="79">
        <v>0</v>
      </c>
      <c r="S398" s="79">
        <v>0</v>
      </c>
      <c r="T398" s="79">
        <v>0</v>
      </c>
      <c r="U398" s="350"/>
      <c r="V398" s="350"/>
      <c r="W398" s="350"/>
      <c r="X398" s="350"/>
      <c r="Y398" s="350"/>
      <c r="Z398" s="350"/>
      <c r="AA398" s="350"/>
      <c r="AB398" s="350"/>
      <c r="AC398" s="350"/>
      <c r="AD398" s="350"/>
      <c r="AE398" s="350"/>
      <c r="AF398" s="350"/>
      <c r="AG398" s="350"/>
      <c r="AH398" s="350"/>
      <c r="AI398" s="350"/>
    </row>
    <row r="399" s="350" customFormat="1" ht="22.5" customHeight="1">
      <c r="A399" s="33">
        <v>4</v>
      </c>
      <c r="B399" s="50" t="s">
        <v>1126</v>
      </c>
      <c r="C399" s="79">
        <f t="shared" si="243"/>
        <v>9689863.1999999993</v>
      </c>
      <c r="D399" s="79">
        <f t="shared" si="244"/>
        <v>0</v>
      </c>
      <c r="E399" s="79">
        <v>0</v>
      </c>
      <c r="F399" s="79">
        <v>0</v>
      </c>
      <c r="G399" s="79">
        <v>0</v>
      </c>
      <c r="H399" s="79">
        <v>0</v>
      </c>
      <c r="I399" s="79">
        <v>0</v>
      </c>
      <c r="J399" s="398">
        <v>0</v>
      </c>
      <c r="K399" s="79">
        <v>0</v>
      </c>
      <c r="L399" s="79">
        <v>9689863.1999999993</v>
      </c>
      <c r="M399" s="79">
        <v>0</v>
      </c>
      <c r="N399" s="79">
        <v>0</v>
      </c>
      <c r="O399" s="79">
        <v>0</v>
      </c>
      <c r="P399" s="79">
        <v>0</v>
      </c>
      <c r="Q399" s="79">
        <v>0</v>
      </c>
      <c r="R399" s="79">
        <v>0</v>
      </c>
      <c r="S399" s="79">
        <v>0</v>
      </c>
      <c r="T399" s="79">
        <v>0</v>
      </c>
      <c r="U399" s="350"/>
      <c r="V399" s="350"/>
      <c r="W399" s="350"/>
      <c r="X399" s="350"/>
      <c r="Y399" s="350"/>
      <c r="Z399" s="350"/>
      <c r="AA399" s="350"/>
      <c r="AB399" s="350"/>
      <c r="AC399" s="350"/>
      <c r="AD399" s="350"/>
      <c r="AE399" s="350"/>
      <c r="AF399" s="350"/>
      <c r="AG399" s="350"/>
      <c r="AH399" s="350"/>
      <c r="AI399" s="350"/>
    </row>
    <row r="400" s="350" customFormat="1" ht="22.5" customHeight="1">
      <c r="A400" s="25" t="s">
        <v>506</v>
      </c>
      <c r="B400" s="25"/>
      <c r="C400" s="154">
        <f>SUM(C401:C411)</f>
        <v>54513546.969999991</v>
      </c>
      <c r="D400" s="154">
        <f>SUM(D401:D411)</f>
        <v>6687217.4300000006</v>
      </c>
      <c r="E400" s="154">
        <f>SUM(E401:E411)</f>
        <v>4063941.3700000001</v>
      </c>
      <c r="F400" s="154">
        <f>SUM(F401:F411)</f>
        <v>1304226.3200000001</v>
      </c>
      <c r="G400" s="154">
        <f>SUM(G401:G411)</f>
        <v>0</v>
      </c>
      <c r="H400" s="154">
        <f>SUM(H401:H411)</f>
        <v>180067.84</v>
      </c>
      <c r="I400" s="154">
        <f>SUM(I401:I411)</f>
        <v>1138981.8999999999</v>
      </c>
      <c r="J400" s="155">
        <f>SUM(J401:J411)</f>
        <v>0</v>
      </c>
      <c r="K400" s="154">
        <f>SUM(K401:K411)</f>
        <v>0</v>
      </c>
      <c r="L400" s="154">
        <f>SUM(L401:L411)</f>
        <v>0</v>
      </c>
      <c r="M400" s="154">
        <f>SUM(M401:M411)</f>
        <v>0</v>
      </c>
      <c r="N400" s="154">
        <f>SUM(N401:N411)</f>
        <v>15633195.200000001</v>
      </c>
      <c r="O400" s="154">
        <f>SUM(O401:O411)</f>
        <v>0</v>
      </c>
      <c r="P400" s="154">
        <f>SUM(P401:P411)</f>
        <v>2420950.73</v>
      </c>
      <c r="Q400" s="154">
        <f>SUM(Q401:Q411)</f>
        <v>0</v>
      </c>
      <c r="R400" s="154">
        <f>SUM(R401:R411)</f>
        <v>0</v>
      </c>
      <c r="S400" s="154">
        <f>SUM(S401:S411)</f>
        <v>29772183.609999999</v>
      </c>
      <c r="T400" s="154">
        <f>SUM(T401:T411)</f>
        <v>0</v>
      </c>
      <c r="U400" s="350"/>
      <c r="V400" s="350"/>
      <c r="W400" s="350"/>
      <c r="X400" s="350"/>
      <c r="Y400" s="350"/>
      <c r="Z400" s="350"/>
      <c r="AA400" s="350"/>
      <c r="AB400" s="350"/>
      <c r="AC400" s="350"/>
      <c r="AD400" s="350"/>
      <c r="AE400" s="350"/>
    </row>
    <row r="401" s="350" customFormat="1" ht="22.5" customHeight="1">
      <c r="A401" s="420">
        <v>1</v>
      </c>
      <c r="B401" s="421" t="s">
        <v>1127</v>
      </c>
      <c r="C401" s="79">
        <f t="shared" ref="C401:C411" si="245">D401+K401+L401+M401+N401+O401+P401+Q401+R401+S401+T401</f>
        <v>11570718.109999999</v>
      </c>
      <c r="D401" s="79">
        <f t="shared" ref="D401:D411" si="246">SUM(E401:I401)</f>
        <v>0</v>
      </c>
      <c r="E401" s="79">
        <v>0</v>
      </c>
      <c r="F401" s="79">
        <v>0</v>
      </c>
      <c r="G401" s="79">
        <v>0</v>
      </c>
      <c r="H401" s="79">
        <v>0</v>
      </c>
      <c r="I401" s="79">
        <v>0</v>
      </c>
      <c r="J401" s="398">
        <v>0</v>
      </c>
      <c r="K401" s="79">
        <v>0</v>
      </c>
      <c r="L401" s="79">
        <v>0</v>
      </c>
      <c r="M401" s="79">
        <v>0</v>
      </c>
      <c r="N401" s="79">
        <v>0</v>
      </c>
      <c r="O401" s="79">
        <v>0</v>
      </c>
      <c r="P401" s="92">
        <v>278033.16999999998</v>
      </c>
      <c r="Q401" s="79">
        <v>0</v>
      </c>
      <c r="R401" s="79">
        <v>0</v>
      </c>
      <c r="S401" s="79">
        <v>11292684.939999999</v>
      </c>
      <c r="T401" s="79">
        <v>0</v>
      </c>
      <c r="U401" s="350"/>
      <c r="V401" s="350"/>
      <c r="W401" s="350"/>
      <c r="X401" s="350"/>
      <c r="Y401" s="350"/>
      <c r="Z401" s="350"/>
      <c r="AA401" s="350"/>
      <c r="AB401" s="350"/>
      <c r="AC401" s="350"/>
      <c r="AD401" s="350"/>
      <c r="AE401" s="350"/>
    </row>
    <row r="402" s="350" customFormat="1" ht="22.5" customHeight="1">
      <c r="A402" s="420">
        <v>2</v>
      </c>
      <c r="B402" s="421" t="s">
        <v>1128</v>
      </c>
      <c r="C402" s="79">
        <f t="shared" si="245"/>
        <v>10086729.859999999</v>
      </c>
      <c r="D402" s="79">
        <f t="shared" si="246"/>
        <v>0</v>
      </c>
      <c r="E402" s="79">
        <v>0</v>
      </c>
      <c r="F402" s="79">
        <v>0</v>
      </c>
      <c r="G402" s="79">
        <v>0</v>
      </c>
      <c r="H402" s="79">
        <v>0</v>
      </c>
      <c r="I402" s="79">
        <v>0</v>
      </c>
      <c r="J402" s="398">
        <v>0</v>
      </c>
      <c r="K402" s="79">
        <v>0</v>
      </c>
      <c r="L402" s="79">
        <v>0</v>
      </c>
      <c r="M402" s="79">
        <v>0</v>
      </c>
      <c r="N402" s="92">
        <v>0</v>
      </c>
      <c r="O402" s="79">
        <v>0</v>
      </c>
      <c r="P402" s="92">
        <v>0</v>
      </c>
      <c r="Q402" s="79">
        <v>0</v>
      </c>
      <c r="R402" s="79">
        <v>0</v>
      </c>
      <c r="S402" s="79">
        <v>10086729.859999999</v>
      </c>
      <c r="T402" s="79">
        <v>0</v>
      </c>
      <c r="U402" s="350"/>
      <c r="V402" s="350"/>
      <c r="W402" s="350"/>
      <c r="X402" s="350"/>
      <c r="Y402" s="350"/>
      <c r="Z402" s="350"/>
      <c r="AA402" s="350"/>
      <c r="AB402" s="350"/>
      <c r="AC402" s="350"/>
      <c r="AD402" s="350"/>
      <c r="AE402" s="350"/>
    </row>
    <row r="403" s="350" customFormat="1" ht="22.5" customHeight="1">
      <c r="A403" s="420">
        <v>3</v>
      </c>
      <c r="B403" s="421" t="s">
        <v>1129</v>
      </c>
      <c r="C403" s="79">
        <f t="shared" si="245"/>
        <v>7887942.04</v>
      </c>
      <c r="D403" s="79">
        <f t="shared" si="246"/>
        <v>0</v>
      </c>
      <c r="E403" s="79">
        <v>0</v>
      </c>
      <c r="F403" s="79">
        <v>0</v>
      </c>
      <c r="G403" s="79">
        <v>0</v>
      </c>
      <c r="H403" s="79">
        <v>0</v>
      </c>
      <c r="I403" s="79">
        <v>0</v>
      </c>
      <c r="J403" s="398">
        <v>0</v>
      </c>
      <c r="K403" s="79">
        <v>0</v>
      </c>
      <c r="L403" s="79">
        <v>0</v>
      </c>
      <c r="M403" s="79">
        <v>0</v>
      </c>
      <c r="N403" s="79">
        <v>7643175.3200000003</v>
      </c>
      <c r="O403" s="79">
        <v>0</v>
      </c>
      <c r="P403" s="92">
        <v>244766.72</v>
      </c>
      <c r="Q403" s="79">
        <v>0</v>
      </c>
      <c r="R403" s="79">
        <v>0</v>
      </c>
      <c r="S403" s="79">
        <v>0</v>
      </c>
      <c r="T403" s="79">
        <v>0</v>
      </c>
      <c r="U403" s="350"/>
      <c r="V403" s="350"/>
      <c r="W403" s="350"/>
      <c r="X403" s="350"/>
      <c r="Y403" s="350"/>
      <c r="Z403" s="350"/>
      <c r="AA403" s="350"/>
      <c r="AB403" s="350"/>
      <c r="AC403" s="350"/>
      <c r="AD403" s="350"/>
      <c r="AE403" s="350"/>
    </row>
    <row r="404" s="350" customFormat="1" ht="22.5" customHeight="1">
      <c r="A404" s="420">
        <v>4</v>
      </c>
      <c r="B404" s="421" t="s">
        <v>1130</v>
      </c>
      <c r="C404" s="79">
        <f t="shared" si="245"/>
        <v>15968597.07</v>
      </c>
      <c r="D404" s="79">
        <f t="shared" si="246"/>
        <v>0</v>
      </c>
      <c r="E404" s="79">
        <v>0</v>
      </c>
      <c r="F404" s="79">
        <v>0</v>
      </c>
      <c r="G404" s="79">
        <v>0</v>
      </c>
      <c r="H404" s="79">
        <v>0</v>
      </c>
      <c r="I404" s="79">
        <v>0</v>
      </c>
      <c r="J404" s="398">
        <v>0</v>
      </c>
      <c r="K404" s="79">
        <v>0</v>
      </c>
      <c r="L404" s="79">
        <v>0</v>
      </c>
      <c r="M404" s="79">
        <v>0</v>
      </c>
      <c r="N404" s="79">
        <v>7038472.5</v>
      </c>
      <c r="O404" s="79">
        <v>0</v>
      </c>
      <c r="P404" s="92">
        <f>280269.31+257086.45</f>
        <v>537355.76000000001</v>
      </c>
      <c r="Q404" s="79">
        <v>0</v>
      </c>
      <c r="R404" s="79">
        <v>0</v>
      </c>
      <c r="S404" s="79">
        <v>8392768.8100000005</v>
      </c>
      <c r="T404" s="79">
        <v>0</v>
      </c>
      <c r="U404" s="350"/>
      <c r="V404" s="350"/>
      <c r="W404" s="350"/>
      <c r="X404" s="350"/>
      <c r="Y404" s="350"/>
      <c r="Z404" s="350"/>
      <c r="AA404" s="350"/>
      <c r="AB404" s="350"/>
      <c r="AC404" s="350"/>
      <c r="AD404" s="350"/>
      <c r="AE404" s="350"/>
      <c r="AF404" s="350"/>
      <c r="AG404" s="350"/>
      <c r="AH404" s="350"/>
      <c r="AI404" s="350"/>
    </row>
    <row r="405" s="350" customFormat="1" ht="22.5" customHeight="1">
      <c r="A405" s="420">
        <v>5</v>
      </c>
      <c r="B405" s="50" t="s">
        <v>1131</v>
      </c>
      <c r="C405" s="79">
        <f t="shared" si="245"/>
        <v>280159.22999999998</v>
      </c>
      <c r="D405" s="79">
        <f t="shared" si="246"/>
        <v>0</v>
      </c>
      <c r="E405" s="79">
        <v>0</v>
      </c>
      <c r="F405" s="79">
        <v>0</v>
      </c>
      <c r="G405" s="79">
        <v>0</v>
      </c>
      <c r="H405" s="79">
        <v>0</v>
      </c>
      <c r="I405" s="79">
        <v>0</v>
      </c>
      <c r="J405" s="398">
        <v>0</v>
      </c>
      <c r="K405" s="79">
        <v>0</v>
      </c>
      <c r="L405" s="92">
        <v>0</v>
      </c>
      <c r="M405" s="79">
        <v>0</v>
      </c>
      <c r="N405" s="79">
        <v>0</v>
      </c>
      <c r="O405" s="79">
        <v>0</v>
      </c>
      <c r="P405" s="79">
        <v>280159.22999999998</v>
      </c>
      <c r="Q405" s="79">
        <v>0</v>
      </c>
      <c r="R405" s="79">
        <v>0</v>
      </c>
      <c r="S405" s="79">
        <v>0</v>
      </c>
      <c r="T405" s="79">
        <v>0</v>
      </c>
      <c r="U405" s="350"/>
      <c r="V405" s="350"/>
      <c r="W405" s="350"/>
      <c r="X405" s="350"/>
      <c r="Y405" s="350"/>
      <c r="Z405" s="350"/>
      <c r="AA405" s="350"/>
      <c r="AB405" s="350"/>
      <c r="AC405" s="350"/>
      <c r="AD405" s="350"/>
      <c r="AE405" s="350"/>
      <c r="AF405" s="350"/>
      <c r="AG405" s="350"/>
      <c r="AH405" s="350"/>
      <c r="AI405" s="350"/>
    </row>
    <row r="406" s="350" customFormat="1" ht="22.5" customHeight="1">
      <c r="A406" s="420">
        <v>6</v>
      </c>
      <c r="B406" s="52" t="s">
        <v>512</v>
      </c>
      <c r="C406" s="158">
        <f t="shared" si="245"/>
        <v>961175.73999999999</v>
      </c>
      <c r="D406" s="79">
        <f t="shared" si="246"/>
        <v>961175.73999999999</v>
      </c>
      <c r="E406" s="158">
        <v>961175.73999999999</v>
      </c>
      <c r="F406" s="79">
        <v>0</v>
      </c>
      <c r="G406" s="158">
        <v>0</v>
      </c>
      <c r="H406" s="79">
        <v>0</v>
      </c>
      <c r="I406" s="158">
        <v>0</v>
      </c>
      <c r="J406" s="398">
        <v>0</v>
      </c>
      <c r="K406" s="158">
        <v>0</v>
      </c>
      <c r="L406" s="79">
        <v>0</v>
      </c>
      <c r="M406" s="158">
        <v>0</v>
      </c>
      <c r="N406" s="79">
        <v>0</v>
      </c>
      <c r="O406" s="158">
        <v>0</v>
      </c>
      <c r="P406" s="79">
        <v>0</v>
      </c>
      <c r="Q406" s="158">
        <v>0</v>
      </c>
      <c r="R406" s="79">
        <v>0</v>
      </c>
      <c r="S406" s="158">
        <v>0</v>
      </c>
      <c r="T406" s="79">
        <v>0</v>
      </c>
      <c r="U406" s="54"/>
      <c r="V406" s="54"/>
      <c r="W406" s="54"/>
      <c r="X406" s="54"/>
      <c r="Y406" s="54"/>
      <c r="Z406" s="54"/>
      <c r="AA406" s="54"/>
      <c r="AB406" s="54"/>
      <c r="AC406" s="54"/>
      <c r="AD406" s="54"/>
      <c r="AE406" s="54"/>
      <c r="AF406" s="350"/>
      <c r="AG406" s="350"/>
      <c r="AH406" s="350"/>
      <c r="AI406" s="350"/>
    </row>
    <row r="407" s="350" customFormat="1" ht="22.5" customHeight="1">
      <c r="A407" s="420">
        <v>7</v>
      </c>
      <c r="B407" s="52" t="s">
        <v>1132</v>
      </c>
      <c r="C407" s="79">
        <f t="shared" si="245"/>
        <v>171777.79000000001</v>
      </c>
      <c r="D407" s="79">
        <f t="shared" si="246"/>
        <v>0</v>
      </c>
      <c r="E407" s="79">
        <v>0</v>
      </c>
      <c r="F407" s="79">
        <v>0</v>
      </c>
      <c r="G407" s="79">
        <v>0</v>
      </c>
      <c r="H407" s="79">
        <v>0</v>
      </c>
      <c r="I407" s="79">
        <v>0</v>
      </c>
      <c r="J407" s="398">
        <v>0</v>
      </c>
      <c r="K407" s="79">
        <v>0</v>
      </c>
      <c r="L407" s="79">
        <v>0</v>
      </c>
      <c r="M407" s="79">
        <v>0</v>
      </c>
      <c r="N407" s="79">
        <v>0</v>
      </c>
      <c r="O407" s="79">
        <v>0</v>
      </c>
      <c r="P407" s="79">
        <v>171777.79000000001</v>
      </c>
      <c r="Q407" s="79">
        <v>0</v>
      </c>
      <c r="R407" s="79">
        <v>0</v>
      </c>
      <c r="S407" s="79">
        <v>0</v>
      </c>
      <c r="T407" s="154">
        <v>0</v>
      </c>
      <c r="U407" s="350"/>
      <c r="V407" s="350"/>
      <c r="W407" s="350"/>
      <c r="X407" s="350"/>
      <c r="Y407" s="350"/>
      <c r="Z407" s="350"/>
      <c r="AA407" s="350"/>
      <c r="AB407" s="350"/>
      <c r="AC407" s="350"/>
      <c r="AD407" s="350"/>
      <c r="AE407" s="350"/>
    </row>
    <row r="408" s="350" customFormat="1" ht="22.5" customHeight="1">
      <c r="A408" s="420">
        <v>8</v>
      </c>
      <c r="B408" s="50" t="s">
        <v>1133</v>
      </c>
      <c r="C408" s="79">
        <f t="shared" si="245"/>
        <v>2717269.3700000001</v>
      </c>
      <c r="D408" s="79">
        <f t="shared" si="246"/>
        <v>2178706.8300000001</v>
      </c>
      <c r="E408" s="79">
        <v>2178706.8300000001</v>
      </c>
      <c r="F408" s="79">
        <v>0</v>
      </c>
      <c r="G408" s="79">
        <v>0</v>
      </c>
      <c r="H408" s="79">
        <v>0</v>
      </c>
      <c r="I408" s="79">
        <v>0</v>
      </c>
      <c r="J408" s="398">
        <v>0</v>
      </c>
      <c r="K408" s="79">
        <v>0</v>
      </c>
      <c r="L408" s="79">
        <v>0</v>
      </c>
      <c r="M408" s="79">
        <v>0</v>
      </c>
      <c r="N408" s="79">
        <v>0</v>
      </c>
      <c r="O408" s="79">
        <v>0</v>
      </c>
      <c r="P408" s="79">
        <f>252233.51+286329.03</f>
        <v>538562.54000000004</v>
      </c>
      <c r="Q408" s="79">
        <v>0</v>
      </c>
      <c r="R408" s="79">
        <v>0</v>
      </c>
      <c r="S408" s="79">
        <v>0</v>
      </c>
      <c r="T408" s="79">
        <v>0</v>
      </c>
      <c r="U408" s="350"/>
      <c r="V408" s="350"/>
      <c r="W408" s="350"/>
      <c r="X408" s="350"/>
      <c r="Y408" s="350"/>
      <c r="Z408" s="350"/>
      <c r="AA408" s="350"/>
      <c r="AB408" s="350"/>
      <c r="AC408" s="350"/>
      <c r="AD408" s="350"/>
      <c r="AE408" s="350"/>
    </row>
    <row r="409" s="350" customFormat="1" ht="22.5" customHeight="1">
      <c r="A409" s="420">
        <v>9</v>
      </c>
      <c r="B409" s="52" t="s">
        <v>515</v>
      </c>
      <c r="C409" s="79">
        <f t="shared" si="245"/>
        <v>2309685.8300000001</v>
      </c>
      <c r="D409" s="79">
        <f t="shared" si="246"/>
        <v>1358138.4500000002</v>
      </c>
      <c r="E409" s="92">
        <v>924058.80000000005</v>
      </c>
      <c r="F409" s="79">
        <v>0</v>
      </c>
      <c r="G409" s="79">
        <v>0</v>
      </c>
      <c r="H409" s="79">
        <v>0</v>
      </c>
      <c r="I409" s="92">
        <v>434079.65000000002</v>
      </c>
      <c r="J409" s="398">
        <v>0</v>
      </c>
      <c r="K409" s="79">
        <v>0</v>
      </c>
      <c r="L409" s="79">
        <v>0</v>
      </c>
      <c r="M409" s="79">
        <v>0</v>
      </c>
      <c r="N409" s="79">
        <v>951547.38</v>
      </c>
      <c r="O409" s="79">
        <v>0</v>
      </c>
      <c r="P409" s="92">
        <v>0</v>
      </c>
      <c r="Q409" s="79">
        <v>0</v>
      </c>
      <c r="R409" s="79">
        <v>0</v>
      </c>
      <c r="S409" s="79">
        <v>0</v>
      </c>
      <c r="T409" s="79">
        <v>0</v>
      </c>
      <c r="U409" s="350"/>
      <c r="V409" s="350"/>
      <c r="W409" s="350"/>
      <c r="X409" s="350"/>
      <c r="Y409" s="350"/>
      <c r="Z409" s="350"/>
      <c r="AA409" s="350"/>
      <c r="AB409" s="350"/>
      <c r="AC409" s="350"/>
      <c r="AD409" s="350"/>
      <c r="AE409" s="350"/>
    </row>
    <row r="410" s="350" customFormat="1" ht="22.5" customHeight="1">
      <c r="A410" s="420">
        <v>10</v>
      </c>
      <c r="B410" s="52" t="s">
        <v>516</v>
      </c>
      <c r="C410" s="158">
        <f t="shared" si="245"/>
        <v>2189196.4100000001</v>
      </c>
      <c r="D410" s="79">
        <f t="shared" si="246"/>
        <v>2189196.4100000001</v>
      </c>
      <c r="E410" s="92">
        <v>0</v>
      </c>
      <c r="F410" s="92">
        <v>1304226.3200000001</v>
      </c>
      <c r="G410" s="158">
        <v>0</v>
      </c>
      <c r="H410" s="92">
        <v>180067.84</v>
      </c>
      <c r="I410" s="92">
        <v>704902.25</v>
      </c>
      <c r="J410" s="345">
        <v>0</v>
      </c>
      <c r="K410" s="79">
        <v>0</v>
      </c>
      <c r="L410" s="158">
        <v>0</v>
      </c>
      <c r="M410" s="79">
        <v>0</v>
      </c>
      <c r="N410" s="158">
        <v>0</v>
      </c>
      <c r="O410" s="79">
        <v>0</v>
      </c>
      <c r="P410" s="92">
        <v>0</v>
      </c>
      <c r="Q410" s="158">
        <v>0</v>
      </c>
      <c r="R410" s="79">
        <v>0</v>
      </c>
      <c r="S410" s="158">
        <v>0</v>
      </c>
      <c r="T410" s="79">
        <v>0</v>
      </c>
      <c r="U410" s="60"/>
      <c r="V410" s="60"/>
      <c r="W410" s="60"/>
      <c r="X410" s="60"/>
      <c r="Y410" s="60"/>
      <c r="Z410" s="60"/>
      <c r="AA410" s="60"/>
      <c r="AB410" s="60"/>
      <c r="AC410" s="60"/>
      <c r="AD410" s="60"/>
      <c r="AE410" s="60"/>
      <c r="AF410" s="60"/>
      <c r="AG410" s="60"/>
      <c r="AH410" s="60"/>
      <c r="AI410" s="60"/>
    </row>
    <row r="411" s="350" customFormat="1" ht="22.5" customHeight="1">
      <c r="A411" s="420">
        <v>11</v>
      </c>
      <c r="B411" s="52" t="s">
        <v>1134</v>
      </c>
      <c r="C411" s="79">
        <f t="shared" si="245"/>
        <v>370295.52000000002</v>
      </c>
      <c r="D411" s="158">
        <f t="shared" si="246"/>
        <v>0</v>
      </c>
      <c r="E411" s="79">
        <v>0</v>
      </c>
      <c r="F411" s="92">
        <v>0</v>
      </c>
      <c r="G411" s="79">
        <v>0</v>
      </c>
      <c r="H411" s="158">
        <v>0</v>
      </c>
      <c r="I411" s="79">
        <v>0</v>
      </c>
      <c r="J411" s="398">
        <v>0</v>
      </c>
      <c r="K411" s="158">
        <v>0</v>
      </c>
      <c r="L411" s="79">
        <v>0</v>
      </c>
      <c r="M411" s="158">
        <v>0</v>
      </c>
      <c r="N411" s="79">
        <v>0</v>
      </c>
      <c r="O411" s="158">
        <v>0</v>
      </c>
      <c r="P411" s="92">
        <f>172328.35+197967.17</f>
        <v>370295.52000000002</v>
      </c>
      <c r="Q411" s="79">
        <v>0</v>
      </c>
      <c r="R411" s="158">
        <v>0</v>
      </c>
      <c r="S411" s="79">
        <v>0</v>
      </c>
      <c r="T411" s="79">
        <v>0</v>
      </c>
      <c r="U411" s="60"/>
      <c r="V411" s="60"/>
      <c r="W411" s="60"/>
      <c r="X411" s="60"/>
      <c r="Y411" s="60"/>
      <c r="Z411" s="60"/>
      <c r="AA411" s="60"/>
      <c r="AB411" s="60"/>
      <c r="AC411" s="60"/>
      <c r="AD411" s="60"/>
      <c r="AE411" s="60"/>
      <c r="AF411" s="60"/>
      <c r="AG411" s="60"/>
      <c r="AH411" s="60"/>
      <c r="AI411" s="60"/>
    </row>
    <row r="412" s="350" customFormat="1" ht="33.75" customHeight="1">
      <c r="A412" s="25" t="s">
        <v>1135</v>
      </c>
      <c r="B412" s="25"/>
      <c r="C412" s="154">
        <f>C413+C431+C449+C453</f>
        <v>69542225.150000006</v>
      </c>
      <c r="D412" s="154">
        <f>D413+D431+D449+D453</f>
        <v>36884798.870000005</v>
      </c>
      <c r="E412" s="154">
        <f>E413+E431+E449+E453</f>
        <v>11059124.41</v>
      </c>
      <c r="F412" s="154">
        <f>F413+F431+F449+F453</f>
        <v>16231112.620000001</v>
      </c>
      <c r="G412" s="154">
        <f>G413+G431+G449+G453</f>
        <v>1505118.6000000001</v>
      </c>
      <c r="H412" s="154">
        <f>H413+H431+H449+H453</f>
        <v>2182520.5800000001</v>
      </c>
      <c r="I412" s="154">
        <f>I413+I431+I449+I453</f>
        <v>5906922.6600000001</v>
      </c>
      <c r="J412" s="155">
        <f>J413+J431+J449+J453</f>
        <v>0</v>
      </c>
      <c r="K412" s="154">
        <f>K413+K431+K449+K453</f>
        <v>0</v>
      </c>
      <c r="L412" s="154">
        <f>L413+L431+L449+L453</f>
        <v>25843924.729999997</v>
      </c>
      <c r="M412" s="154">
        <f>M413+M431+M449+M453</f>
        <v>0</v>
      </c>
      <c r="N412" s="154">
        <f>N413+N431+N449+N453</f>
        <v>3062383.0600000001</v>
      </c>
      <c r="O412" s="154">
        <f>O413+O431+O449+O453</f>
        <v>0</v>
      </c>
      <c r="P412" s="154">
        <f>P413+P431+P449+P453</f>
        <v>3751118.4900000002</v>
      </c>
      <c r="Q412" s="154">
        <f>Q413+Q431+Q449+Q453</f>
        <v>0</v>
      </c>
      <c r="R412" s="154">
        <f>R413+R431+R449+R453</f>
        <v>0</v>
      </c>
      <c r="S412" s="154">
        <f>S413+S431+S449+S453</f>
        <v>0</v>
      </c>
      <c r="T412" s="154">
        <f>T413+T431+T449+T453</f>
        <v>0</v>
      </c>
      <c r="U412" s="350"/>
      <c r="V412" s="350"/>
      <c r="W412" s="350"/>
      <c r="X412" s="350"/>
      <c r="Y412" s="350"/>
      <c r="Z412" s="350"/>
      <c r="AA412" s="350"/>
      <c r="AB412" s="350"/>
      <c r="AC412" s="350"/>
      <c r="AD412" s="350"/>
      <c r="AE412" s="350"/>
      <c r="AF412" s="350"/>
      <c r="AG412" s="350"/>
      <c r="AH412" s="350"/>
      <c r="AI412" s="350"/>
    </row>
    <row r="413" s="350" customFormat="1" ht="22.5" customHeight="1">
      <c r="A413" s="61" t="s">
        <v>520</v>
      </c>
      <c r="B413" s="61"/>
      <c r="C413" s="154">
        <f>SUM(C414:C430)</f>
        <v>21333310.550000004</v>
      </c>
      <c r="D413" s="154">
        <f>SUM(D414:D430)</f>
        <v>15995578.890000001</v>
      </c>
      <c r="E413" s="154">
        <f>SUM(E414:E430)</f>
        <v>5769867.5999999996</v>
      </c>
      <c r="F413" s="154">
        <f>SUM(F414:F430)</f>
        <v>3464673.8500000001</v>
      </c>
      <c r="G413" s="154">
        <f>SUM(G414:G430)</f>
        <v>917020.35999999999</v>
      </c>
      <c r="H413" s="154">
        <f>SUM(H414:H430)</f>
        <v>1283145.75</v>
      </c>
      <c r="I413" s="154">
        <f>SUM(I414:I430)</f>
        <v>4560871.3300000001</v>
      </c>
      <c r="J413" s="155">
        <f>SUM(J414:J430)</f>
        <v>0</v>
      </c>
      <c r="K413" s="154">
        <f>SUM(K414:K430)</f>
        <v>0</v>
      </c>
      <c r="L413" s="154">
        <f>SUM(L414:L430)</f>
        <v>384128.83000000002</v>
      </c>
      <c r="M413" s="154">
        <f>SUM(M414:M430)</f>
        <v>0</v>
      </c>
      <c r="N413" s="154">
        <f>SUM(N414:N430)</f>
        <v>3062383.0600000001</v>
      </c>
      <c r="O413" s="154">
        <f>SUM(O414:O430)</f>
        <v>0</v>
      </c>
      <c r="P413" s="154">
        <f>SUM(P414:P430)</f>
        <v>1891219.77</v>
      </c>
      <c r="Q413" s="154">
        <f>SUM(Q414:Q430)</f>
        <v>0</v>
      </c>
      <c r="R413" s="154">
        <f>SUM(R414:R430)</f>
        <v>0</v>
      </c>
      <c r="S413" s="154">
        <f>SUM(S414:S430)</f>
        <v>0</v>
      </c>
      <c r="T413" s="154">
        <f>SUM(T414:T430)</f>
        <v>0</v>
      </c>
      <c r="U413" s="350"/>
      <c r="V413" s="350"/>
      <c r="W413" s="350"/>
      <c r="X413" s="350"/>
      <c r="Y413" s="350"/>
      <c r="Z413" s="350"/>
      <c r="AA413" s="350"/>
      <c r="AB413" s="350"/>
      <c r="AC413" s="350"/>
      <c r="AD413" s="350"/>
      <c r="AE413" s="350"/>
    </row>
    <row r="414" s="350" customFormat="1" ht="22.5" customHeight="1">
      <c r="A414" s="33">
        <v>1</v>
      </c>
      <c r="B414" s="34" t="s">
        <v>521</v>
      </c>
      <c r="C414" s="79">
        <f t="shared" ref="C414:C455" si="247">D414+K414+L414+M414+N414+O414+P414+Q414+R414+S414+T414</f>
        <v>559408.80000000005</v>
      </c>
      <c r="D414" s="79">
        <f t="shared" ref="D414:D455" si="248">SUM(E414:I414)</f>
        <v>559408.80000000005</v>
      </c>
      <c r="E414" s="111" t="s">
        <v>1136</v>
      </c>
      <c r="F414" s="92">
        <v>0</v>
      </c>
      <c r="G414" s="92">
        <v>0</v>
      </c>
      <c r="H414" s="92">
        <v>0</v>
      </c>
      <c r="I414" s="92">
        <v>559408.80000000005</v>
      </c>
      <c r="J414" s="401">
        <v>0</v>
      </c>
      <c r="K414" s="92">
        <v>0</v>
      </c>
      <c r="L414" s="92">
        <v>0</v>
      </c>
      <c r="M414" s="92">
        <v>0</v>
      </c>
      <c r="N414" s="92">
        <v>0</v>
      </c>
      <c r="O414" s="92">
        <v>0</v>
      </c>
      <c r="P414" s="92">
        <v>0</v>
      </c>
      <c r="Q414" s="92">
        <v>0</v>
      </c>
      <c r="R414" s="92">
        <v>0</v>
      </c>
      <c r="S414" s="92">
        <v>0</v>
      </c>
      <c r="T414" s="92">
        <v>0</v>
      </c>
      <c r="U414" s="350"/>
      <c r="V414" s="350"/>
      <c r="W414" s="350"/>
      <c r="X414" s="350"/>
      <c r="Y414" s="350"/>
      <c r="Z414" s="350"/>
      <c r="AA414" s="350"/>
      <c r="AB414" s="350"/>
      <c r="AC414" s="350"/>
      <c r="AD414" s="350"/>
      <c r="AE414" s="350"/>
    </row>
    <row r="415" s="350" customFormat="1" ht="22.5" customHeight="1">
      <c r="A415" s="33">
        <v>2</v>
      </c>
      <c r="B415" s="34" t="s">
        <v>522</v>
      </c>
      <c r="C415" s="79">
        <f t="shared" si="247"/>
        <v>3062383.0600000001</v>
      </c>
      <c r="D415" s="79">
        <f t="shared" si="248"/>
        <v>0</v>
      </c>
      <c r="E415" s="111">
        <v>0</v>
      </c>
      <c r="F415" s="92">
        <v>0</v>
      </c>
      <c r="G415" s="92">
        <v>0</v>
      </c>
      <c r="H415" s="92">
        <v>0</v>
      </c>
      <c r="I415" s="92">
        <v>0</v>
      </c>
      <c r="J415" s="398">
        <v>0</v>
      </c>
      <c r="K415" s="92">
        <v>0</v>
      </c>
      <c r="L415" s="79">
        <v>0</v>
      </c>
      <c r="M415" s="79">
        <v>0</v>
      </c>
      <c r="N415" s="92">
        <v>3062383.0600000001</v>
      </c>
      <c r="O415" s="79">
        <v>0</v>
      </c>
      <c r="P415" s="92">
        <v>0</v>
      </c>
      <c r="Q415" s="79">
        <v>0</v>
      </c>
      <c r="R415" s="79">
        <v>0</v>
      </c>
      <c r="S415" s="79">
        <v>0</v>
      </c>
      <c r="T415" s="79">
        <v>0</v>
      </c>
      <c r="U415" s="350"/>
      <c r="V415" s="350"/>
      <c r="W415" s="350"/>
      <c r="X415" s="350"/>
      <c r="Y415" s="350"/>
      <c r="Z415" s="350"/>
      <c r="AA415" s="350"/>
      <c r="AB415" s="350"/>
      <c r="AC415" s="350"/>
      <c r="AD415" s="350"/>
      <c r="AE415" s="350"/>
    </row>
    <row r="416" s="350" customFormat="1" ht="22.5" customHeight="1">
      <c r="A416" s="33">
        <v>3</v>
      </c>
      <c r="B416" s="34" t="s">
        <v>523</v>
      </c>
      <c r="C416" s="79">
        <f t="shared" si="247"/>
        <v>546133.19999999995</v>
      </c>
      <c r="D416" s="79">
        <f t="shared" si="248"/>
        <v>546133.19999999995</v>
      </c>
      <c r="E416" s="111">
        <v>0</v>
      </c>
      <c r="F416" s="92">
        <v>0</v>
      </c>
      <c r="G416" s="92">
        <v>0</v>
      </c>
      <c r="H416" s="92">
        <v>0</v>
      </c>
      <c r="I416" s="92">
        <v>546133.19999999995</v>
      </c>
      <c r="J416" s="398">
        <v>0</v>
      </c>
      <c r="K416" s="92">
        <v>0</v>
      </c>
      <c r="L416" s="79">
        <v>0</v>
      </c>
      <c r="M416" s="79">
        <v>0</v>
      </c>
      <c r="N416" s="92">
        <v>0</v>
      </c>
      <c r="O416" s="79">
        <v>0</v>
      </c>
      <c r="P416" s="92">
        <v>0</v>
      </c>
      <c r="Q416" s="79">
        <v>0</v>
      </c>
      <c r="R416" s="79">
        <v>0</v>
      </c>
      <c r="S416" s="79">
        <v>0</v>
      </c>
      <c r="T416" s="79">
        <v>0</v>
      </c>
      <c r="U416" s="350"/>
      <c r="V416" s="350"/>
      <c r="W416" s="350"/>
      <c r="X416" s="350"/>
      <c r="Y416" s="350"/>
      <c r="Z416" s="350"/>
      <c r="AA416" s="350"/>
      <c r="AB416" s="350"/>
      <c r="AC416" s="350"/>
      <c r="AD416" s="350"/>
      <c r="AE416" s="350"/>
    </row>
    <row r="417" s="350" customFormat="1" ht="22.5" customHeight="1">
      <c r="A417" s="33">
        <v>4</v>
      </c>
      <c r="B417" s="34" t="s">
        <v>524</v>
      </c>
      <c r="C417" s="79">
        <f t="shared" si="247"/>
        <v>697489.19999999995</v>
      </c>
      <c r="D417" s="79">
        <f t="shared" si="248"/>
        <v>697489.19999999995</v>
      </c>
      <c r="E417" s="111">
        <v>0</v>
      </c>
      <c r="F417" s="92">
        <v>0</v>
      </c>
      <c r="G417" s="92">
        <v>0</v>
      </c>
      <c r="H417" s="92">
        <v>339404.40000000002</v>
      </c>
      <c r="I417" s="92">
        <v>358084.79999999999</v>
      </c>
      <c r="J417" s="398">
        <v>0</v>
      </c>
      <c r="K417" s="92">
        <v>0</v>
      </c>
      <c r="L417" s="92">
        <v>0</v>
      </c>
      <c r="M417" s="79">
        <v>0</v>
      </c>
      <c r="N417" s="92">
        <v>0</v>
      </c>
      <c r="O417" s="79">
        <v>0</v>
      </c>
      <c r="P417" s="92">
        <v>0</v>
      </c>
      <c r="Q417" s="79">
        <v>0</v>
      </c>
      <c r="R417" s="79">
        <v>0</v>
      </c>
      <c r="S417" s="79">
        <v>0</v>
      </c>
      <c r="T417" s="79">
        <v>0</v>
      </c>
      <c r="U417" s="350"/>
      <c r="V417" s="350"/>
      <c r="W417" s="350"/>
      <c r="X417" s="350"/>
      <c r="Y417" s="350"/>
      <c r="Z417" s="350"/>
      <c r="AA417" s="350"/>
      <c r="AB417" s="350"/>
      <c r="AC417" s="350"/>
      <c r="AD417" s="350"/>
      <c r="AE417" s="350"/>
    </row>
    <row r="418" s="350" customFormat="1" ht="22.5" customHeight="1">
      <c r="A418" s="33">
        <v>5</v>
      </c>
      <c r="B418" s="34" t="s">
        <v>526</v>
      </c>
      <c r="C418" s="79">
        <f t="shared" si="247"/>
        <v>726124.10999999999</v>
      </c>
      <c r="D418" s="79">
        <f t="shared" si="248"/>
        <v>726124.10999999999</v>
      </c>
      <c r="E418" s="111" t="s">
        <v>1136</v>
      </c>
      <c r="F418" s="111">
        <v>726124.10999999999</v>
      </c>
      <c r="G418" s="92">
        <v>0</v>
      </c>
      <c r="H418" s="92">
        <v>0</v>
      </c>
      <c r="I418" s="92">
        <v>0</v>
      </c>
      <c r="J418" s="401">
        <v>0</v>
      </c>
      <c r="K418" s="92">
        <v>0</v>
      </c>
      <c r="L418" s="92">
        <v>0</v>
      </c>
      <c r="M418" s="92">
        <v>0</v>
      </c>
      <c r="N418" s="92">
        <v>0</v>
      </c>
      <c r="O418" s="92">
        <v>0</v>
      </c>
      <c r="P418" s="92">
        <v>0</v>
      </c>
      <c r="Q418" s="92">
        <v>0</v>
      </c>
      <c r="R418" s="92">
        <v>0</v>
      </c>
      <c r="S418" s="92">
        <v>0</v>
      </c>
      <c r="T418" s="92">
        <v>0</v>
      </c>
      <c r="U418" s="350"/>
      <c r="V418" s="350"/>
      <c r="W418" s="350"/>
      <c r="X418" s="350"/>
      <c r="Y418" s="350"/>
      <c r="Z418" s="350"/>
      <c r="AA418" s="350"/>
      <c r="AB418" s="350"/>
      <c r="AC418" s="350"/>
      <c r="AD418" s="350"/>
      <c r="AE418" s="350"/>
    </row>
    <row r="419" s="350" customFormat="1" ht="22.5" customHeight="1">
      <c r="A419" s="33">
        <v>6</v>
      </c>
      <c r="B419" s="34" t="s">
        <v>1137</v>
      </c>
      <c r="C419" s="79">
        <f t="shared" si="247"/>
        <v>3348018.9900000002</v>
      </c>
      <c r="D419" s="79">
        <f t="shared" si="248"/>
        <v>3077770.54</v>
      </c>
      <c r="E419" s="111">
        <v>0</v>
      </c>
      <c r="F419" s="92">
        <v>2738549.7400000002</v>
      </c>
      <c r="G419" s="79">
        <v>0</v>
      </c>
      <c r="H419" s="92">
        <v>0</v>
      </c>
      <c r="I419" s="111">
        <v>339220.79999999999</v>
      </c>
      <c r="J419" s="398">
        <v>0</v>
      </c>
      <c r="K419" s="92">
        <v>0</v>
      </c>
      <c r="L419" s="79">
        <v>0</v>
      </c>
      <c r="M419" s="79">
        <v>0</v>
      </c>
      <c r="N419" s="79">
        <v>0</v>
      </c>
      <c r="O419" s="79">
        <v>0</v>
      </c>
      <c r="P419" s="92">
        <v>270248.45000000001</v>
      </c>
      <c r="Q419" s="79">
        <v>0</v>
      </c>
      <c r="R419" s="79">
        <v>0</v>
      </c>
      <c r="S419" s="79">
        <v>0</v>
      </c>
      <c r="T419" s="79">
        <v>0</v>
      </c>
      <c r="U419" s="350"/>
      <c r="V419" s="350"/>
      <c r="W419" s="350"/>
      <c r="X419" s="350"/>
      <c r="Y419" s="350"/>
      <c r="Z419" s="350"/>
      <c r="AA419" s="350"/>
      <c r="AB419" s="350"/>
      <c r="AC419" s="350"/>
      <c r="AD419" s="350"/>
      <c r="AE419" s="350"/>
    </row>
    <row r="420" s="350" customFormat="1" ht="22.5" customHeight="1">
      <c r="A420" s="33">
        <v>7</v>
      </c>
      <c r="B420" s="34" t="s">
        <v>528</v>
      </c>
      <c r="C420" s="79">
        <f t="shared" si="247"/>
        <v>1124231.6699999999</v>
      </c>
      <c r="D420" s="79">
        <f t="shared" si="248"/>
        <v>1124231.6699999999</v>
      </c>
      <c r="E420" s="79">
        <v>0</v>
      </c>
      <c r="F420" s="79">
        <v>0</v>
      </c>
      <c r="G420" s="79">
        <v>0</v>
      </c>
      <c r="H420" s="92">
        <v>400470.09999999998</v>
      </c>
      <c r="I420" s="92">
        <v>723761.56999999995</v>
      </c>
      <c r="J420" s="398">
        <v>0</v>
      </c>
      <c r="K420" s="79">
        <v>0</v>
      </c>
      <c r="L420" s="92">
        <v>0</v>
      </c>
      <c r="M420" s="79">
        <v>0</v>
      </c>
      <c r="N420" s="92">
        <v>0</v>
      </c>
      <c r="O420" s="79">
        <v>0</v>
      </c>
      <c r="P420" s="92">
        <v>0</v>
      </c>
      <c r="Q420" s="79">
        <v>0</v>
      </c>
      <c r="R420" s="79">
        <v>0</v>
      </c>
      <c r="S420" s="79">
        <v>0</v>
      </c>
      <c r="T420" s="79">
        <v>0</v>
      </c>
      <c r="U420" s="350"/>
      <c r="V420" s="350"/>
      <c r="W420" s="350"/>
      <c r="X420" s="350"/>
      <c r="Y420" s="350"/>
      <c r="Z420" s="350"/>
      <c r="AA420" s="350"/>
      <c r="AB420" s="350"/>
      <c r="AC420" s="350"/>
      <c r="AD420" s="350"/>
      <c r="AE420" s="350"/>
      <c r="AF420" s="350"/>
      <c r="AG420" s="350"/>
      <c r="AH420" s="350"/>
      <c r="AI420" s="350"/>
    </row>
    <row r="421" s="350" customFormat="1" ht="22.5" customHeight="1">
      <c r="A421" s="33">
        <v>8</v>
      </c>
      <c r="B421" s="34" t="s">
        <v>530</v>
      </c>
      <c r="C421" s="79">
        <f t="shared" si="247"/>
        <v>3050236.7999999998</v>
      </c>
      <c r="D421" s="79">
        <f t="shared" si="248"/>
        <v>3050236.7999999998</v>
      </c>
      <c r="E421" s="111">
        <v>3050236.7999999998</v>
      </c>
      <c r="F421" s="79">
        <v>0</v>
      </c>
      <c r="G421" s="79">
        <v>0</v>
      </c>
      <c r="H421" s="92">
        <v>0</v>
      </c>
      <c r="I421" s="79">
        <v>0</v>
      </c>
      <c r="J421" s="398">
        <v>0</v>
      </c>
      <c r="K421" s="92">
        <v>0</v>
      </c>
      <c r="L421" s="79">
        <v>0</v>
      </c>
      <c r="M421" s="92">
        <v>0</v>
      </c>
      <c r="N421" s="79">
        <v>0</v>
      </c>
      <c r="O421" s="79">
        <v>0</v>
      </c>
      <c r="P421" s="92">
        <v>0</v>
      </c>
      <c r="Q421" s="79">
        <v>0</v>
      </c>
      <c r="R421" s="79">
        <v>0</v>
      </c>
      <c r="S421" s="79">
        <v>0</v>
      </c>
      <c r="T421" s="79">
        <v>0</v>
      </c>
      <c r="U421" s="350"/>
      <c r="V421" s="350"/>
      <c r="W421" s="350"/>
      <c r="X421" s="350"/>
      <c r="Y421" s="350"/>
      <c r="Z421" s="350"/>
      <c r="AA421" s="350"/>
      <c r="AB421" s="350"/>
      <c r="AC421" s="350"/>
      <c r="AD421" s="350"/>
      <c r="AE421" s="350"/>
      <c r="AF421" s="350"/>
      <c r="AG421" s="350"/>
      <c r="AH421" s="350"/>
      <c r="AI421" s="350"/>
    </row>
    <row r="422" s="350" customFormat="1" ht="22.5" customHeight="1">
      <c r="A422" s="33">
        <v>9</v>
      </c>
      <c r="B422" s="34" t="s">
        <v>531</v>
      </c>
      <c r="C422" s="79">
        <f t="shared" si="247"/>
        <v>1369704</v>
      </c>
      <c r="D422" s="79">
        <f t="shared" si="248"/>
        <v>1369704</v>
      </c>
      <c r="E422" s="92">
        <v>1369704</v>
      </c>
      <c r="F422" s="92">
        <v>0</v>
      </c>
      <c r="G422" s="92">
        <v>0</v>
      </c>
      <c r="H422" s="92">
        <v>0</v>
      </c>
      <c r="I422" s="92">
        <v>0</v>
      </c>
      <c r="J422" s="401">
        <v>0</v>
      </c>
      <c r="K422" s="92">
        <v>0</v>
      </c>
      <c r="L422" s="92">
        <v>0</v>
      </c>
      <c r="M422" s="92">
        <v>0</v>
      </c>
      <c r="N422" s="92">
        <v>0</v>
      </c>
      <c r="O422" s="92">
        <v>0</v>
      </c>
      <c r="P422" s="422">
        <v>0</v>
      </c>
      <c r="Q422" s="92">
        <v>0</v>
      </c>
      <c r="R422" s="92">
        <v>0</v>
      </c>
      <c r="S422" s="92">
        <v>0</v>
      </c>
      <c r="T422" s="92">
        <v>0</v>
      </c>
      <c r="U422" s="350"/>
      <c r="V422" s="350"/>
      <c r="W422" s="350"/>
      <c r="X422" s="350"/>
      <c r="Y422" s="350"/>
      <c r="Z422" s="350"/>
      <c r="AA422" s="350"/>
      <c r="AB422" s="350"/>
      <c r="AC422" s="350"/>
      <c r="AD422" s="350"/>
      <c r="AE422" s="350"/>
      <c r="AF422" s="350"/>
      <c r="AG422" s="350"/>
      <c r="AH422" s="350"/>
      <c r="AI422" s="350"/>
    </row>
    <row r="423" s="350" customFormat="1" ht="22.5" customHeight="1">
      <c r="A423" s="33">
        <v>10</v>
      </c>
      <c r="B423" s="34" t="s">
        <v>1138</v>
      </c>
      <c r="C423" s="400">
        <f t="shared" si="247"/>
        <v>427314.80000000005</v>
      </c>
      <c r="D423" s="400">
        <f t="shared" si="248"/>
        <v>0</v>
      </c>
      <c r="E423" s="400">
        <v>0</v>
      </c>
      <c r="F423" s="400">
        <v>0</v>
      </c>
      <c r="G423" s="400">
        <v>0</v>
      </c>
      <c r="H423" s="400">
        <v>0</v>
      </c>
      <c r="I423" s="92">
        <v>0</v>
      </c>
      <c r="J423" s="402">
        <v>0</v>
      </c>
      <c r="K423" s="400">
        <v>0</v>
      </c>
      <c r="L423" s="92">
        <v>0</v>
      </c>
      <c r="M423" s="400">
        <v>0</v>
      </c>
      <c r="N423" s="92">
        <v>0</v>
      </c>
      <c r="O423" s="423">
        <v>0</v>
      </c>
      <c r="P423" s="424">
        <f>223115.13+204199.67</f>
        <v>427314.80000000005</v>
      </c>
      <c r="Q423" s="425">
        <v>0</v>
      </c>
      <c r="R423" s="400">
        <v>0</v>
      </c>
      <c r="S423" s="400">
        <v>0</v>
      </c>
      <c r="T423" s="79">
        <v>0</v>
      </c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</row>
    <row r="424" s="350" customFormat="1" ht="22.5" customHeight="1">
      <c r="A424" s="33">
        <v>11</v>
      </c>
      <c r="B424" s="34" t="s">
        <v>533</v>
      </c>
      <c r="C424" s="79">
        <f t="shared" si="247"/>
        <v>384128.83000000002</v>
      </c>
      <c r="D424" s="79">
        <f t="shared" si="248"/>
        <v>0</v>
      </c>
      <c r="E424" s="92">
        <v>0</v>
      </c>
      <c r="F424" s="92">
        <v>0</v>
      </c>
      <c r="G424" s="79">
        <v>0</v>
      </c>
      <c r="H424" s="92">
        <v>0</v>
      </c>
      <c r="I424" s="79">
        <v>0</v>
      </c>
      <c r="J424" s="398">
        <v>0</v>
      </c>
      <c r="K424" s="92">
        <v>0</v>
      </c>
      <c r="L424" s="111">
        <v>384128.83000000002</v>
      </c>
      <c r="M424" s="56">
        <v>0</v>
      </c>
      <c r="N424" s="111">
        <v>0</v>
      </c>
      <c r="O424" s="79">
        <v>0</v>
      </c>
      <c r="P424" s="92">
        <v>0</v>
      </c>
      <c r="Q424" s="79">
        <v>0</v>
      </c>
      <c r="R424" s="79">
        <v>0</v>
      </c>
      <c r="S424" s="79">
        <v>0</v>
      </c>
      <c r="T424" s="79">
        <v>0</v>
      </c>
      <c r="U424" s="350"/>
      <c r="V424" s="350"/>
      <c r="W424" s="350"/>
      <c r="X424" s="350"/>
      <c r="Y424" s="350"/>
      <c r="Z424" s="350"/>
      <c r="AA424" s="350"/>
      <c r="AB424" s="350"/>
      <c r="AC424" s="350"/>
      <c r="AD424" s="350"/>
      <c r="AE424" s="350"/>
      <c r="AF424" s="350"/>
      <c r="AG424" s="350"/>
      <c r="AH424" s="350"/>
      <c r="AI424" s="350"/>
    </row>
    <row r="425" s="350" customFormat="1" ht="22.5" customHeight="1">
      <c r="A425" s="33">
        <v>12</v>
      </c>
      <c r="B425" s="34" t="s">
        <v>534</v>
      </c>
      <c r="C425" s="79">
        <f t="shared" si="247"/>
        <v>2583976.4300000002</v>
      </c>
      <c r="D425" s="79">
        <f t="shared" si="248"/>
        <v>2583976.4300000002</v>
      </c>
      <c r="E425" s="92">
        <v>1349926.8</v>
      </c>
      <c r="F425" s="79">
        <v>0</v>
      </c>
      <c r="G425" s="92">
        <v>917020.35999999999</v>
      </c>
      <c r="H425" s="92">
        <v>317029.27000000002</v>
      </c>
      <c r="I425" s="79">
        <v>0</v>
      </c>
      <c r="J425" s="398">
        <v>0</v>
      </c>
      <c r="K425" s="79">
        <v>0</v>
      </c>
      <c r="L425" s="92">
        <v>0</v>
      </c>
      <c r="M425" s="79">
        <v>0</v>
      </c>
      <c r="N425" s="92">
        <v>0</v>
      </c>
      <c r="O425" s="79">
        <v>0</v>
      </c>
      <c r="P425" s="92">
        <v>0</v>
      </c>
      <c r="Q425" s="79">
        <v>0</v>
      </c>
      <c r="R425" s="79">
        <v>0</v>
      </c>
      <c r="S425" s="79">
        <v>0</v>
      </c>
      <c r="T425" s="79">
        <v>0</v>
      </c>
      <c r="U425" s="350"/>
      <c r="V425" s="350"/>
      <c r="W425" s="350"/>
      <c r="X425" s="350"/>
      <c r="Y425" s="350"/>
      <c r="Z425" s="350"/>
      <c r="AA425" s="350"/>
      <c r="AB425" s="350"/>
      <c r="AC425" s="350"/>
      <c r="AD425" s="350"/>
      <c r="AE425" s="350"/>
      <c r="AF425" s="350"/>
      <c r="AG425" s="350"/>
      <c r="AH425" s="350"/>
      <c r="AI425" s="350"/>
    </row>
    <row r="426" s="350" customFormat="1" ht="22.5" customHeight="1">
      <c r="A426" s="33">
        <v>13</v>
      </c>
      <c r="B426" s="34" t="s">
        <v>1139</v>
      </c>
      <c r="C426" s="79">
        <f t="shared" si="247"/>
        <v>894586.57999999996</v>
      </c>
      <c r="D426" s="79">
        <f t="shared" si="248"/>
        <v>0</v>
      </c>
      <c r="E426" s="158">
        <v>0</v>
      </c>
      <c r="F426" s="79">
        <v>0</v>
      </c>
      <c r="G426" s="79">
        <v>0</v>
      </c>
      <c r="H426" s="79">
        <v>0</v>
      </c>
      <c r="I426" s="92">
        <v>0</v>
      </c>
      <c r="J426" s="345">
        <v>0</v>
      </c>
      <c r="K426" s="79">
        <v>0</v>
      </c>
      <c r="L426" s="92">
        <v>0</v>
      </c>
      <c r="M426" s="79">
        <v>0</v>
      </c>
      <c r="N426" s="92">
        <v>0</v>
      </c>
      <c r="O426" s="158">
        <v>0</v>
      </c>
      <c r="P426" s="426">
        <f>292809.64+295164.07+306612.87</f>
        <v>894586.57999999996</v>
      </c>
      <c r="Q426" s="158">
        <v>0</v>
      </c>
      <c r="R426" s="79">
        <v>0</v>
      </c>
      <c r="S426" s="158">
        <v>0</v>
      </c>
      <c r="T426" s="79">
        <v>0</v>
      </c>
      <c r="U426" s="60"/>
      <c r="V426" s="60"/>
      <c r="W426" s="60"/>
      <c r="X426" s="60"/>
      <c r="Y426" s="60"/>
      <c r="Z426" s="60"/>
      <c r="AA426" s="60"/>
      <c r="AB426" s="60"/>
      <c r="AC426" s="60"/>
      <c r="AD426" s="60"/>
      <c r="AE426" s="60"/>
      <c r="AF426" s="60"/>
      <c r="AG426" s="60"/>
      <c r="AH426" s="60"/>
      <c r="AI426" s="60"/>
    </row>
    <row r="427" s="350" customFormat="1" ht="22.5" customHeight="1">
      <c r="A427" s="33">
        <v>14</v>
      </c>
      <c r="B427" s="34" t="s">
        <v>536</v>
      </c>
      <c r="C427" s="79">
        <f t="shared" si="247"/>
        <v>1807811.3600000001</v>
      </c>
      <c r="D427" s="158">
        <f t="shared" si="248"/>
        <v>1807811.3600000001</v>
      </c>
      <c r="E427" s="79">
        <v>0</v>
      </c>
      <c r="F427" s="79">
        <v>0</v>
      </c>
      <c r="G427" s="79">
        <v>0</v>
      </c>
      <c r="H427" s="158">
        <v>0</v>
      </c>
      <c r="I427" s="92">
        <v>1807811.3600000001</v>
      </c>
      <c r="J427" s="398">
        <v>0</v>
      </c>
      <c r="K427" s="79">
        <v>0</v>
      </c>
      <c r="L427" s="92">
        <v>0</v>
      </c>
      <c r="M427" s="158">
        <v>0</v>
      </c>
      <c r="N427" s="92">
        <v>0</v>
      </c>
      <c r="O427" s="79">
        <v>0</v>
      </c>
      <c r="P427" s="427">
        <v>0</v>
      </c>
      <c r="Q427" s="79">
        <v>0</v>
      </c>
      <c r="R427" s="79">
        <v>0</v>
      </c>
      <c r="S427" s="79">
        <v>0</v>
      </c>
      <c r="T427" s="79">
        <v>0</v>
      </c>
      <c r="U427" s="60"/>
      <c r="V427" s="60"/>
      <c r="W427" s="60"/>
      <c r="X427" s="60"/>
      <c r="Y427" s="60"/>
      <c r="Z427" s="60"/>
      <c r="AA427" s="60"/>
      <c r="AB427" s="60"/>
      <c r="AC427" s="60"/>
      <c r="AD427" s="60"/>
      <c r="AE427" s="60"/>
      <c r="AF427" s="60"/>
      <c r="AG427" s="60"/>
      <c r="AH427" s="60"/>
      <c r="AI427" s="60"/>
    </row>
    <row r="428" s="350" customFormat="1" ht="22.5" customHeight="1">
      <c r="A428" s="33">
        <v>15</v>
      </c>
      <c r="B428" s="34" t="s">
        <v>1140</v>
      </c>
      <c r="C428" s="79">
        <f t="shared" si="247"/>
        <v>299069.94</v>
      </c>
      <c r="D428" s="79">
        <f t="shared" si="248"/>
        <v>0</v>
      </c>
      <c r="E428" s="158">
        <v>0</v>
      </c>
      <c r="F428" s="79">
        <v>0</v>
      </c>
      <c r="G428" s="79">
        <v>0</v>
      </c>
      <c r="H428" s="79">
        <v>0</v>
      </c>
      <c r="I428" s="92">
        <v>0</v>
      </c>
      <c r="J428" s="345">
        <v>0</v>
      </c>
      <c r="K428" s="79">
        <v>0</v>
      </c>
      <c r="L428" s="92">
        <v>0</v>
      </c>
      <c r="M428" s="79">
        <v>0</v>
      </c>
      <c r="N428" s="92">
        <v>0</v>
      </c>
      <c r="O428" s="158">
        <v>0</v>
      </c>
      <c r="P428" s="428">
        <v>299069.94</v>
      </c>
      <c r="Q428" s="158">
        <v>0</v>
      </c>
      <c r="R428" s="79">
        <v>0</v>
      </c>
      <c r="S428" s="158">
        <v>0</v>
      </c>
      <c r="T428" s="79">
        <v>0</v>
      </c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</row>
    <row r="429" s="350" customFormat="1" ht="22.5" customHeight="1">
      <c r="A429" s="33">
        <v>16</v>
      </c>
      <c r="B429" s="34" t="s">
        <v>538</v>
      </c>
      <c r="C429" s="158">
        <f t="shared" si="247"/>
        <v>226241.98000000001</v>
      </c>
      <c r="D429" s="79">
        <f t="shared" si="248"/>
        <v>226241.98000000001</v>
      </c>
      <c r="E429" s="92">
        <v>0</v>
      </c>
      <c r="F429" s="92">
        <v>0</v>
      </c>
      <c r="G429" s="158">
        <v>0</v>
      </c>
      <c r="H429" s="92">
        <v>226241.98000000001</v>
      </c>
      <c r="I429" s="92">
        <v>0</v>
      </c>
      <c r="J429" s="398">
        <v>0</v>
      </c>
      <c r="K429" s="79">
        <v>0</v>
      </c>
      <c r="L429" s="79">
        <v>0</v>
      </c>
      <c r="M429" s="79">
        <v>0</v>
      </c>
      <c r="N429" s="92">
        <v>0</v>
      </c>
      <c r="O429" s="79">
        <v>0</v>
      </c>
      <c r="P429" s="92">
        <v>0</v>
      </c>
      <c r="Q429" s="79">
        <v>0</v>
      </c>
      <c r="R429" s="79">
        <v>0</v>
      </c>
      <c r="S429" s="79">
        <v>0</v>
      </c>
      <c r="T429" s="79">
        <v>0</v>
      </c>
      <c r="U429" s="54"/>
      <c r="V429" s="54"/>
      <c r="W429" s="54"/>
      <c r="X429" s="54"/>
      <c r="Y429" s="54"/>
      <c r="Z429" s="54"/>
      <c r="AA429" s="54"/>
      <c r="AB429" s="54"/>
      <c r="AC429" s="54"/>
      <c r="AD429" s="54"/>
      <c r="AE429" s="54"/>
      <c r="AF429" s="350"/>
      <c r="AG429" s="350"/>
      <c r="AH429" s="350"/>
      <c r="AI429" s="350"/>
    </row>
    <row r="430" s="350" customFormat="1" ht="22.5" customHeight="1">
      <c r="A430" s="33">
        <v>17</v>
      </c>
      <c r="B430" s="34" t="s">
        <v>539</v>
      </c>
      <c r="C430" s="79">
        <f t="shared" si="247"/>
        <v>226450.79999999999</v>
      </c>
      <c r="D430" s="79">
        <f t="shared" si="248"/>
        <v>226450.79999999999</v>
      </c>
      <c r="E430" s="92">
        <v>0</v>
      </c>
      <c r="F430" s="92">
        <v>0</v>
      </c>
      <c r="G430" s="79">
        <v>0</v>
      </c>
      <c r="H430" s="92">
        <v>0</v>
      </c>
      <c r="I430" s="79">
        <v>226450.79999999999</v>
      </c>
      <c r="J430" s="398">
        <v>0</v>
      </c>
      <c r="K430" s="92">
        <v>0</v>
      </c>
      <c r="L430" s="92">
        <v>0</v>
      </c>
      <c r="M430" s="79">
        <v>0</v>
      </c>
      <c r="N430" s="92">
        <v>0</v>
      </c>
      <c r="O430" s="79">
        <v>0</v>
      </c>
      <c r="P430" s="92">
        <v>0</v>
      </c>
      <c r="Q430" s="79">
        <v>0</v>
      </c>
      <c r="R430" s="79">
        <v>0</v>
      </c>
      <c r="S430" s="79">
        <v>0</v>
      </c>
      <c r="T430" s="79">
        <v>0</v>
      </c>
      <c r="U430" s="350"/>
      <c r="V430" s="350"/>
      <c r="W430" s="350"/>
      <c r="X430" s="350"/>
      <c r="Y430" s="350"/>
      <c r="Z430" s="350"/>
      <c r="AA430" s="350"/>
      <c r="AB430" s="350"/>
      <c r="AC430" s="350"/>
      <c r="AD430" s="350"/>
      <c r="AE430" s="350"/>
    </row>
    <row r="431" s="350" customFormat="1" ht="33" customHeight="1">
      <c r="A431" s="61" t="s">
        <v>540</v>
      </c>
      <c r="B431" s="61"/>
      <c r="C431" s="154">
        <f>SUM(C432:C448)</f>
        <v>39254210.200000003</v>
      </c>
      <c r="D431" s="154">
        <f>SUM(D432:D448)</f>
        <v>17457734.270000003</v>
      </c>
      <c r="E431" s="154">
        <f>SUM(E432:E448)</f>
        <v>5289256.8100000005</v>
      </c>
      <c r="F431" s="154">
        <f>SUM(F432:F448)</f>
        <v>9334953.0600000005</v>
      </c>
      <c r="G431" s="154">
        <f>SUM(G432:G448)</f>
        <v>588098.23999999999</v>
      </c>
      <c r="H431" s="154">
        <f>SUM(H432:H448)</f>
        <v>899374.82999999996</v>
      </c>
      <c r="I431" s="154">
        <f>SUM(I432:I448)</f>
        <v>1346051.3300000001</v>
      </c>
      <c r="J431" s="155">
        <f>SUM(J432:J448)</f>
        <v>0</v>
      </c>
      <c r="K431" s="154">
        <f>SUM(K432:K448)</f>
        <v>0</v>
      </c>
      <c r="L431" s="154">
        <f>SUM(L432:L448)</f>
        <v>20115540.93</v>
      </c>
      <c r="M431" s="154">
        <f>SUM(M432:M448)</f>
        <v>0</v>
      </c>
      <c r="N431" s="154">
        <f>SUM(N432:N448)</f>
        <v>0</v>
      </c>
      <c r="O431" s="154">
        <f>SUM(O432:O448)</f>
        <v>0</v>
      </c>
      <c r="P431" s="154">
        <f>SUM(P432:P448)</f>
        <v>1680935</v>
      </c>
      <c r="Q431" s="154">
        <f>SUM(Q432:Q448)</f>
        <v>0</v>
      </c>
      <c r="R431" s="154">
        <f>SUM(R432:R448)</f>
        <v>0</v>
      </c>
      <c r="S431" s="154">
        <f>SUM(S432:S448)</f>
        <v>0</v>
      </c>
      <c r="T431" s="154">
        <f>SUM(T432:T448)</f>
        <v>0</v>
      </c>
      <c r="U431" s="350"/>
      <c r="V431" s="350"/>
      <c r="W431" s="350"/>
      <c r="X431" s="350"/>
      <c r="Y431" s="350"/>
      <c r="Z431" s="350"/>
      <c r="AA431" s="350"/>
      <c r="AB431" s="350"/>
      <c r="AC431" s="350"/>
      <c r="AD431" s="350"/>
      <c r="AE431" s="350"/>
      <c r="AF431" s="350"/>
      <c r="AG431" s="350"/>
      <c r="AH431" s="350"/>
      <c r="AI431" s="350"/>
    </row>
    <row r="432" s="350" customFormat="1" ht="24.75" customHeight="1">
      <c r="A432" s="33">
        <v>1</v>
      </c>
      <c r="B432" s="34" t="s">
        <v>1141</v>
      </c>
      <c r="C432" s="158">
        <f>D432+K432+L432+M432+N432+O432+P432+Q432+R432+S432+T432</f>
        <v>319381.69</v>
      </c>
      <c r="D432" s="79">
        <f>SUM(E432:I432)</f>
        <v>0</v>
      </c>
      <c r="E432" s="158">
        <v>0</v>
      </c>
      <c r="F432" s="79">
        <v>0</v>
      </c>
      <c r="G432" s="158">
        <v>0</v>
      </c>
      <c r="H432" s="79">
        <v>0</v>
      </c>
      <c r="I432" s="158">
        <v>0</v>
      </c>
      <c r="J432" s="398">
        <v>0</v>
      </c>
      <c r="K432" s="158">
        <v>0</v>
      </c>
      <c r="L432" s="79">
        <v>0</v>
      </c>
      <c r="M432" s="158">
        <v>0</v>
      </c>
      <c r="N432" s="79">
        <v>0</v>
      </c>
      <c r="O432" s="158">
        <v>0</v>
      </c>
      <c r="P432" s="79">
        <v>319381.69</v>
      </c>
      <c r="Q432" s="158">
        <v>0</v>
      </c>
      <c r="R432" s="79">
        <v>0</v>
      </c>
      <c r="S432" s="158">
        <v>0</v>
      </c>
      <c r="T432" s="79">
        <v>0</v>
      </c>
      <c r="U432" s="60"/>
      <c r="V432" s="60"/>
      <c r="W432" s="60"/>
      <c r="X432" s="60"/>
      <c r="Y432" s="60"/>
      <c r="Z432" s="60"/>
      <c r="AA432" s="60"/>
      <c r="AB432" s="60"/>
      <c r="AC432" s="60"/>
      <c r="AD432" s="60"/>
      <c r="AE432" s="60"/>
      <c r="AF432" s="60"/>
      <c r="AG432" s="60"/>
      <c r="AH432" s="60"/>
      <c r="AI432" s="60"/>
    </row>
    <row r="433" s="350" customFormat="1" ht="22.5" customHeight="1">
      <c r="A433" s="33">
        <v>2</v>
      </c>
      <c r="B433" s="34" t="s">
        <v>542</v>
      </c>
      <c r="C433" s="79">
        <f t="shared" si="247"/>
        <v>7227724.3499999996</v>
      </c>
      <c r="D433" s="79">
        <f t="shared" si="248"/>
        <v>0</v>
      </c>
      <c r="E433" s="79">
        <v>0</v>
      </c>
      <c r="F433" s="79">
        <v>0</v>
      </c>
      <c r="G433" s="79">
        <v>0</v>
      </c>
      <c r="H433" s="79">
        <v>0</v>
      </c>
      <c r="I433" s="79">
        <v>0</v>
      </c>
      <c r="J433" s="398">
        <v>0</v>
      </c>
      <c r="K433" s="79">
        <v>0</v>
      </c>
      <c r="L433" s="79">
        <v>7227724.3499999996</v>
      </c>
      <c r="M433" s="79">
        <v>0</v>
      </c>
      <c r="N433" s="79">
        <v>0</v>
      </c>
      <c r="O433" s="79">
        <v>0</v>
      </c>
      <c r="P433" s="79">
        <v>0</v>
      </c>
      <c r="Q433" s="79">
        <v>0</v>
      </c>
      <c r="R433" s="79">
        <v>0</v>
      </c>
      <c r="S433" s="79">
        <v>0</v>
      </c>
      <c r="T433" s="79">
        <v>0</v>
      </c>
      <c r="U433" s="350"/>
      <c r="V433" s="350"/>
      <c r="W433" s="350"/>
      <c r="X433" s="350"/>
      <c r="Y433" s="350"/>
      <c r="Z433" s="350"/>
      <c r="AA433" s="350"/>
      <c r="AB433" s="350"/>
      <c r="AC433" s="350"/>
      <c r="AD433" s="350"/>
      <c r="AE433" s="350"/>
      <c r="AF433" s="350"/>
      <c r="AG433" s="350"/>
      <c r="AH433" s="350"/>
      <c r="AI433" s="350"/>
    </row>
    <row r="434" s="350" customFormat="1" ht="22.5" customHeight="1">
      <c r="A434" s="33">
        <v>3</v>
      </c>
      <c r="B434" s="42" t="s">
        <v>1142</v>
      </c>
      <c r="C434" s="79">
        <f t="shared" si="247"/>
        <v>4717353.0100000007</v>
      </c>
      <c r="D434" s="79">
        <f t="shared" si="248"/>
        <v>4514377.6500000004</v>
      </c>
      <c r="E434" s="79">
        <v>1284225.47</v>
      </c>
      <c r="F434" s="79">
        <v>2460590.3999999999</v>
      </c>
      <c r="G434" s="79">
        <v>0</v>
      </c>
      <c r="H434" s="79">
        <v>285691.21000000002</v>
      </c>
      <c r="I434" s="79">
        <v>483870.57000000001</v>
      </c>
      <c r="J434" s="398">
        <v>0</v>
      </c>
      <c r="K434" s="79">
        <v>0</v>
      </c>
      <c r="L434" s="79">
        <v>0</v>
      </c>
      <c r="M434" s="79">
        <v>0</v>
      </c>
      <c r="N434" s="79">
        <v>0</v>
      </c>
      <c r="O434" s="79">
        <v>0</v>
      </c>
      <c r="P434" s="79">
        <v>202975.35999999999</v>
      </c>
      <c r="Q434" s="79">
        <v>0</v>
      </c>
      <c r="R434" s="79">
        <v>0</v>
      </c>
      <c r="S434" s="79">
        <v>0</v>
      </c>
      <c r="T434" s="79">
        <v>0</v>
      </c>
      <c r="U434" s="350"/>
      <c r="V434" s="350"/>
      <c r="W434" s="350"/>
      <c r="X434" s="350"/>
      <c r="Y434" s="350"/>
      <c r="Z434" s="350"/>
      <c r="AA434" s="350"/>
      <c r="AB434" s="350"/>
      <c r="AC434" s="350"/>
      <c r="AD434" s="350"/>
      <c r="AE434" s="350"/>
    </row>
    <row r="435" s="350" customFormat="1" ht="22.5" customHeight="1">
      <c r="A435" s="33">
        <v>4</v>
      </c>
      <c r="B435" s="34" t="s">
        <v>1143</v>
      </c>
      <c r="C435" s="158">
        <f t="shared" si="247"/>
        <v>932172.73999999999</v>
      </c>
      <c r="D435" s="79">
        <f t="shared" si="248"/>
        <v>670241.43999999994</v>
      </c>
      <c r="E435" s="158">
        <v>670241.43999999994</v>
      </c>
      <c r="F435" s="79">
        <v>0</v>
      </c>
      <c r="G435" s="158">
        <v>0</v>
      </c>
      <c r="H435" s="79">
        <v>0</v>
      </c>
      <c r="I435" s="158">
        <v>0</v>
      </c>
      <c r="J435" s="398">
        <v>0</v>
      </c>
      <c r="K435" s="158">
        <v>0</v>
      </c>
      <c r="L435" s="79">
        <v>0</v>
      </c>
      <c r="M435" s="158">
        <v>0</v>
      </c>
      <c r="N435" s="79">
        <v>0</v>
      </c>
      <c r="O435" s="158">
        <v>0</v>
      </c>
      <c r="P435" s="79">
        <v>261931.29999999999</v>
      </c>
      <c r="Q435" s="158">
        <v>0</v>
      </c>
      <c r="R435" s="56">
        <v>0</v>
      </c>
      <c r="S435" s="158">
        <v>0</v>
      </c>
      <c r="T435" s="79">
        <v>0</v>
      </c>
      <c r="U435" s="54"/>
      <c r="V435" s="54"/>
      <c r="W435" s="54"/>
      <c r="X435" s="54"/>
      <c r="Y435" s="54"/>
      <c r="Z435" s="54"/>
      <c r="AA435" s="54"/>
      <c r="AB435" s="54"/>
      <c r="AC435" s="54"/>
      <c r="AD435" s="54"/>
      <c r="AE435" s="54"/>
    </row>
    <row r="436" s="350" customFormat="1" ht="22.5" customHeight="1">
      <c r="A436" s="33">
        <v>5</v>
      </c>
      <c r="B436" s="34" t="s">
        <v>545</v>
      </c>
      <c r="C436" s="79">
        <f t="shared" si="247"/>
        <v>236885.39999999999</v>
      </c>
      <c r="D436" s="79">
        <f t="shared" si="248"/>
        <v>236885.39999999999</v>
      </c>
      <c r="E436" s="79">
        <v>236885.39999999999</v>
      </c>
      <c r="F436" s="79">
        <v>0</v>
      </c>
      <c r="G436" s="79">
        <v>0</v>
      </c>
      <c r="H436" s="79">
        <v>0</v>
      </c>
      <c r="I436" s="79">
        <v>0</v>
      </c>
      <c r="J436" s="398">
        <v>0</v>
      </c>
      <c r="K436" s="79">
        <v>0</v>
      </c>
      <c r="L436" s="79">
        <v>0</v>
      </c>
      <c r="M436" s="79">
        <v>0</v>
      </c>
      <c r="N436" s="79">
        <v>0</v>
      </c>
      <c r="O436" s="79">
        <v>0</v>
      </c>
      <c r="P436" s="79">
        <v>0</v>
      </c>
      <c r="Q436" s="79">
        <v>0</v>
      </c>
      <c r="R436" s="56">
        <v>0</v>
      </c>
      <c r="S436" s="79">
        <v>0</v>
      </c>
      <c r="T436" s="79">
        <v>0</v>
      </c>
      <c r="U436" s="350"/>
      <c r="V436" s="350"/>
      <c r="W436" s="350"/>
      <c r="X436" s="350"/>
      <c r="Y436" s="350"/>
      <c r="Z436" s="350"/>
      <c r="AA436" s="350"/>
      <c r="AB436" s="350"/>
      <c r="AC436" s="350"/>
      <c r="AD436" s="350"/>
      <c r="AE436" s="350"/>
      <c r="AF436" s="350"/>
      <c r="AG436" s="350"/>
      <c r="AH436" s="350"/>
      <c r="AI436" s="350"/>
    </row>
    <row r="437" s="350" customFormat="1" ht="22.5" customHeight="1">
      <c r="A437" s="33">
        <v>6</v>
      </c>
      <c r="B437" s="34" t="s">
        <v>547</v>
      </c>
      <c r="C437" s="79">
        <f t="shared" si="247"/>
        <v>236885.39999999999</v>
      </c>
      <c r="D437" s="79">
        <f t="shared" si="248"/>
        <v>236885.39999999999</v>
      </c>
      <c r="E437" s="79">
        <v>236885.39999999999</v>
      </c>
      <c r="F437" s="79">
        <v>0</v>
      </c>
      <c r="G437" s="79">
        <v>0</v>
      </c>
      <c r="H437" s="79">
        <v>0</v>
      </c>
      <c r="I437" s="79">
        <v>0</v>
      </c>
      <c r="J437" s="398">
        <v>0</v>
      </c>
      <c r="K437" s="79">
        <v>0</v>
      </c>
      <c r="L437" s="79">
        <v>0</v>
      </c>
      <c r="M437" s="79">
        <v>0</v>
      </c>
      <c r="N437" s="79">
        <v>0</v>
      </c>
      <c r="O437" s="79">
        <v>0</v>
      </c>
      <c r="P437" s="79">
        <v>0</v>
      </c>
      <c r="Q437" s="79">
        <v>0</v>
      </c>
      <c r="R437" s="56">
        <v>0</v>
      </c>
      <c r="S437" s="79">
        <v>0</v>
      </c>
      <c r="T437" s="79">
        <v>0</v>
      </c>
      <c r="U437" s="54"/>
      <c r="V437" s="350"/>
      <c r="W437" s="350"/>
      <c r="X437" s="350"/>
      <c r="Y437" s="350"/>
      <c r="Z437" s="350"/>
      <c r="AA437" s="350"/>
      <c r="AB437" s="350"/>
      <c r="AC437" s="350"/>
      <c r="AD437" s="350"/>
      <c r="AE437" s="350"/>
      <c r="AF437" s="350"/>
      <c r="AG437" s="350"/>
      <c r="AH437" s="350"/>
      <c r="AI437" s="350"/>
    </row>
    <row r="438" s="350" customFormat="1" ht="22.5" customHeight="1">
      <c r="A438" s="33">
        <v>7</v>
      </c>
      <c r="B438" s="34" t="s">
        <v>1144</v>
      </c>
      <c r="C438" s="79">
        <f t="shared" si="247"/>
        <v>3809686.54</v>
      </c>
      <c r="D438" s="79">
        <f t="shared" si="248"/>
        <v>0</v>
      </c>
      <c r="E438" s="79">
        <v>0</v>
      </c>
      <c r="F438" s="79">
        <v>0</v>
      </c>
      <c r="G438" s="79">
        <v>0</v>
      </c>
      <c r="H438" s="79">
        <v>0</v>
      </c>
      <c r="I438" s="79">
        <v>0</v>
      </c>
      <c r="J438" s="398">
        <v>0</v>
      </c>
      <c r="K438" s="79">
        <v>0</v>
      </c>
      <c r="L438" s="79">
        <v>3633057.7200000002</v>
      </c>
      <c r="M438" s="79">
        <v>0</v>
      </c>
      <c r="N438" s="79">
        <v>0</v>
      </c>
      <c r="O438" s="79">
        <v>0</v>
      </c>
      <c r="P438" s="79">
        <v>176628.82000000001</v>
      </c>
      <c r="Q438" s="79">
        <v>0</v>
      </c>
      <c r="R438" s="79">
        <v>0</v>
      </c>
      <c r="S438" s="79">
        <v>0</v>
      </c>
      <c r="T438" s="79">
        <v>0</v>
      </c>
      <c r="U438" s="350"/>
      <c r="V438" s="350"/>
      <c r="W438" s="350"/>
      <c r="X438" s="350"/>
      <c r="Y438" s="350"/>
      <c r="Z438" s="350"/>
      <c r="AA438" s="350"/>
      <c r="AB438" s="350"/>
      <c r="AC438" s="350"/>
      <c r="AD438" s="350"/>
      <c r="AE438" s="350"/>
    </row>
    <row r="439" s="350" customFormat="1" ht="22.5" customHeight="1">
      <c r="A439" s="33">
        <v>8</v>
      </c>
      <c r="B439" s="34" t="s">
        <v>549</v>
      </c>
      <c r="C439" s="158">
        <f t="shared" si="247"/>
        <v>682512.32999999996</v>
      </c>
      <c r="D439" s="79">
        <f t="shared" si="248"/>
        <v>682512.32999999996</v>
      </c>
      <c r="E439" s="158">
        <v>682512.32999999996</v>
      </c>
      <c r="F439" s="79">
        <v>0</v>
      </c>
      <c r="G439" s="158">
        <v>0</v>
      </c>
      <c r="H439" s="79">
        <v>0</v>
      </c>
      <c r="I439" s="158">
        <v>0</v>
      </c>
      <c r="J439" s="398">
        <v>0</v>
      </c>
      <c r="K439" s="158">
        <v>0</v>
      </c>
      <c r="L439" s="79">
        <v>0</v>
      </c>
      <c r="M439" s="158">
        <v>0</v>
      </c>
      <c r="N439" s="79">
        <v>0</v>
      </c>
      <c r="O439" s="158">
        <v>0</v>
      </c>
      <c r="P439" s="79">
        <v>0</v>
      </c>
      <c r="Q439" s="158">
        <v>0</v>
      </c>
      <c r="R439" s="56">
        <v>0</v>
      </c>
      <c r="S439" s="158">
        <v>0</v>
      </c>
      <c r="T439" s="79">
        <v>0</v>
      </c>
      <c r="U439" s="54"/>
      <c r="V439" s="54"/>
      <c r="W439" s="54"/>
      <c r="X439" s="54"/>
      <c r="Y439" s="54"/>
      <c r="Z439" s="54"/>
      <c r="AA439" s="54"/>
      <c r="AB439" s="54"/>
      <c r="AC439" s="54"/>
      <c r="AD439" s="54"/>
      <c r="AE439" s="54"/>
    </row>
    <row r="440" s="350" customFormat="1" ht="22.5" customHeight="1">
      <c r="A440" s="33">
        <v>9</v>
      </c>
      <c r="B440" s="34" t="s">
        <v>550</v>
      </c>
      <c r="C440" s="79">
        <f t="shared" si="247"/>
        <v>1987446.8000000003</v>
      </c>
      <c r="D440" s="79">
        <f t="shared" si="248"/>
        <v>1987446.8000000003</v>
      </c>
      <c r="E440" s="79">
        <v>245277.60000000001</v>
      </c>
      <c r="F440" s="79">
        <v>1171744.8</v>
      </c>
      <c r="G440" s="79">
        <v>85895.600000000006</v>
      </c>
      <c r="H440" s="79">
        <v>202699.20000000001</v>
      </c>
      <c r="I440" s="79">
        <v>281829.59999999998</v>
      </c>
      <c r="J440" s="398">
        <v>0</v>
      </c>
      <c r="K440" s="79">
        <v>0</v>
      </c>
      <c r="L440" s="79">
        <v>0</v>
      </c>
      <c r="M440" s="79">
        <v>0</v>
      </c>
      <c r="N440" s="79">
        <v>0</v>
      </c>
      <c r="O440" s="79">
        <v>0</v>
      </c>
      <c r="P440" s="79">
        <v>0</v>
      </c>
      <c r="Q440" s="79">
        <v>0</v>
      </c>
      <c r="R440" s="79">
        <v>0</v>
      </c>
      <c r="S440" s="79">
        <v>0</v>
      </c>
      <c r="T440" s="79">
        <v>0</v>
      </c>
      <c r="U440" s="350"/>
      <c r="V440" s="350"/>
      <c r="W440" s="350"/>
      <c r="X440" s="350"/>
      <c r="Y440" s="350"/>
      <c r="Z440" s="350"/>
      <c r="AA440" s="350"/>
      <c r="AB440" s="350"/>
      <c r="AC440" s="350"/>
      <c r="AD440" s="350"/>
      <c r="AE440" s="350"/>
    </row>
    <row r="441" s="350" customFormat="1" ht="22.5" customHeight="1">
      <c r="A441" s="33">
        <v>10</v>
      </c>
      <c r="B441" s="34" t="s">
        <v>551</v>
      </c>
      <c r="C441" s="79">
        <f t="shared" si="247"/>
        <v>3816224.9199999999</v>
      </c>
      <c r="D441" s="79">
        <f t="shared" si="248"/>
        <v>3816224.9199999999</v>
      </c>
      <c r="E441" s="79">
        <v>0</v>
      </c>
      <c r="F441" s="79">
        <v>3489440.1200000001</v>
      </c>
      <c r="G441" s="79">
        <v>326784.79999999999</v>
      </c>
      <c r="H441" s="79">
        <v>0</v>
      </c>
      <c r="I441" s="79">
        <v>0</v>
      </c>
      <c r="J441" s="398">
        <v>0</v>
      </c>
      <c r="K441" s="79">
        <v>0</v>
      </c>
      <c r="L441" s="79">
        <v>0</v>
      </c>
      <c r="M441" s="79">
        <v>0</v>
      </c>
      <c r="N441" s="79">
        <v>0</v>
      </c>
      <c r="O441" s="79">
        <v>0</v>
      </c>
      <c r="P441" s="79">
        <v>0</v>
      </c>
      <c r="Q441" s="79">
        <v>0</v>
      </c>
      <c r="R441" s="79">
        <v>0</v>
      </c>
      <c r="S441" s="79">
        <v>0</v>
      </c>
      <c r="T441" s="79">
        <v>0</v>
      </c>
      <c r="U441" s="350"/>
      <c r="V441" s="350"/>
      <c r="W441" s="350"/>
      <c r="X441" s="350"/>
      <c r="Y441" s="350"/>
      <c r="Z441" s="350"/>
      <c r="AA441" s="350"/>
      <c r="AB441" s="350"/>
      <c r="AC441" s="350"/>
      <c r="AD441" s="350"/>
      <c r="AE441" s="350"/>
    </row>
    <row r="442" s="350" customFormat="1" ht="22.5" customHeight="1">
      <c r="A442" s="33">
        <v>11</v>
      </c>
      <c r="B442" s="34" t="s">
        <v>552</v>
      </c>
      <c r="C442" s="79">
        <f t="shared" si="247"/>
        <v>1926850.98</v>
      </c>
      <c r="D442" s="79">
        <f t="shared" si="248"/>
        <v>1926850.98</v>
      </c>
      <c r="E442" s="79">
        <v>236885.39999999999</v>
      </c>
      <c r="F442" s="79">
        <v>1106588.8700000001</v>
      </c>
      <c r="G442" s="79">
        <v>87708.919999999998</v>
      </c>
      <c r="H442" s="79">
        <v>205492.20999999999</v>
      </c>
      <c r="I442" s="79">
        <v>290175.58000000002</v>
      </c>
      <c r="J442" s="398">
        <v>0</v>
      </c>
      <c r="K442" s="79">
        <v>0</v>
      </c>
      <c r="L442" s="79">
        <v>0</v>
      </c>
      <c r="M442" s="79">
        <v>0</v>
      </c>
      <c r="N442" s="79">
        <v>0</v>
      </c>
      <c r="O442" s="79">
        <v>0</v>
      </c>
      <c r="P442" s="79">
        <v>0</v>
      </c>
      <c r="Q442" s="79">
        <v>0</v>
      </c>
      <c r="R442" s="56">
        <v>0</v>
      </c>
      <c r="S442" s="79">
        <v>0</v>
      </c>
      <c r="T442" s="79">
        <v>0</v>
      </c>
      <c r="U442" s="350"/>
      <c r="V442" s="350"/>
      <c r="W442" s="350"/>
      <c r="X442" s="350"/>
      <c r="Y442" s="350"/>
      <c r="Z442" s="350"/>
      <c r="AA442" s="350"/>
      <c r="AB442" s="350"/>
      <c r="AC442" s="350"/>
      <c r="AD442" s="350"/>
      <c r="AE442" s="350"/>
    </row>
    <row r="443" s="350" customFormat="1" ht="22.5" customHeight="1">
      <c r="A443" s="33">
        <v>12</v>
      </c>
      <c r="B443" s="34" t="s">
        <v>553</v>
      </c>
      <c r="C443" s="79">
        <f t="shared" si="247"/>
        <v>1926850.98</v>
      </c>
      <c r="D443" s="79">
        <f t="shared" si="248"/>
        <v>1926850.98</v>
      </c>
      <c r="E443" s="79">
        <v>236885.39999999999</v>
      </c>
      <c r="F443" s="79">
        <v>1106588.8700000001</v>
      </c>
      <c r="G443" s="79">
        <v>87708.919999999998</v>
      </c>
      <c r="H443" s="79">
        <v>205492.20999999999</v>
      </c>
      <c r="I443" s="79">
        <v>290175.58000000002</v>
      </c>
      <c r="J443" s="398">
        <v>0</v>
      </c>
      <c r="K443" s="79">
        <v>0</v>
      </c>
      <c r="L443" s="79">
        <v>0</v>
      </c>
      <c r="M443" s="79">
        <v>0</v>
      </c>
      <c r="N443" s="79">
        <v>0</v>
      </c>
      <c r="O443" s="79">
        <v>0</v>
      </c>
      <c r="P443" s="79">
        <v>0</v>
      </c>
      <c r="Q443" s="79">
        <v>0</v>
      </c>
      <c r="R443" s="56">
        <v>0</v>
      </c>
      <c r="S443" s="79">
        <v>0</v>
      </c>
      <c r="T443" s="79">
        <v>0</v>
      </c>
      <c r="U443" s="350"/>
      <c r="V443" s="350"/>
      <c r="W443" s="350"/>
      <c r="X443" s="350"/>
      <c r="Y443" s="350"/>
      <c r="Z443" s="350"/>
      <c r="AA443" s="350"/>
      <c r="AB443" s="350"/>
      <c r="AC443" s="350"/>
      <c r="AD443" s="350"/>
      <c r="AE443" s="350"/>
      <c r="AF443" s="350"/>
      <c r="AG443" s="350"/>
      <c r="AH443" s="350"/>
      <c r="AI443" s="350"/>
      <c r="AJ443" s="350"/>
      <c r="AK443" s="350"/>
      <c r="AL443" s="350"/>
    </row>
    <row r="444" s="350" customFormat="1" ht="22.5" customHeight="1">
      <c r="A444" s="33">
        <v>13</v>
      </c>
      <c r="B444" s="34" t="s">
        <v>1145</v>
      </c>
      <c r="C444" s="158">
        <f t="shared" si="247"/>
        <v>288915.08000000002</v>
      </c>
      <c r="D444" s="79">
        <f t="shared" si="248"/>
        <v>0</v>
      </c>
      <c r="E444" s="158">
        <v>0</v>
      </c>
      <c r="F444" s="79">
        <v>0</v>
      </c>
      <c r="G444" s="158">
        <v>0</v>
      </c>
      <c r="H444" s="79">
        <v>0</v>
      </c>
      <c r="I444" s="158">
        <v>0</v>
      </c>
      <c r="J444" s="398">
        <v>0</v>
      </c>
      <c r="K444" s="158">
        <v>0</v>
      </c>
      <c r="L444" s="79">
        <v>0</v>
      </c>
      <c r="M444" s="158">
        <v>0</v>
      </c>
      <c r="N444" s="79">
        <v>0</v>
      </c>
      <c r="O444" s="158">
        <v>0</v>
      </c>
      <c r="P444" s="79">
        <v>288915.08000000002</v>
      </c>
      <c r="Q444" s="158">
        <v>0</v>
      </c>
      <c r="R444" s="56">
        <v>0</v>
      </c>
      <c r="S444" s="158">
        <v>0</v>
      </c>
      <c r="T444" s="79">
        <v>0</v>
      </c>
      <c r="U444" s="60"/>
      <c r="V444" s="60"/>
      <c r="W444" s="60"/>
      <c r="X444" s="60"/>
      <c r="Y444" s="60"/>
      <c r="Z444" s="60"/>
      <c r="AA444" s="60"/>
      <c r="AB444" s="60"/>
      <c r="AC444" s="60"/>
      <c r="AD444" s="60"/>
      <c r="AE444" s="60"/>
      <c r="AF444" s="60"/>
      <c r="AG444" s="60"/>
      <c r="AH444" s="60"/>
      <c r="AI444" s="60"/>
      <c r="AJ444" s="60"/>
      <c r="AK444" s="60"/>
      <c r="AL444" s="60"/>
    </row>
    <row r="445" s="350" customFormat="1" ht="22.5" customHeight="1">
      <c r="A445" s="33">
        <v>14</v>
      </c>
      <c r="B445" s="34" t="s">
        <v>1146</v>
      </c>
      <c r="C445" s="79">
        <f t="shared" si="247"/>
        <v>9563903.4399999995</v>
      </c>
      <c r="D445" s="79">
        <f t="shared" si="248"/>
        <v>0</v>
      </c>
      <c r="E445" s="79">
        <v>0</v>
      </c>
      <c r="F445" s="79">
        <v>0</v>
      </c>
      <c r="G445" s="79">
        <v>0</v>
      </c>
      <c r="H445" s="79">
        <v>0</v>
      </c>
      <c r="I445" s="79">
        <v>0</v>
      </c>
      <c r="J445" s="398">
        <v>0</v>
      </c>
      <c r="K445" s="79">
        <v>0</v>
      </c>
      <c r="L445" s="79">
        <v>9254758.8599999994</v>
      </c>
      <c r="M445" s="79">
        <v>0</v>
      </c>
      <c r="N445" s="79">
        <v>0</v>
      </c>
      <c r="O445" s="79">
        <v>0</v>
      </c>
      <c r="P445" s="79">
        <v>309144.58000000002</v>
      </c>
      <c r="Q445" s="79">
        <v>0</v>
      </c>
      <c r="R445" s="79">
        <v>0</v>
      </c>
      <c r="S445" s="79">
        <v>0</v>
      </c>
      <c r="T445" s="79">
        <v>0</v>
      </c>
      <c r="U445" s="350"/>
      <c r="V445" s="350"/>
      <c r="W445" s="350"/>
      <c r="X445" s="350"/>
      <c r="Y445" s="350"/>
      <c r="Z445" s="350"/>
      <c r="AA445" s="350"/>
      <c r="AB445" s="350"/>
      <c r="AC445" s="350"/>
      <c r="AD445" s="350"/>
      <c r="AE445" s="350"/>
      <c r="AF445" s="350"/>
      <c r="AG445" s="350"/>
      <c r="AH445" s="350"/>
      <c r="AI445" s="350"/>
      <c r="AJ445" s="350"/>
      <c r="AK445" s="350"/>
      <c r="AL445" s="350"/>
    </row>
    <row r="446" s="350" customFormat="1" ht="22.5" customHeight="1">
      <c r="A446" s="33">
        <v>15</v>
      </c>
      <c r="B446" s="34" t="s">
        <v>557</v>
      </c>
      <c r="C446" s="79">
        <f t="shared" si="247"/>
        <v>494917.34999999998</v>
      </c>
      <c r="D446" s="79">
        <f t="shared" si="248"/>
        <v>494917.34999999998</v>
      </c>
      <c r="E446" s="79">
        <v>494917.34999999998</v>
      </c>
      <c r="F446" s="79">
        <v>0</v>
      </c>
      <c r="G446" s="79">
        <v>0</v>
      </c>
      <c r="H446" s="79">
        <v>0</v>
      </c>
      <c r="I446" s="79">
        <v>0</v>
      </c>
      <c r="J446" s="398">
        <v>0</v>
      </c>
      <c r="K446" s="79">
        <v>0</v>
      </c>
      <c r="L446" s="79">
        <v>0</v>
      </c>
      <c r="M446" s="79">
        <v>0</v>
      </c>
      <c r="N446" s="79">
        <v>0</v>
      </c>
      <c r="O446" s="79">
        <v>0</v>
      </c>
      <c r="P446" s="79">
        <v>0</v>
      </c>
      <c r="Q446" s="79">
        <v>0</v>
      </c>
      <c r="R446" s="56">
        <v>0</v>
      </c>
      <c r="S446" s="79">
        <v>0</v>
      </c>
      <c r="T446" s="79">
        <v>0</v>
      </c>
      <c r="U446" s="350"/>
      <c r="V446" s="350"/>
      <c r="W446" s="350"/>
      <c r="X446" s="350"/>
      <c r="Y446" s="350"/>
      <c r="Z446" s="350"/>
      <c r="AA446" s="350"/>
      <c r="AB446" s="350"/>
      <c r="AC446" s="350"/>
      <c r="AD446" s="350"/>
      <c r="AE446" s="350"/>
      <c r="AF446" s="350"/>
      <c r="AG446" s="350"/>
      <c r="AH446" s="350"/>
      <c r="AI446" s="350"/>
      <c r="AJ446" s="350"/>
      <c r="AK446" s="350"/>
    </row>
    <row r="447" s="350" customFormat="1" ht="22.5" customHeight="1">
      <c r="A447" s="33">
        <v>16</v>
      </c>
      <c r="B447" s="34" t="s">
        <v>558</v>
      </c>
      <c r="C447" s="79">
        <f t="shared" si="247"/>
        <v>495769.45000000001</v>
      </c>
      <c r="D447" s="79">
        <f t="shared" si="248"/>
        <v>495769.45000000001</v>
      </c>
      <c r="E447" s="79">
        <v>495769.45000000001</v>
      </c>
      <c r="F447" s="79">
        <v>0</v>
      </c>
      <c r="G447" s="79">
        <v>0</v>
      </c>
      <c r="H447" s="79">
        <v>0</v>
      </c>
      <c r="I447" s="79">
        <v>0</v>
      </c>
      <c r="J447" s="398">
        <v>0</v>
      </c>
      <c r="K447" s="79">
        <v>0</v>
      </c>
      <c r="L447" s="79">
        <v>0</v>
      </c>
      <c r="M447" s="79">
        <v>0</v>
      </c>
      <c r="N447" s="79">
        <v>0</v>
      </c>
      <c r="O447" s="79">
        <v>0</v>
      </c>
      <c r="P447" s="79">
        <v>0</v>
      </c>
      <c r="Q447" s="79">
        <v>0</v>
      </c>
      <c r="R447" s="56">
        <v>0</v>
      </c>
      <c r="S447" s="79">
        <v>0</v>
      </c>
      <c r="T447" s="79">
        <v>0</v>
      </c>
      <c r="U447" s="350"/>
      <c r="V447" s="350"/>
      <c r="W447" s="350"/>
      <c r="X447" s="350"/>
      <c r="Y447" s="350"/>
      <c r="Z447" s="350"/>
      <c r="AA447" s="350"/>
      <c r="AB447" s="350"/>
      <c r="AC447" s="350"/>
      <c r="AD447" s="350"/>
      <c r="AE447" s="350"/>
      <c r="AF447" s="350"/>
      <c r="AG447" s="350"/>
      <c r="AH447" s="350"/>
      <c r="AI447" s="350"/>
      <c r="AJ447" s="350"/>
      <c r="AK447" s="350"/>
      <c r="AL447" s="350"/>
    </row>
    <row r="448" s="350" customFormat="1" ht="22.5" customHeight="1">
      <c r="A448" s="33">
        <v>17</v>
      </c>
      <c r="B448" s="34" t="s">
        <v>1147</v>
      </c>
      <c r="C448" s="79">
        <f t="shared" si="247"/>
        <v>590729.73999999999</v>
      </c>
      <c r="D448" s="79">
        <f t="shared" si="248"/>
        <v>468771.57000000001</v>
      </c>
      <c r="E448" s="79">
        <v>468771.57000000001</v>
      </c>
      <c r="F448" s="79">
        <v>0</v>
      </c>
      <c r="G448" s="79">
        <v>0</v>
      </c>
      <c r="H448" s="79">
        <v>0</v>
      </c>
      <c r="I448" s="79">
        <v>0</v>
      </c>
      <c r="J448" s="398">
        <v>0</v>
      </c>
      <c r="K448" s="79">
        <v>0</v>
      </c>
      <c r="L448" s="79">
        <v>0</v>
      </c>
      <c r="M448" s="79">
        <v>0</v>
      </c>
      <c r="N448" s="79">
        <v>0</v>
      </c>
      <c r="O448" s="79">
        <v>0</v>
      </c>
      <c r="P448" s="79">
        <v>121958.17</v>
      </c>
      <c r="Q448" s="79">
        <v>0</v>
      </c>
      <c r="R448" s="79">
        <v>0</v>
      </c>
      <c r="S448" s="79">
        <v>0</v>
      </c>
      <c r="T448" s="79">
        <v>0</v>
      </c>
      <c r="U448" s="350"/>
      <c r="V448" s="350"/>
      <c r="W448" s="350"/>
      <c r="X448" s="350"/>
      <c r="Y448" s="350"/>
      <c r="Z448" s="350"/>
      <c r="AA448" s="350"/>
      <c r="AB448" s="350"/>
      <c r="AC448" s="350"/>
      <c r="AD448" s="350"/>
      <c r="AE448" s="350"/>
      <c r="AF448" s="350"/>
      <c r="AG448" s="350"/>
      <c r="AH448" s="350"/>
      <c r="AI448" s="350"/>
      <c r="AJ448" s="350"/>
      <c r="AK448" s="350"/>
      <c r="AL448" s="350"/>
    </row>
    <row r="449" s="350" customFormat="1" ht="22.5" customHeight="1">
      <c r="A449" s="61" t="s">
        <v>1148</v>
      </c>
      <c r="B449" s="61"/>
      <c r="C449" s="154">
        <f>SUM(C450:C452)</f>
        <v>5523218.6899999995</v>
      </c>
      <c r="D449" s="154">
        <f>SUM(D450:D452)</f>
        <v>0</v>
      </c>
      <c r="E449" s="154">
        <f>SUM(E450:E452)</f>
        <v>0</v>
      </c>
      <c r="F449" s="154">
        <f>SUM(F450:F452)</f>
        <v>0</v>
      </c>
      <c r="G449" s="154">
        <f>SUM(G450:G452)</f>
        <v>0</v>
      </c>
      <c r="H449" s="154">
        <f>SUM(H450:H452)</f>
        <v>0</v>
      </c>
      <c r="I449" s="154">
        <f>SUM(I450:I452)</f>
        <v>0</v>
      </c>
      <c r="J449" s="155">
        <f>SUM(J450:J452)</f>
        <v>0</v>
      </c>
      <c r="K449" s="154">
        <f>SUM(K450:K452)</f>
        <v>0</v>
      </c>
      <c r="L449" s="154">
        <f>SUM(L450:L452)</f>
        <v>5344254.9699999997</v>
      </c>
      <c r="M449" s="154">
        <f>SUM(M450:M452)</f>
        <v>0</v>
      </c>
      <c r="N449" s="154">
        <f>SUM(N450:N452)</f>
        <v>0</v>
      </c>
      <c r="O449" s="154">
        <f>SUM(O450:O452)</f>
        <v>0</v>
      </c>
      <c r="P449" s="154">
        <f>SUM(P450:P452)</f>
        <v>178963.72</v>
      </c>
      <c r="Q449" s="154">
        <f>SUM(Q450:Q452)</f>
        <v>0</v>
      </c>
      <c r="R449" s="154">
        <f>SUM(R450:R452)</f>
        <v>0</v>
      </c>
      <c r="S449" s="154">
        <f>SUM(S450:S452)</f>
        <v>0</v>
      </c>
      <c r="T449" s="154">
        <f>SUM(T450:T452)</f>
        <v>0</v>
      </c>
      <c r="U449" s="350"/>
      <c r="V449" s="350"/>
      <c r="W449" s="350"/>
      <c r="X449" s="350"/>
      <c r="Y449" s="350"/>
      <c r="Z449" s="350"/>
      <c r="AA449" s="350"/>
      <c r="AB449" s="350"/>
      <c r="AC449" s="350"/>
      <c r="AD449" s="350"/>
      <c r="AE449" s="350"/>
      <c r="AF449" s="350"/>
      <c r="AG449" s="350"/>
      <c r="AH449" s="350"/>
      <c r="AI449" s="350"/>
    </row>
    <row r="450" s="350" customFormat="1" ht="22.5" customHeight="1">
      <c r="A450" s="33">
        <v>1</v>
      </c>
      <c r="B450" s="117" t="s">
        <v>562</v>
      </c>
      <c r="C450" s="79">
        <f>D450+K450+L450+M450+N450+O450+P450+Q450+R450+S450+T450</f>
        <v>1802531.01</v>
      </c>
      <c r="D450" s="79">
        <f>SUM(E450:I450)</f>
        <v>0</v>
      </c>
      <c r="E450" s="92">
        <v>0</v>
      </c>
      <c r="F450" s="92">
        <v>0</v>
      </c>
      <c r="G450" s="92">
        <v>0</v>
      </c>
      <c r="H450" s="92">
        <v>0</v>
      </c>
      <c r="I450" s="92">
        <v>0</v>
      </c>
      <c r="J450" s="401">
        <v>0</v>
      </c>
      <c r="K450" s="92">
        <v>0</v>
      </c>
      <c r="L450" s="92">
        <v>1802531.01</v>
      </c>
      <c r="M450" s="92">
        <v>0</v>
      </c>
      <c r="N450" s="92">
        <v>0</v>
      </c>
      <c r="O450" s="92">
        <v>0</v>
      </c>
      <c r="P450" s="92">
        <v>0</v>
      </c>
      <c r="Q450" s="92">
        <v>0</v>
      </c>
      <c r="R450" s="92">
        <v>0</v>
      </c>
      <c r="S450" s="92">
        <v>0</v>
      </c>
      <c r="T450" s="92">
        <v>0</v>
      </c>
      <c r="U450" s="350"/>
      <c r="V450" s="350"/>
      <c r="W450" s="350"/>
      <c r="X450" s="350"/>
      <c r="Y450" s="350"/>
      <c r="Z450" s="350"/>
      <c r="AA450" s="350"/>
      <c r="AB450" s="350"/>
      <c r="AC450" s="350"/>
      <c r="AD450" s="350"/>
      <c r="AE450" s="350"/>
    </row>
    <row r="451" s="350" customFormat="1" ht="22.5" customHeight="1">
      <c r="A451" s="33">
        <v>2</v>
      </c>
      <c r="B451" s="117" t="s">
        <v>563</v>
      </c>
      <c r="C451" s="79">
        <f t="shared" si="247"/>
        <v>3541723.96</v>
      </c>
      <c r="D451" s="79">
        <f t="shared" si="248"/>
        <v>0</v>
      </c>
      <c r="E451" s="92">
        <v>0</v>
      </c>
      <c r="F451" s="92">
        <v>0</v>
      </c>
      <c r="G451" s="92">
        <v>0</v>
      </c>
      <c r="H451" s="92">
        <v>0</v>
      </c>
      <c r="I451" s="92">
        <v>0</v>
      </c>
      <c r="J451" s="401">
        <v>0</v>
      </c>
      <c r="K451" s="92">
        <v>0</v>
      </c>
      <c r="L451" s="92">
        <v>3541723.96</v>
      </c>
      <c r="M451" s="92">
        <v>0</v>
      </c>
      <c r="N451" s="92">
        <v>0</v>
      </c>
      <c r="O451" s="92">
        <v>0</v>
      </c>
      <c r="P451" s="92">
        <v>0</v>
      </c>
      <c r="Q451" s="92">
        <v>0</v>
      </c>
      <c r="R451" s="92">
        <v>0</v>
      </c>
      <c r="S451" s="92">
        <v>0</v>
      </c>
      <c r="T451" s="92">
        <v>0</v>
      </c>
      <c r="U451" s="350"/>
      <c r="V451" s="350"/>
      <c r="W451" s="350"/>
      <c r="X451" s="350"/>
      <c r="Y451" s="350"/>
      <c r="Z451" s="350"/>
      <c r="AA451" s="350"/>
      <c r="AB451" s="350"/>
      <c r="AC451" s="350"/>
      <c r="AD451" s="350"/>
      <c r="AE451" s="350"/>
      <c r="AF451" s="350"/>
      <c r="AG451" s="350"/>
      <c r="AH451" s="350"/>
      <c r="AI451" s="350"/>
    </row>
    <row r="452" s="399" customFormat="1" ht="22.5" customHeight="1">
      <c r="A452" s="33">
        <v>3</v>
      </c>
      <c r="B452" s="118" t="s">
        <v>1149</v>
      </c>
      <c r="C452" s="429">
        <f t="shared" si="247"/>
        <v>178963.72</v>
      </c>
      <c r="D452" s="213">
        <f t="shared" si="248"/>
        <v>0</v>
      </c>
      <c r="E452" s="397">
        <v>0</v>
      </c>
      <c r="F452" s="397">
        <v>0</v>
      </c>
      <c r="G452" s="397">
        <v>0</v>
      </c>
      <c r="H452" s="397">
        <v>0</v>
      </c>
      <c r="I452" s="397">
        <v>0</v>
      </c>
      <c r="J452" s="430">
        <v>0</v>
      </c>
      <c r="K452" s="397">
        <v>0</v>
      </c>
      <c r="L452" s="397">
        <v>0</v>
      </c>
      <c r="M452" s="397">
        <v>0</v>
      </c>
      <c r="N452" s="397">
        <v>0</v>
      </c>
      <c r="O452" s="397">
        <v>0</v>
      </c>
      <c r="P452" s="397">
        <v>178963.72</v>
      </c>
      <c r="Q452" s="397">
        <v>0</v>
      </c>
      <c r="R452" s="397">
        <v>0</v>
      </c>
      <c r="S452" s="397">
        <v>0</v>
      </c>
      <c r="T452" s="397">
        <v>0</v>
      </c>
      <c r="U452" s="399"/>
      <c r="V452" s="399"/>
      <c r="W452" s="399"/>
      <c r="X452" s="399"/>
      <c r="Y452" s="399"/>
      <c r="Z452" s="399"/>
      <c r="AA452" s="399"/>
      <c r="AB452" s="399"/>
      <c r="AC452" s="399"/>
      <c r="AD452" s="399"/>
      <c r="AE452" s="399"/>
      <c r="AF452" s="302"/>
      <c r="AG452" s="302"/>
      <c r="AH452" s="302"/>
      <c r="AI452" s="302"/>
    </row>
    <row r="453" s="350" customFormat="1" ht="27.75" customHeight="1">
      <c r="A453" s="61" t="s">
        <v>567</v>
      </c>
      <c r="B453" s="61"/>
      <c r="C453" s="154">
        <f>SUM(C454:C455)</f>
        <v>3431485.71</v>
      </c>
      <c r="D453" s="154">
        <f>SUM(D454:D455)</f>
        <v>3431485.71</v>
      </c>
      <c r="E453" s="154">
        <f>SUM(E454:E455)</f>
        <v>0</v>
      </c>
      <c r="F453" s="154">
        <f>SUM(F454:F455)</f>
        <v>3431485.71</v>
      </c>
      <c r="G453" s="154">
        <f>SUM(G454:G455)</f>
        <v>0</v>
      </c>
      <c r="H453" s="154">
        <f>SUM(H454:H455)</f>
        <v>0</v>
      </c>
      <c r="I453" s="154">
        <f>SUM(I454:I455)</f>
        <v>0</v>
      </c>
      <c r="J453" s="155">
        <f>SUM(J454:J455)</f>
        <v>0</v>
      </c>
      <c r="K453" s="154">
        <f>SUM(K454:K455)</f>
        <v>0</v>
      </c>
      <c r="L453" s="154">
        <f>SUM(L454:L455)</f>
        <v>0</v>
      </c>
      <c r="M453" s="154">
        <f>SUM(M454:M455)</f>
        <v>0</v>
      </c>
      <c r="N453" s="154">
        <f>SUM(N454:N455)</f>
        <v>0</v>
      </c>
      <c r="O453" s="154">
        <f>SUM(O454:O455)</f>
        <v>0</v>
      </c>
      <c r="P453" s="154">
        <f>SUM(P454:P455)</f>
        <v>0</v>
      </c>
      <c r="Q453" s="154">
        <f>SUM(Q454:Q455)</f>
        <v>0</v>
      </c>
      <c r="R453" s="154">
        <f>SUM(R454:R455)</f>
        <v>0</v>
      </c>
      <c r="S453" s="154">
        <f>SUM(S454:S455)</f>
        <v>0</v>
      </c>
      <c r="T453" s="154">
        <f>SUM(T454:T455)</f>
        <v>0</v>
      </c>
      <c r="U453" s="350"/>
      <c r="V453" s="350"/>
      <c r="W453" s="350"/>
      <c r="X453" s="350"/>
      <c r="Y453" s="350"/>
      <c r="Z453" s="350"/>
      <c r="AA453" s="350"/>
      <c r="AB453" s="350"/>
      <c r="AC453" s="350"/>
      <c r="AD453" s="350"/>
      <c r="AE453" s="350"/>
      <c r="AF453" s="350"/>
      <c r="AG453" s="350"/>
      <c r="AH453" s="350"/>
      <c r="AI453" s="350"/>
    </row>
    <row r="454" s="350" customFormat="1" ht="23.25" customHeight="1">
      <c r="A454" s="33">
        <v>1</v>
      </c>
      <c r="B454" s="50" t="s">
        <v>568</v>
      </c>
      <c r="C454" s="79">
        <f>D454+K454+L454+M454+N454+O454+P454+Q454+R454+S454+T454</f>
        <v>1746872.9099999999</v>
      </c>
      <c r="D454" s="79">
        <f>SUM(E454:I454)</f>
        <v>1746872.9099999999</v>
      </c>
      <c r="E454" s="79">
        <v>0</v>
      </c>
      <c r="F454" s="79">
        <v>1746872.9099999999</v>
      </c>
      <c r="G454" s="79">
        <v>0</v>
      </c>
      <c r="H454" s="79">
        <v>0</v>
      </c>
      <c r="I454" s="79">
        <v>0</v>
      </c>
      <c r="J454" s="398">
        <v>0</v>
      </c>
      <c r="K454" s="79">
        <v>0</v>
      </c>
      <c r="L454" s="79">
        <v>0</v>
      </c>
      <c r="M454" s="79">
        <v>0</v>
      </c>
      <c r="N454" s="79">
        <v>0</v>
      </c>
      <c r="O454" s="79">
        <v>0</v>
      </c>
      <c r="P454" s="79">
        <v>0</v>
      </c>
      <c r="Q454" s="79">
        <v>0</v>
      </c>
      <c r="R454" s="79">
        <v>0</v>
      </c>
      <c r="S454" s="79">
        <v>0</v>
      </c>
      <c r="T454" s="79">
        <v>0</v>
      </c>
      <c r="U454" s="350"/>
      <c r="V454" s="350"/>
      <c r="W454" s="350"/>
      <c r="X454" s="350"/>
      <c r="Y454" s="350"/>
      <c r="Z454" s="350"/>
      <c r="AA454" s="350"/>
      <c r="AB454" s="350"/>
      <c r="AC454" s="350"/>
      <c r="AD454" s="350"/>
      <c r="AE454" s="350"/>
      <c r="AF454" s="350"/>
      <c r="AG454" s="350"/>
      <c r="AH454" s="350"/>
      <c r="AI454" s="350"/>
    </row>
    <row r="455" s="350" customFormat="1" ht="22.5" customHeight="1">
      <c r="A455" s="33">
        <v>2</v>
      </c>
      <c r="B455" s="50" t="s">
        <v>569</v>
      </c>
      <c r="C455" s="79">
        <f t="shared" si="247"/>
        <v>1684612.8</v>
      </c>
      <c r="D455" s="79">
        <f t="shared" si="248"/>
        <v>1684612.8</v>
      </c>
      <c r="E455" s="79">
        <v>0</v>
      </c>
      <c r="F455" s="79">
        <v>1684612.8</v>
      </c>
      <c r="G455" s="79">
        <v>0</v>
      </c>
      <c r="H455" s="79">
        <v>0</v>
      </c>
      <c r="I455" s="79">
        <v>0</v>
      </c>
      <c r="J455" s="398">
        <v>0</v>
      </c>
      <c r="K455" s="79">
        <v>0</v>
      </c>
      <c r="L455" s="79">
        <v>0</v>
      </c>
      <c r="M455" s="79">
        <v>0</v>
      </c>
      <c r="N455" s="79">
        <v>0</v>
      </c>
      <c r="O455" s="79">
        <v>0</v>
      </c>
      <c r="P455" s="79">
        <v>0</v>
      </c>
      <c r="Q455" s="79">
        <v>0</v>
      </c>
      <c r="R455" s="79">
        <v>0</v>
      </c>
      <c r="S455" s="79">
        <v>0</v>
      </c>
      <c r="T455" s="79">
        <v>0</v>
      </c>
      <c r="U455" s="350"/>
      <c r="V455" s="350"/>
      <c r="W455" s="350"/>
      <c r="X455" s="350"/>
      <c r="Y455" s="350"/>
      <c r="Z455" s="350"/>
      <c r="AA455" s="350"/>
      <c r="AB455" s="350"/>
      <c r="AC455" s="350"/>
      <c r="AD455" s="350"/>
      <c r="AE455" s="350"/>
      <c r="AF455" s="350"/>
      <c r="AG455" s="350"/>
      <c r="AH455" s="350"/>
      <c r="AI455" s="350"/>
    </row>
    <row r="456" s="431" customFormat="1" ht="22.5" customHeight="1">
      <c r="A456" s="391" t="s">
        <v>884</v>
      </c>
      <c r="B456" s="391"/>
      <c r="C456" s="432"/>
      <c r="D456" s="432"/>
      <c r="E456" s="432"/>
      <c r="F456" s="432"/>
      <c r="G456" s="432"/>
      <c r="H456" s="432"/>
      <c r="I456" s="432"/>
      <c r="J456" s="433"/>
      <c r="K456" s="432"/>
      <c r="L456" s="432"/>
      <c r="M456" s="432"/>
      <c r="N456" s="432"/>
      <c r="O456" s="432"/>
      <c r="P456" s="432"/>
      <c r="Q456" s="432"/>
      <c r="R456" s="432"/>
      <c r="S456" s="432"/>
      <c r="T456" s="432"/>
      <c r="U456" s="431"/>
      <c r="V456" s="431"/>
      <c r="W456" s="431"/>
      <c r="X456" s="431"/>
      <c r="Y456" s="431"/>
      <c r="Z456" s="431"/>
      <c r="AA456" s="431"/>
      <c r="AB456" s="431"/>
      <c r="AC456" s="431"/>
      <c r="AD456" s="431"/>
      <c r="AE456" s="431"/>
      <c r="AF456" s="431"/>
      <c r="AG456" s="431"/>
      <c r="AH456" s="431"/>
      <c r="AI456" s="431"/>
    </row>
    <row r="457" s="350" customFormat="1" ht="22.5" customHeight="1">
      <c r="A457" s="434" t="s">
        <v>38</v>
      </c>
      <c r="B457" s="434"/>
      <c r="C457" s="154">
        <f>C458+C630+C632+C636+C645+C660+C665+C672+C676+C679+C696+C700+C702+C705+C711+C719+C743+C750+C759+C764+C767+C769+C773+C782+C801+C803</f>
        <v>3266832911.6170402</v>
      </c>
      <c r="D457" s="154">
        <f>D458+D630+D632+D636+D645+D660+D665+D672+D676+D679+D696+D700+D702+D705+D711+D719+D743+D750+D759+D764+D767+D769+D773+D782+D801+D803</f>
        <v>567505827.38</v>
      </c>
      <c r="E457" s="154">
        <f>E458+E630+E632+E636+E645+E660+E665+E672+E676+E679+E696+E700+E702+E705+E711+E719+E743+E750+E759+E764+E767+E769+E773+E782+E801+E803</f>
        <v>152842876.17000002</v>
      </c>
      <c r="F457" s="154">
        <f>F458+F630+F632+F636+F645+F660+F665+F672+F676+F679+F696+F700+F702+F705+F711+F719+F743+F750+F759+F764+F767+F769+F773+F782+F801+F803</f>
        <v>286786051</v>
      </c>
      <c r="G457" s="154">
        <f>G458+G630+G632+G636+G645+G660+G665+G672+G676+G679+G696+G700+G702+G705+G711+G719+G743+G750+G759+G764+G767+G769+G773+G782+G801+G803</f>
        <v>69913283.550000012</v>
      </c>
      <c r="H457" s="154">
        <f>H458+H630+H632+H636+H645+H660+H665+H672+H676+H679+H696+H700+H702+H705+H711+H719+H743+H750+H759+H764+H767+H769+H773+H782+H801+H803</f>
        <v>27597345.880000003</v>
      </c>
      <c r="I457" s="154">
        <f>I458+I630+I632+I636+I645+I660+I665+I672+I676+I679+I696+I700+I702+I705+I711+I719+I743+I750+I759+I764+I767+I769+I773+I782+I801+I803</f>
        <v>30366270.780000001</v>
      </c>
      <c r="J457" s="155">
        <f>J458+J630+J632+J636+J645+J660+J665+J672+J676+J679+J696+J700+J702+J705+J711+J719+J743+J750+J759+J764+J767+J769+J773+J782+J801+J803</f>
        <v>42</v>
      </c>
      <c r="K457" s="154">
        <f>K458+K630+K632+K636+K645+K660+K665+K672+K676+K679+K696+K700+K702+K705+K711+K719+K743+K750+K759+K764+K767+K769+K773+K782+K801+K803</f>
        <v>211778252.40000001</v>
      </c>
      <c r="L457" s="154">
        <f>L458+L630+L632+L636+L645+L660+L665+L672+L676+L679+L696+L700+L702+L705+L711+L719+L743+L750+L759+L764+L767+L769+L773+L782+L801+L803</f>
        <v>1389008145.7799997</v>
      </c>
      <c r="M457" s="154">
        <f>M458+M630+M632+M636+M645+M660+M665+M672+M676+M679+M696+M700+M702+M705+M711+M719+M743+M750+M759+M764+M767+M769+M773+M782+M801+M803</f>
        <v>0</v>
      </c>
      <c r="N457" s="154">
        <f>N458+N630+N632+N636+N645+N660+N665+N672+N676+N679+N696+N700+N702+N705+N711+N719+N743+N750+N759+N764+N767+N769+N773+N782+N801+N803</f>
        <v>371760597.83000004</v>
      </c>
      <c r="O457" s="154">
        <f>O458+O630+O632+O636+O645+O660+O665+O672+O676+O679+O696+O700+O702+O705+O711+O719+O743+O750+O759+O764+O767+O769+O773+O782+O801+O803</f>
        <v>0</v>
      </c>
      <c r="P457" s="154">
        <f>P458+P630+P632+P636+P645+P660+P665+P672+P676+P679+P696+P700+P702+P705+P711+P719+P743+P750+P759+P764+P767+P769+P773+P782+P801+P803</f>
        <v>127897396.80000001</v>
      </c>
      <c r="Q457" s="154">
        <f>Q458+Q630+Q632+Q636+Q645+Q660+Q665+Q672+Q676+Q679+Q696+Q700+Q702+Q705+Q711+Q719+Q743+Q750+Q759+Q764+Q767+Q769+Q773+Q782+Q801+Q803</f>
        <v>2002193</v>
      </c>
      <c r="R457" s="154">
        <f>R458+R630+R632+R636+R645+R660+R665+R672+R676+R679+R696+R700+R702+R705+R711+R719+R743+R750+R759+R764+R767+R769+R773+R782+R801+R803</f>
        <v>62322559.507040024</v>
      </c>
      <c r="S457" s="154">
        <f>S458+S630+S632+S636+S645+S660+S665+S672+S676+S679+S696+S700+S702+S705+S711+S719+S743+S750+S759+S764+S767+S769+S773+S782+S801+S803</f>
        <v>534557938.91999996</v>
      </c>
      <c r="T457" s="154">
        <f>T458+T630+T632+T636+T645+T660+T665+T672+T676+T679+T696+T700+T702+T705+T711+T719+T743+T750+T759+T764+T767+T769+T773+T782+T801+T803</f>
        <v>0</v>
      </c>
      <c r="U457" s="350"/>
      <c r="V457" s="350"/>
      <c r="W457" s="350"/>
      <c r="X457" s="350"/>
      <c r="Y457" s="350"/>
      <c r="Z457" s="350"/>
      <c r="AA457" s="350"/>
      <c r="AB457" s="350"/>
      <c r="AC457" s="350"/>
      <c r="AD457" s="350"/>
      <c r="AE457" s="350"/>
      <c r="AF457" s="350"/>
      <c r="AG457" s="350"/>
      <c r="AH457" s="350"/>
      <c r="AI457" s="350"/>
    </row>
    <row r="458" s="350" customFormat="1" ht="22.5" customHeight="1">
      <c r="A458" s="25" t="s">
        <v>41</v>
      </c>
      <c r="B458" s="25"/>
      <c r="C458" s="154">
        <f>SUM(C459:C629)</f>
        <v>2011567326.3200004</v>
      </c>
      <c r="D458" s="154">
        <f>SUM(D459:D629)</f>
        <v>357369335.65999997</v>
      </c>
      <c r="E458" s="154">
        <f>SUM(E459:E629)</f>
        <v>75374547.670000002</v>
      </c>
      <c r="F458" s="154">
        <f>SUM(F459:F629)</f>
        <v>201139714.02999997</v>
      </c>
      <c r="G458" s="154">
        <f>SUM(G459:G629)</f>
        <v>48904194.609999999</v>
      </c>
      <c r="H458" s="154">
        <f>SUM(H459:H629)</f>
        <v>16719573.190000003</v>
      </c>
      <c r="I458" s="154">
        <f>SUM(I459:I629)</f>
        <v>15231306.16</v>
      </c>
      <c r="J458" s="155">
        <f>SUM(J459:J629)</f>
        <v>40</v>
      </c>
      <c r="K458" s="154">
        <f>SUM(K459:K629)</f>
        <v>201252638.40000001</v>
      </c>
      <c r="L458" s="154">
        <f>SUM(L459:L629)</f>
        <v>793276593.81000006</v>
      </c>
      <c r="M458" s="154">
        <f>SUM(M459:M629)</f>
        <v>0</v>
      </c>
      <c r="N458" s="154">
        <f>SUM(N459:N629)</f>
        <v>293084828.88</v>
      </c>
      <c r="O458" s="154">
        <f>SUM(O459:O629)</f>
        <v>0</v>
      </c>
      <c r="P458" s="154">
        <f>SUM(P459:P629)</f>
        <v>64438972.120000005</v>
      </c>
      <c r="Q458" s="154">
        <f>SUM(Q459:Q629)</f>
        <v>0</v>
      </c>
      <c r="R458" s="154">
        <f>SUM(R459:R629)</f>
        <v>37431046.500000015</v>
      </c>
      <c r="S458" s="154">
        <f>SUM(S459:S629)</f>
        <v>264713910.94999999</v>
      </c>
      <c r="T458" s="154">
        <f>SUM(T459:T629)</f>
        <v>0</v>
      </c>
      <c r="U458" s="350"/>
      <c r="V458" s="350"/>
      <c r="W458" s="350"/>
      <c r="X458" s="350"/>
      <c r="Y458" s="350"/>
      <c r="Z458" s="350"/>
      <c r="AA458" s="350"/>
      <c r="AB458" s="350"/>
      <c r="AC458" s="350"/>
      <c r="AD458" s="350"/>
      <c r="AE458" s="350"/>
    </row>
    <row r="459" s="350" customFormat="1" ht="22.5" customHeight="1">
      <c r="A459" s="33">
        <v>1</v>
      </c>
      <c r="B459" s="42" t="s">
        <v>571</v>
      </c>
      <c r="C459" s="79">
        <f t="shared" ref="C459:C522" si="249">D459+K459+L459+M459+N459+O459+P459+Q459+R459+S459+T459</f>
        <v>9765558.4700000007</v>
      </c>
      <c r="D459" s="79">
        <f t="shared" ref="D459:D522" si="250">SUM(E459:I459)</f>
        <v>0</v>
      </c>
      <c r="E459" s="92">
        <v>0</v>
      </c>
      <c r="F459" s="92">
        <v>0</v>
      </c>
      <c r="G459" s="92">
        <v>0</v>
      </c>
      <c r="H459" s="92">
        <v>0</v>
      </c>
      <c r="I459" s="92">
        <v>0</v>
      </c>
      <c r="J459" s="398">
        <v>0</v>
      </c>
      <c r="K459" s="79">
        <v>0</v>
      </c>
      <c r="L459" s="79">
        <v>9765558.4700000007</v>
      </c>
      <c r="M459" s="79">
        <v>0</v>
      </c>
      <c r="N459" s="79">
        <v>0</v>
      </c>
      <c r="O459" s="79">
        <v>0</v>
      </c>
      <c r="P459" s="92">
        <v>0</v>
      </c>
      <c r="Q459" s="79">
        <v>0</v>
      </c>
      <c r="R459" s="79">
        <v>0</v>
      </c>
      <c r="S459" s="79">
        <v>0</v>
      </c>
      <c r="T459" s="79">
        <v>0</v>
      </c>
      <c r="U459" s="350"/>
      <c r="V459" s="350"/>
      <c r="W459" s="350"/>
      <c r="X459" s="350"/>
      <c r="Y459" s="350"/>
      <c r="Z459" s="350"/>
      <c r="AA459" s="350"/>
      <c r="AB459" s="350"/>
      <c r="AC459" s="350"/>
      <c r="AD459" s="350"/>
      <c r="AE459" s="350"/>
    </row>
    <row r="460" s="350" customFormat="1" ht="22.5" customHeight="1">
      <c r="A460" s="33">
        <v>2</v>
      </c>
      <c r="B460" s="42" t="s">
        <v>1150</v>
      </c>
      <c r="C460" s="79">
        <f t="shared" si="249"/>
        <v>20890853.77</v>
      </c>
      <c r="D460" s="79">
        <f t="shared" si="250"/>
        <v>0</v>
      </c>
      <c r="E460" s="92">
        <v>0</v>
      </c>
      <c r="F460" s="79">
        <v>0</v>
      </c>
      <c r="G460" s="92">
        <v>0</v>
      </c>
      <c r="H460" s="92">
        <v>0</v>
      </c>
      <c r="I460" s="79">
        <v>0</v>
      </c>
      <c r="J460" s="398">
        <v>0</v>
      </c>
      <c r="K460" s="79">
        <v>0</v>
      </c>
      <c r="L460" s="79">
        <v>20110115.300000001</v>
      </c>
      <c r="M460" s="79">
        <v>0</v>
      </c>
      <c r="N460" s="79">
        <v>0</v>
      </c>
      <c r="O460" s="79">
        <v>0</v>
      </c>
      <c r="P460" s="92">
        <v>350382</v>
      </c>
      <c r="Q460" s="79">
        <v>0</v>
      </c>
      <c r="R460" s="79">
        <v>430356.46999999997</v>
      </c>
      <c r="S460" s="79">
        <v>0</v>
      </c>
      <c r="T460" s="79">
        <v>0</v>
      </c>
      <c r="U460" s="399"/>
      <c r="V460" s="399"/>
      <c r="W460" s="399"/>
      <c r="X460" s="399"/>
      <c r="Y460" s="399"/>
      <c r="Z460" s="399"/>
      <c r="AA460" s="399"/>
      <c r="AB460" s="399"/>
      <c r="AC460" s="399"/>
      <c r="AD460" s="399"/>
      <c r="AE460" s="399"/>
    </row>
    <row r="461" s="350" customFormat="1" ht="22.5" customHeight="1">
      <c r="A461" s="33">
        <v>3</v>
      </c>
      <c r="B461" s="42" t="s">
        <v>49</v>
      </c>
      <c r="C461" s="79">
        <f t="shared" si="249"/>
        <v>452896.73000000004</v>
      </c>
      <c r="D461" s="79">
        <f t="shared" si="250"/>
        <v>443407.80000000005</v>
      </c>
      <c r="E461" s="92">
        <v>0</v>
      </c>
      <c r="F461" s="79">
        <v>0</v>
      </c>
      <c r="G461" s="92">
        <v>272529.30000000005</v>
      </c>
      <c r="H461" s="92">
        <v>170878.5</v>
      </c>
      <c r="I461" s="79">
        <v>0</v>
      </c>
      <c r="J461" s="398">
        <v>0</v>
      </c>
      <c r="K461" s="79">
        <v>0</v>
      </c>
      <c r="L461" s="79">
        <v>0</v>
      </c>
      <c r="M461" s="79">
        <v>0</v>
      </c>
      <c r="N461" s="79">
        <v>0</v>
      </c>
      <c r="O461" s="79">
        <v>0</v>
      </c>
      <c r="P461" s="92">
        <v>0</v>
      </c>
      <c r="Q461" s="79">
        <v>0</v>
      </c>
      <c r="R461" s="79">
        <f>5832.13+3656.8</f>
        <v>9488.9300000000003</v>
      </c>
      <c r="S461" s="79">
        <v>0</v>
      </c>
      <c r="T461" s="79">
        <v>0</v>
      </c>
      <c r="U461" s="350"/>
      <c r="V461" s="350"/>
      <c r="W461" s="350"/>
      <c r="X461" s="350"/>
      <c r="Y461" s="350"/>
      <c r="Z461" s="350"/>
      <c r="AA461" s="350"/>
      <c r="AB461" s="350"/>
      <c r="AC461" s="350"/>
      <c r="AD461" s="350"/>
      <c r="AE461" s="350"/>
    </row>
    <row r="462" s="350" customFormat="1" ht="22.5" customHeight="1">
      <c r="A462" s="33">
        <v>4</v>
      </c>
      <c r="B462" s="42" t="s">
        <v>1151</v>
      </c>
      <c r="C462" s="79">
        <f t="shared" si="249"/>
        <v>19480545.539999999</v>
      </c>
      <c r="D462" s="79">
        <f t="shared" si="250"/>
        <v>6818630.7000000002</v>
      </c>
      <c r="E462" s="92">
        <v>6818630.7000000002</v>
      </c>
      <c r="F462" s="92">
        <v>0</v>
      </c>
      <c r="G462" s="79">
        <v>0</v>
      </c>
      <c r="H462" s="92">
        <v>0</v>
      </c>
      <c r="I462" s="92">
        <v>0</v>
      </c>
      <c r="J462" s="398">
        <v>0</v>
      </c>
      <c r="K462" s="79">
        <v>0</v>
      </c>
      <c r="L462" s="92">
        <v>12165614.140000001</v>
      </c>
      <c r="M462" s="79">
        <v>0</v>
      </c>
      <c r="N462" s="79">
        <v>0</v>
      </c>
      <c r="O462" s="79">
        <v>0</v>
      </c>
      <c r="P462" s="92">
        <v>350382</v>
      </c>
      <c r="Q462" s="79">
        <v>0</v>
      </c>
      <c r="R462" s="79">
        <v>145918.70000000001</v>
      </c>
      <c r="S462" s="79">
        <v>0</v>
      </c>
      <c r="T462" s="79">
        <v>0</v>
      </c>
      <c r="U462" s="350"/>
      <c r="V462" s="350"/>
      <c r="W462" s="350"/>
      <c r="X462" s="350"/>
      <c r="Y462" s="350"/>
      <c r="Z462" s="350"/>
      <c r="AA462" s="350"/>
      <c r="AB462" s="350"/>
      <c r="AC462" s="350"/>
      <c r="AD462" s="350"/>
      <c r="AE462" s="350"/>
    </row>
    <row r="463" s="350" customFormat="1" ht="22.5" customHeight="1">
      <c r="A463" s="33">
        <v>5</v>
      </c>
      <c r="B463" s="42" t="s">
        <v>1152</v>
      </c>
      <c r="C463" s="213">
        <f t="shared" si="249"/>
        <v>350382</v>
      </c>
      <c r="D463" s="79">
        <f t="shared" si="250"/>
        <v>0</v>
      </c>
      <c r="E463" s="92">
        <v>0</v>
      </c>
      <c r="F463" s="92">
        <v>0</v>
      </c>
      <c r="G463" s="158">
        <v>0</v>
      </c>
      <c r="H463" s="92">
        <v>0</v>
      </c>
      <c r="I463" s="92">
        <v>0</v>
      </c>
      <c r="J463" s="345">
        <v>0</v>
      </c>
      <c r="K463" s="79">
        <v>0</v>
      </c>
      <c r="L463" s="92">
        <v>0</v>
      </c>
      <c r="M463" s="158">
        <v>0</v>
      </c>
      <c r="N463" s="79">
        <v>0</v>
      </c>
      <c r="O463" s="158">
        <v>0</v>
      </c>
      <c r="P463" s="92">
        <v>350382</v>
      </c>
      <c r="Q463" s="158">
        <v>0</v>
      </c>
      <c r="R463" s="79">
        <v>0</v>
      </c>
      <c r="S463" s="158">
        <v>0</v>
      </c>
      <c r="T463" s="79">
        <v>0</v>
      </c>
      <c r="U463" s="399"/>
      <c r="V463" s="399"/>
      <c r="W463" s="399"/>
      <c r="X463" s="399"/>
      <c r="Y463" s="399"/>
      <c r="Z463" s="399"/>
      <c r="AA463" s="399"/>
      <c r="AB463" s="399"/>
      <c r="AC463" s="399"/>
      <c r="AD463" s="399"/>
      <c r="AE463" s="399"/>
    </row>
    <row r="464" s="350" customFormat="1" ht="22.5" customHeight="1">
      <c r="A464" s="33">
        <v>6</v>
      </c>
      <c r="B464" s="42" t="s">
        <v>62</v>
      </c>
      <c r="C464" s="79">
        <f t="shared" si="249"/>
        <v>19108256.010000002</v>
      </c>
      <c r="D464" s="79">
        <f t="shared" si="250"/>
        <v>0</v>
      </c>
      <c r="E464" s="92">
        <v>0</v>
      </c>
      <c r="F464" s="79">
        <v>0</v>
      </c>
      <c r="G464" s="79">
        <v>0</v>
      </c>
      <c r="H464" s="92">
        <v>0</v>
      </c>
      <c r="I464" s="79">
        <v>0</v>
      </c>
      <c r="J464" s="398">
        <v>0</v>
      </c>
      <c r="K464" s="79">
        <v>0</v>
      </c>
      <c r="L464" s="92">
        <v>18707906.800000001</v>
      </c>
      <c r="M464" s="79">
        <v>0</v>
      </c>
      <c r="N464" s="79">
        <v>0</v>
      </c>
      <c r="O464" s="79">
        <v>0</v>
      </c>
      <c r="P464" s="92">
        <v>0</v>
      </c>
      <c r="Q464" s="79">
        <v>0</v>
      </c>
      <c r="R464" s="79">
        <v>400349.21000000002</v>
      </c>
      <c r="S464" s="79">
        <v>0</v>
      </c>
      <c r="T464" s="79">
        <v>0</v>
      </c>
      <c r="U464" s="350"/>
      <c r="V464" s="350"/>
      <c r="W464" s="350"/>
      <c r="X464" s="350"/>
      <c r="Y464" s="350"/>
      <c r="Z464" s="350"/>
      <c r="AA464" s="350"/>
      <c r="AB464" s="350"/>
      <c r="AC464" s="350"/>
      <c r="AD464" s="350"/>
      <c r="AE464" s="350"/>
      <c r="AF464" s="350"/>
      <c r="AG464" s="350"/>
      <c r="AH464" s="350"/>
      <c r="AI464" s="350"/>
      <c r="AJ464" s="350"/>
      <c r="AK464" s="350"/>
    </row>
    <row r="465" s="399" customFormat="1" ht="22.5" customHeight="1">
      <c r="A465" s="33">
        <v>7</v>
      </c>
      <c r="B465" s="42" t="s">
        <v>1153</v>
      </c>
      <c r="C465" s="79">
        <f t="shared" si="249"/>
        <v>26260361.970000003</v>
      </c>
      <c r="D465" s="79">
        <f t="shared" si="250"/>
        <v>2233902</v>
      </c>
      <c r="E465" s="92">
        <v>0</v>
      </c>
      <c r="F465" s="79">
        <v>0</v>
      </c>
      <c r="G465" s="79">
        <v>0</v>
      </c>
      <c r="H465" s="92">
        <v>862899.40000000002</v>
      </c>
      <c r="I465" s="79">
        <v>1371002.6000000001</v>
      </c>
      <c r="J465" s="398">
        <v>0</v>
      </c>
      <c r="K465" s="79">
        <v>0</v>
      </c>
      <c r="L465" s="92">
        <v>22790180.600000001</v>
      </c>
      <c r="M465" s="79">
        <v>0</v>
      </c>
      <c r="N465" s="79">
        <v>0</v>
      </c>
      <c r="O465" s="79">
        <v>0</v>
      </c>
      <c r="P465" s="92">
        <f>350382+350382</f>
        <v>700764</v>
      </c>
      <c r="Q465" s="79">
        <v>0</v>
      </c>
      <c r="R465" s="79">
        <f>487709.86+29339.46+18466.05</f>
        <v>535515.37</v>
      </c>
      <c r="S465" s="79">
        <v>0</v>
      </c>
      <c r="T465" s="79">
        <v>0</v>
      </c>
      <c r="U465" s="399"/>
      <c r="V465" s="399"/>
      <c r="W465" s="399"/>
      <c r="X465" s="399"/>
      <c r="Y465" s="399"/>
      <c r="Z465" s="399"/>
      <c r="AA465" s="399"/>
      <c r="AB465" s="399"/>
      <c r="AC465" s="399"/>
      <c r="AD465" s="399"/>
      <c r="AE465" s="399"/>
      <c r="AF465" s="399"/>
      <c r="AG465" s="399"/>
      <c r="AH465" s="399"/>
      <c r="AI465" s="399"/>
      <c r="AJ465" s="399"/>
      <c r="AK465" s="399"/>
    </row>
    <row r="466" s="399" customFormat="1" ht="22.5" customHeight="1">
      <c r="A466" s="33">
        <v>8</v>
      </c>
      <c r="B466" s="42" t="s">
        <v>1154</v>
      </c>
      <c r="C466" s="79">
        <f t="shared" si="249"/>
        <v>1236496.1400000001</v>
      </c>
      <c r="D466" s="79">
        <f t="shared" si="250"/>
        <v>867548.59999999998</v>
      </c>
      <c r="E466" s="92">
        <v>0</v>
      </c>
      <c r="F466" s="79">
        <v>0</v>
      </c>
      <c r="G466" s="79">
        <v>0</v>
      </c>
      <c r="H466" s="92">
        <v>867548.59999999998</v>
      </c>
      <c r="I466" s="79">
        <v>0</v>
      </c>
      <c r="J466" s="398">
        <v>0</v>
      </c>
      <c r="K466" s="79">
        <v>0</v>
      </c>
      <c r="L466" s="92">
        <v>0</v>
      </c>
      <c r="M466" s="79">
        <v>0</v>
      </c>
      <c r="N466" s="79">
        <v>0</v>
      </c>
      <c r="O466" s="79">
        <v>0</v>
      </c>
      <c r="P466" s="92">
        <v>350382</v>
      </c>
      <c r="Q466" s="79">
        <v>0</v>
      </c>
      <c r="R466" s="79">
        <v>18565.540000000001</v>
      </c>
      <c r="S466" s="79">
        <v>0</v>
      </c>
      <c r="T466" s="79">
        <v>0</v>
      </c>
      <c r="U466" s="399"/>
      <c r="V466" s="399"/>
      <c r="W466" s="399"/>
      <c r="X466" s="399"/>
      <c r="Y466" s="399"/>
      <c r="Z466" s="399"/>
      <c r="AA466" s="399"/>
      <c r="AB466" s="399"/>
      <c r="AC466" s="399"/>
      <c r="AD466" s="399"/>
      <c r="AE466" s="399"/>
      <c r="AF466" s="399"/>
      <c r="AG466" s="399"/>
      <c r="AH466" s="399"/>
      <c r="AI466" s="399"/>
      <c r="AJ466" s="399"/>
      <c r="AK466" s="399"/>
    </row>
    <row r="467" s="435" customFormat="1" ht="22.5" customHeight="1">
      <c r="A467" s="33">
        <v>9</v>
      </c>
      <c r="B467" s="42" t="s">
        <v>1155</v>
      </c>
      <c r="C467" s="79">
        <f t="shared" si="249"/>
        <v>6646665.46</v>
      </c>
      <c r="D467" s="79">
        <f t="shared" si="250"/>
        <v>5821325.0999999996</v>
      </c>
      <c r="E467" s="92">
        <v>0</v>
      </c>
      <c r="F467" s="79">
        <v>0</v>
      </c>
      <c r="G467" s="92">
        <v>3532292.1000000001</v>
      </c>
      <c r="H467" s="92">
        <v>884195.09999999998</v>
      </c>
      <c r="I467" s="92">
        <v>1404837.8999999999</v>
      </c>
      <c r="J467" s="398">
        <v>0</v>
      </c>
      <c r="K467" s="79">
        <v>0</v>
      </c>
      <c r="L467" s="79">
        <v>0</v>
      </c>
      <c r="M467" s="79">
        <v>0</v>
      </c>
      <c r="N467" s="92">
        <v>0</v>
      </c>
      <c r="O467" s="79">
        <v>0</v>
      </c>
      <c r="P467" s="92">
        <f>350382+350382</f>
        <v>700764</v>
      </c>
      <c r="Q467" s="79">
        <v>0</v>
      </c>
      <c r="R467" s="79">
        <f>30063.53+18921.78+75591.05</f>
        <v>124576.36</v>
      </c>
      <c r="S467" s="79">
        <v>0</v>
      </c>
      <c r="T467" s="79">
        <v>0</v>
      </c>
      <c r="U467" s="435"/>
      <c r="V467" s="435"/>
      <c r="W467" s="435"/>
      <c r="X467" s="435"/>
      <c r="Y467" s="435"/>
      <c r="Z467" s="435"/>
      <c r="AA467" s="435"/>
      <c r="AB467" s="435"/>
      <c r="AC467" s="435"/>
      <c r="AD467" s="435"/>
      <c r="AE467" s="435"/>
      <c r="AF467" s="435"/>
      <c r="AG467" s="435"/>
      <c r="AH467" s="435"/>
      <c r="AI467" s="435"/>
      <c r="AJ467" s="435"/>
      <c r="AK467" s="435"/>
    </row>
    <row r="468" s="435" customFormat="1" ht="22.5" customHeight="1">
      <c r="A468" s="33">
        <v>10</v>
      </c>
      <c r="B468" s="42" t="s">
        <v>1156</v>
      </c>
      <c r="C468" s="158">
        <f t="shared" si="249"/>
        <v>9521617.9900000002</v>
      </c>
      <c r="D468" s="79">
        <f t="shared" si="250"/>
        <v>8979083.5999999996</v>
      </c>
      <c r="E468" s="92">
        <v>0</v>
      </c>
      <c r="F468" s="158">
        <v>8979083.5999999996</v>
      </c>
      <c r="G468" s="79">
        <v>0</v>
      </c>
      <c r="H468" s="92">
        <v>0</v>
      </c>
      <c r="I468" s="158">
        <v>0</v>
      </c>
      <c r="J468" s="398">
        <v>0</v>
      </c>
      <c r="K468" s="158">
        <v>0</v>
      </c>
      <c r="L468" s="79">
        <v>0</v>
      </c>
      <c r="M468" s="158">
        <v>0</v>
      </c>
      <c r="N468" s="92">
        <v>0</v>
      </c>
      <c r="O468" s="158">
        <v>0</v>
      </c>
      <c r="P468" s="79">
        <v>350382</v>
      </c>
      <c r="Q468" s="158">
        <v>0</v>
      </c>
      <c r="R468" s="79">
        <v>192152.39000000001</v>
      </c>
      <c r="S468" s="158">
        <v>0</v>
      </c>
      <c r="T468" s="79">
        <v>0</v>
      </c>
      <c r="U468" s="399"/>
      <c r="V468" s="399"/>
      <c r="W468" s="399"/>
      <c r="X468" s="399"/>
      <c r="Y468" s="399"/>
      <c r="Z468" s="399"/>
      <c r="AA468" s="399"/>
      <c r="AB468" s="399"/>
      <c r="AC468" s="399"/>
      <c r="AD468" s="399"/>
      <c r="AE468" s="399"/>
      <c r="AF468" s="435"/>
      <c r="AG468" s="435"/>
      <c r="AH468" s="435"/>
      <c r="AI468" s="435"/>
      <c r="AJ468" s="435"/>
      <c r="AK468" s="435"/>
    </row>
    <row r="469" s="350" customFormat="1" ht="22.5" customHeight="1">
      <c r="A469" s="33">
        <v>11</v>
      </c>
      <c r="B469" s="42" t="s">
        <v>71</v>
      </c>
      <c r="C469" s="79">
        <f t="shared" si="249"/>
        <v>5223151.3799999999</v>
      </c>
      <c r="D469" s="79">
        <f t="shared" si="250"/>
        <v>5156506.8399999999</v>
      </c>
      <c r="E469" s="92">
        <v>0</v>
      </c>
      <c r="F469" s="79">
        <v>3114230.9900000002</v>
      </c>
      <c r="G469" s="79">
        <v>1374616.27</v>
      </c>
      <c r="H469" s="92">
        <v>308136.21999999997</v>
      </c>
      <c r="I469" s="79">
        <v>359523.35999999999</v>
      </c>
      <c r="J469" s="398">
        <v>0</v>
      </c>
      <c r="K469" s="79">
        <v>0</v>
      </c>
      <c r="L469" s="79">
        <v>0</v>
      </c>
      <c r="M469" s="79">
        <v>0</v>
      </c>
      <c r="N469" s="92">
        <v>0</v>
      </c>
      <c r="O469" s="79">
        <v>0</v>
      </c>
      <c r="P469" s="79">
        <v>0</v>
      </c>
      <c r="Q469" s="79">
        <v>0</v>
      </c>
      <c r="R469" s="79">
        <v>66644.539999999994</v>
      </c>
      <c r="S469" s="79">
        <v>0</v>
      </c>
      <c r="T469" s="79">
        <v>0</v>
      </c>
      <c r="U469" s="350"/>
      <c r="V469" s="350"/>
      <c r="W469" s="350"/>
      <c r="X469" s="350"/>
      <c r="Y469" s="350"/>
      <c r="Z469" s="350"/>
      <c r="AA469" s="350"/>
      <c r="AB469" s="350"/>
      <c r="AC469" s="350"/>
      <c r="AD469" s="350"/>
      <c r="AE469" s="350"/>
    </row>
    <row r="470" s="350" customFormat="1" ht="22.5" customHeight="1">
      <c r="A470" s="33">
        <v>12</v>
      </c>
      <c r="B470" s="42" t="s">
        <v>1157</v>
      </c>
      <c r="C470" s="79">
        <f t="shared" si="249"/>
        <v>3615933.5699999998</v>
      </c>
      <c r="D470" s="79">
        <f t="shared" si="250"/>
        <v>2854092</v>
      </c>
      <c r="E470" s="92">
        <v>0</v>
      </c>
      <c r="F470" s="79">
        <v>0</v>
      </c>
      <c r="G470" s="92">
        <v>2282693.5</v>
      </c>
      <c r="H470" s="92">
        <v>571398.5</v>
      </c>
      <c r="I470" s="79">
        <v>0</v>
      </c>
      <c r="J470" s="398">
        <v>0</v>
      </c>
      <c r="K470" s="79">
        <v>0</v>
      </c>
      <c r="L470" s="79">
        <v>0</v>
      </c>
      <c r="M470" s="79">
        <v>0</v>
      </c>
      <c r="N470" s="79">
        <v>0</v>
      </c>
      <c r="O470" s="79">
        <v>0</v>
      </c>
      <c r="P470" s="92">
        <f>350382+350382</f>
        <v>700764</v>
      </c>
      <c r="Q470" s="79">
        <v>0</v>
      </c>
      <c r="R470" s="79">
        <f>48849.64+12227.93</f>
        <v>61077.57</v>
      </c>
      <c r="S470" s="79">
        <v>0</v>
      </c>
      <c r="T470" s="79">
        <v>0</v>
      </c>
      <c r="U470" s="350"/>
      <c r="V470" s="350"/>
      <c r="W470" s="350"/>
      <c r="X470" s="350"/>
      <c r="Y470" s="350"/>
      <c r="Z470" s="350"/>
      <c r="AA470" s="350"/>
      <c r="AB470" s="350"/>
      <c r="AC470" s="350"/>
      <c r="AD470" s="350"/>
      <c r="AE470" s="350"/>
    </row>
    <row r="471" s="350" customFormat="1" ht="22.5" customHeight="1">
      <c r="A471" s="33">
        <v>13</v>
      </c>
      <c r="B471" s="42" t="s">
        <v>1158</v>
      </c>
      <c r="C471" s="158">
        <f t="shared" si="249"/>
        <v>6161088.8099999996</v>
      </c>
      <c r="D471" s="79">
        <f t="shared" si="250"/>
        <v>5688963</v>
      </c>
      <c r="E471" s="92">
        <v>5688963</v>
      </c>
      <c r="F471" s="158">
        <v>0</v>
      </c>
      <c r="G471" s="92">
        <v>0</v>
      </c>
      <c r="H471" s="92">
        <v>0</v>
      </c>
      <c r="I471" s="158">
        <v>0</v>
      </c>
      <c r="J471" s="398">
        <v>0</v>
      </c>
      <c r="K471" s="158">
        <v>0</v>
      </c>
      <c r="L471" s="79">
        <v>0</v>
      </c>
      <c r="M471" s="158">
        <v>0</v>
      </c>
      <c r="N471" s="79">
        <v>0</v>
      </c>
      <c r="O471" s="158">
        <v>0</v>
      </c>
      <c r="P471" s="92">
        <v>350382</v>
      </c>
      <c r="Q471" s="158">
        <v>0</v>
      </c>
      <c r="R471" s="79">
        <v>121743.81</v>
      </c>
      <c r="S471" s="158">
        <v>0</v>
      </c>
      <c r="T471" s="79">
        <v>0</v>
      </c>
      <c r="U471" s="399"/>
      <c r="V471" s="399"/>
      <c r="W471" s="399"/>
      <c r="X471" s="399"/>
      <c r="Y471" s="399"/>
      <c r="Z471" s="399"/>
      <c r="AA471" s="399"/>
      <c r="AB471" s="399"/>
      <c r="AC471" s="399"/>
      <c r="AD471" s="399"/>
      <c r="AE471" s="399"/>
    </row>
    <row r="472" s="350" customFormat="1" ht="22.5" customHeight="1">
      <c r="A472" s="33">
        <v>14</v>
      </c>
      <c r="B472" s="42" t="s">
        <v>930</v>
      </c>
      <c r="C472" s="79">
        <f t="shared" si="249"/>
        <v>8717963.0800000001</v>
      </c>
      <c r="D472" s="79">
        <f t="shared" si="250"/>
        <v>0</v>
      </c>
      <c r="E472" s="92">
        <v>0</v>
      </c>
      <c r="F472" s="92">
        <v>0</v>
      </c>
      <c r="G472" s="79">
        <v>0</v>
      </c>
      <c r="H472" s="92">
        <v>0</v>
      </c>
      <c r="I472" s="92">
        <v>0</v>
      </c>
      <c r="J472" s="398">
        <v>0</v>
      </c>
      <c r="K472" s="79">
        <v>0</v>
      </c>
      <c r="L472" s="79">
        <v>0</v>
      </c>
      <c r="M472" s="79">
        <v>0</v>
      </c>
      <c r="N472" s="92">
        <v>8535307.5</v>
      </c>
      <c r="O472" s="79">
        <v>0</v>
      </c>
      <c r="P472" s="79">
        <v>0</v>
      </c>
      <c r="Q472" s="79">
        <v>0</v>
      </c>
      <c r="R472" s="79">
        <v>182655.57999999999</v>
      </c>
      <c r="S472" s="79">
        <v>0</v>
      </c>
      <c r="T472" s="79">
        <v>0</v>
      </c>
      <c r="U472" s="350"/>
      <c r="V472" s="350"/>
      <c r="W472" s="350"/>
      <c r="X472" s="350"/>
      <c r="Y472" s="350"/>
      <c r="Z472" s="350"/>
      <c r="AA472" s="350"/>
      <c r="AB472" s="350"/>
      <c r="AC472" s="350"/>
      <c r="AD472" s="350"/>
      <c r="AE472" s="350"/>
    </row>
    <row r="473" s="350" customFormat="1" ht="22.5" customHeight="1">
      <c r="A473" s="33">
        <v>15</v>
      </c>
      <c r="B473" s="42" t="s">
        <v>75</v>
      </c>
      <c r="C473" s="79">
        <f t="shared" si="249"/>
        <v>5563360.04</v>
      </c>
      <c r="D473" s="79">
        <f t="shared" si="250"/>
        <v>0</v>
      </c>
      <c r="E473" s="92">
        <v>0</v>
      </c>
      <c r="F473" s="79">
        <v>0</v>
      </c>
      <c r="G473" s="79">
        <v>0</v>
      </c>
      <c r="H473" s="92">
        <v>0</v>
      </c>
      <c r="I473" s="79">
        <v>0</v>
      </c>
      <c r="J473" s="398">
        <v>0</v>
      </c>
      <c r="K473" s="79">
        <v>0</v>
      </c>
      <c r="L473" s="92">
        <v>5563360.04</v>
      </c>
      <c r="M473" s="79">
        <v>0</v>
      </c>
      <c r="N473" s="79">
        <v>0</v>
      </c>
      <c r="O473" s="79">
        <v>0</v>
      </c>
      <c r="P473" s="92">
        <v>0</v>
      </c>
      <c r="Q473" s="79">
        <v>0</v>
      </c>
      <c r="R473" s="79">
        <v>0</v>
      </c>
      <c r="S473" s="79">
        <v>0</v>
      </c>
      <c r="T473" s="79">
        <v>0</v>
      </c>
      <c r="U473" s="350"/>
      <c r="V473" s="350"/>
      <c r="W473" s="350"/>
      <c r="X473" s="350"/>
      <c r="Y473" s="350"/>
      <c r="Z473" s="350"/>
      <c r="AA473" s="350"/>
      <c r="AB473" s="350"/>
      <c r="AC473" s="350"/>
      <c r="AD473" s="350"/>
      <c r="AE473" s="350"/>
      <c r="AF473" s="350"/>
      <c r="AG473" s="350"/>
      <c r="AH473" s="350"/>
      <c r="AI473" s="350"/>
      <c r="AJ473" s="350"/>
    </row>
    <row r="474" s="350" customFormat="1" ht="22.5" customHeight="1">
      <c r="A474" s="33">
        <v>16</v>
      </c>
      <c r="B474" s="42" t="s">
        <v>1159</v>
      </c>
      <c r="C474" s="158">
        <f t="shared" si="249"/>
        <v>22022450.719999999</v>
      </c>
      <c r="D474" s="79">
        <f t="shared" si="250"/>
        <v>0</v>
      </c>
      <c r="E474" s="92">
        <v>0</v>
      </c>
      <c r="F474" s="158">
        <v>0</v>
      </c>
      <c r="G474" s="79">
        <v>0</v>
      </c>
      <c r="H474" s="92">
        <v>0</v>
      </c>
      <c r="I474" s="158">
        <v>0</v>
      </c>
      <c r="J474" s="398">
        <v>0</v>
      </c>
      <c r="K474" s="158">
        <v>0</v>
      </c>
      <c r="L474" s="92">
        <v>10751316</v>
      </c>
      <c r="M474" s="158">
        <v>0</v>
      </c>
      <c r="N474" s="79">
        <v>10549699</v>
      </c>
      <c r="O474" s="158">
        <v>0</v>
      </c>
      <c r="P474" s="92">
        <v>265594</v>
      </c>
      <c r="Q474" s="158">
        <v>0</v>
      </c>
      <c r="R474" s="79">
        <f>225763.56+230078.16</f>
        <v>455841.71999999997</v>
      </c>
      <c r="S474" s="158">
        <v>0</v>
      </c>
      <c r="T474" s="79">
        <v>0</v>
      </c>
      <c r="U474" s="399"/>
      <c r="V474" s="399"/>
      <c r="W474" s="399"/>
      <c r="X474" s="399"/>
      <c r="Y474" s="399"/>
      <c r="Z474" s="399"/>
      <c r="AA474" s="399"/>
      <c r="AB474" s="399"/>
      <c r="AC474" s="399"/>
      <c r="AD474" s="399"/>
      <c r="AE474" s="399"/>
      <c r="AF474" s="399"/>
      <c r="AG474" s="399"/>
      <c r="AH474" s="399"/>
      <c r="AI474" s="399"/>
      <c r="AJ474" s="399"/>
    </row>
    <row r="475" s="350" customFormat="1" ht="22.5" customHeight="1">
      <c r="A475" s="33">
        <v>17</v>
      </c>
      <c r="B475" s="42" t="s">
        <v>78</v>
      </c>
      <c r="C475" s="79">
        <f t="shared" si="249"/>
        <v>8596984.3800000008</v>
      </c>
      <c r="D475" s="79">
        <f t="shared" si="250"/>
        <v>0</v>
      </c>
      <c r="E475" s="92">
        <v>0</v>
      </c>
      <c r="F475" s="79">
        <v>0</v>
      </c>
      <c r="G475" s="79">
        <v>0</v>
      </c>
      <c r="H475" s="92">
        <v>0</v>
      </c>
      <c r="I475" s="79">
        <v>0</v>
      </c>
      <c r="J475" s="398">
        <v>0</v>
      </c>
      <c r="K475" s="79">
        <v>0</v>
      </c>
      <c r="L475" s="92">
        <v>0</v>
      </c>
      <c r="M475" s="79">
        <v>0</v>
      </c>
      <c r="N475" s="79">
        <v>0</v>
      </c>
      <c r="O475" s="79">
        <v>0</v>
      </c>
      <c r="P475" s="92">
        <v>0</v>
      </c>
      <c r="Q475" s="79">
        <v>0</v>
      </c>
      <c r="R475" s="79">
        <v>180120.88</v>
      </c>
      <c r="S475" s="79">
        <v>8416863.5</v>
      </c>
      <c r="T475" s="79">
        <v>0</v>
      </c>
      <c r="U475" s="350"/>
      <c r="V475" s="350"/>
      <c r="W475" s="350"/>
      <c r="X475" s="350"/>
      <c r="Y475" s="350"/>
      <c r="Z475" s="350"/>
      <c r="AA475" s="350"/>
      <c r="AB475" s="350"/>
      <c r="AC475" s="350"/>
      <c r="AD475" s="350"/>
      <c r="AE475" s="350"/>
      <c r="AF475" s="350"/>
      <c r="AG475" s="350"/>
      <c r="AH475" s="350"/>
      <c r="AI475" s="350"/>
      <c r="AJ475" s="350"/>
    </row>
    <row r="476" s="350" customFormat="1" ht="22.5" customHeight="1">
      <c r="A476" s="33">
        <v>18</v>
      </c>
      <c r="B476" s="42" t="s">
        <v>80</v>
      </c>
      <c r="C476" s="79">
        <f t="shared" si="249"/>
        <v>5772639.0199999996</v>
      </c>
      <c r="D476" s="79">
        <f t="shared" si="250"/>
        <v>5772639.0199999996</v>
      </c>
      <c r="E476" s="92">
        <v>0</v>
      </c>
      <c r="F476" s="92">
        <v>5772639.0199999996</v>
      </c>
      <c r="G476" s="92">
        <v>0</v>
      </c>
      <c r="H476" s="92">
        <v>0</v>
      </c>
      <c r="I476" s="79">
        <v>0</v>
      </c>
      <c r="J476" s="398">
        <v>0</v>
      </c>
      <c r="K476" s="79">
        <v>0</v>
      </c>
      <c r="L476" s="92">
        <v>0</v>
      </c>
      <c r="M476" s="79">
        <v>0</v>
      </c>
      <c r="N476" s="79">
        <v>0</v>
      </c>
      <c r="O476" s="79">
        <v>0</v>
      </c>
      <c r="P476" s="92">
        <v>0</v>
      </c>
      <c r="Q476" s="79">
        <v>0</v>
      </c>
      <c r="R476" s="79">
        <v>0</v>
      </c>
      <c r="S476" s="79">
        <v>0</v>
      </c>
      <c r="T476" s="79">
        <v>0</v>
      </c>
      <c r="U476" s="350"/>
      <c r="V476" s="350"/>
      <c r="W476" s="350"/>
      <c r="X476" s="350"/>
      <c r="Y476" s="350"/>
      <c r="Z476" s="350"/>
      <c r="AA476" s="350"/>
      <c r="AB476" s="350"/>
      <c r="AC476" s="350"/>
      <c r="AD476" s="350"/>
      <c r="AE476" s="350"/>
      <c r="AF476" s="350"/>
      <c r="AG476" s="350"/>
      <c r="AH476" s="350"/>
      <c r="AI476" s="350"/>
      <c r="AJ476" s="350"/>
    </row>
    <row r="477" s="350" customFormat="1" ht="22.5" customHeight="1">
      <c r="A477" s="33">
        <v>19</v>
      </c>
      <c r="B477" s="42" t="s">
        <v>1160</v>
      </c>
      <c r="C477" s="79">
        <f t="shared" si="249"/>
        <v>3978457.8499999996</v>
      </c>
      <c r="D477" s="79">
        <f t="shared" si="250"/>
        <v>3209020.7999999998</v>
      </c>
      <c r="E477" s="92">
        <v>0</v>
      </c>
      <c r="F477" s="79">
        <v>0</v>
      </c>
      <c r="G477" s="92">
        <v>2566564.3999999999</v>
      </c>
      <c r="H477" s="92">
        <v>642456.39999999991</v>
      </c>
      <c r="I477" s="79">
        <v>0</v>
      </c>
      <c r="J477" s="398">
        <v>0</v>
      </c>
      <c r="K477" s="79">
        <v>0</v>
      </c>
      <c r="L477" s="79">
        <v>0</v>
      </c>
      <c r="M477" s="79">
        <v>0</v>
      </c>
      <c r="N477" s="79">
        <v>0</v>
      </c>
      <c r="O477" s="79">
        <v>0</v>
      </c>
      <c r="P477" s="92">
        <f>350382+350382</f>
        <v>700764</v>
      </c>
      <c r="Q477" s="79">
        <v>0</v>
      </c>
      <c r="R477" s="79">
        <f>54924.48+13748.57</f>
        <v>68673.050000000003</v>
      </c>
      <c r="S477" s="79">
        <v>0</v>
      </c>
      <c r="T477" s="79">
        <v>0</v>
      </c>
      <c r="U477" s="350"/>
      <c r="V477" s="350"/>
      <c r="W477" s="350"/>
      <c r="X477" s="350"/>
      <c r="Y477" s="350"/>
      <c r="Z477" s="350"/>
      <c r="AA477" s="350"/>
      <c r="AB477" s="350"/>
      <c r="AC477" s="350"/>
      <c r="AD477" s="350"/>
      <c r="AE477" s="350"/>
    </row>
    <row r="478" s="350" customFormat="1" ht="22.5" customHeight="1">
      <c r="A478" s="33">
        <v>20</v>
      </c>
      <c r="B478" s="42" t="s">
        <v>1161</v>
      </c>
      <c r="C478" s="79">
        <f t="shared" si="249"/>
        <v>7316505.1899999995</v>
      </c>
      <c r="D478" s="79">
        <f t="shared" si="250"/>
        <v>5388588.0899999999</v>
      </c>
      <c r="E478" s="92">
        <v>0</v>
      </c>
      <c r="F478" s="92">
        <v>2337914.3900000001</v>
      </c>
      <c r="G478" s="92">
        <v>1851102.7</v>
      </c>
      <c r="H478" s="92">
        <v>463363.69999999995</v>
      </c>
      <c r="I478" s="92">
        <v>736207.29999999993</v>
      </c>
      <c r="J478" s="398">
        <v>0</v>
      </c>
      <c r="K478" s="79">
        <v>0</v>
      </c>
      <c r="L478" s="79">
        <v>0</v>
      </c>
      <c r="M478" s="92">
        <v>0</v>
      </c>
      <c r="N478" s="79">
        <v>0</v>
      </c>
      <c r="O478" s="79">
        <v>0</v>
      </c>
      <c r="P478" s="92">
        <f>589435+589435+589435</f>
        <v>1768305</v>
      </c>
      <c r="Q478" s="79">
        <v>0</v>
      </c>
      <c r="R478" s="79">
        <f>15754.84+39613.6+9915.98+94327.68</f>
        <v>159612.09999999998</v>
      </c>
      <c r="S478" s="79">
        <v>0</v>
      </c>
      <c r="T478" s="79">
        <v>0</v>
      </c>
      <c r="U478" s="350"/>
      <c r="V478" s="350"/>
      <c r="W478" s="350"/>
      <c r="X478" s="350"/>
      <c r="Y478" s="350"/>
      <c r="Z478" s="350"/>
      <c r="AA478" s="350"/>
      <c r="AB478" s="350"/>
      <c r="AC478" s="350"/>
      <c r="AD478" s="350"/>
      <c r="AE478" s="350"/>
    </row>
    <row r="479" s="350" customFormat="1" ht="22.5" customHeight="1">
      <c r="A479" s="33">
        <v>21</v>
      </c>
      <c r="B479" s="42" t="s">
        <v>1162</v>
      </c>
      <c r="C479" s="79">
        <f t="shared" si="249"/>
        <v>2357740</v>
      </c>
      <c r="D479" s="79">
        <f t="shared" si="250"/>
        <v>0</v>
      </c>
      <c r="E479" s="92">
        <v>0</v>
      </c>
      <c r="F479" s="79">
        <v>0</v>
      </c>
      <c r="G479" s="92">
        <v>0</v>
      </c>
      <c r="H479" s="92">
        <v>0</v>
      </c>
      <c r="I479" s="92">
        <v>0</v>
      </c>
      <c r="J479" s="398">
        <v>0</v>
      </c>
      <c r="K479" s="79">
        <v>0</v>
      </c>
      <c r="L479" s="79">
        <v>0</v>
      </c>
      <c r="M479" s="79">
        <v>0</v>
      </c>
      <c r="N479" s="79">
        <v>0</v>
      </c>
      <c r="O479" s="79">
        <v>0</v>
      </c>
      <c r="P479" s="79">
        <f>589435+589435+589435+589435</f>
        <v>2357740</v>
      </c>
      <c r="Q479" s="79">
        <v>0</v>
      </c>
      <c r="R479" s="79">
        <v>0</v>
      </c>
      <c r="S479" s="79">
        <v>0</v>
      </c>
      <c r="T479" s="79">
        <v>0</v>
      </c>
      <c r="U479" s="350"/>
      <c r="V479" s="350"/>
      <c r="W479" s="350"/>
      <c r="X479" s="350"/>
      <c r="Y479" s="350"/>
      <c r="Z479" s="350"/>
      <c r="AA479" s="350"/>
      <c r="AB479" s="350"/>
      <c r="AC479" s="350"/>
      <c r="AD479" s="350"/>
      <c r="AE479" s="350"/>
    </row>
    <row r="480" s="350" customFormat="1" ht="22.5" customHeight="1">
      <c r="A480" s="33">
        <v>22</v>
      </c>
      <c r="B480" s="42" t="s">
        <v>1163</v>
      </c>
      <c r="C480" s="79">
        <f t="shared" si="249"/>
        <v>21741160.280000001</v>
      </c>
      <c r="D480" s="79">
        <f t="shared" si="250"/>
        <v>0</v>
      </c>
      <c r="E480" s="92">
        <v>0</v>
      </c>
      <c r="F480" s="79">
        <v>0</v>
      </c>
      <c r="G480" s="79">
        <v>0</v>
      </c>
      <c r="H480" s="92">
        <v>0</v>
      </c>
      <c r="I480" s="79">
        <v>0</v>
      </c>
      <c r="J480" s="398">
        <v>4</v>
      </c>
      <c r="K480" s="92">
        <v>21051228</v>
      </c>
      <c r="L480" s="79">
        <v>0</v>
      </c>
      <c r="M480" s="79">
        <v>0</v>
      </c>
      <c r="N480" s="79">
        <v>0</v>
      </c>
      <c r="O480" s="79">
        <v>0</v>
      </c>
      <c r="P480" s="79">
        <v>239436</v>
      </c>
      <c r="Q480" s="79">
        <v>0</v>
      </c>
      <c r="R480" s="79">
        <v>450496.28000000003</v>
      </c>
      <c r="S480" s="79">
        <v>0</v>
      </c>
      <c r="T480" s="79">
        <v>0</v>
      </c>
      <c r="U480" s="350"/>
      <c r="V480" s="350"/>
      <c r="W480" s="350"/>
      <c r="X480" s="350"/>
      <c r="Y480" s="350"/>
      <c r="Z480" s="350"/>
      <c r="AA480" s="350"/>
      <c r="AB480" s="350"/>
      <c r="AC480" s="350"/>
      <c r="AD480" s="350"/>
      <c r="AE480" s="350"/>
    </row>
    <row r="481" s="350" customFormat="1" ht="22.5" customHeight="1">
      <c r="A481" s="33">
        <v>23</v>
      </c>
      <c r="B481" s="42" t="s">
        <v>1164</v>
      </c>
      <c r="C481" s="79">
        <f t="shared" si="249"/>
        <v>21741159.280000001</v>
      </c>
      <c r="D481" s="79">
        <f t="shared" si="250"/>
        <v>0</v>
      </c>
      <c r="E481" s="92">
        <v>0</v>
      </c>
      <c r="F481" s="79">
        <v>0</v>
      </c>
      <c r="G481" s="79">
        <v>0</v>
      </c>
      <c r="H481" s="92">
        <v>0</v>
      </c>
      <c r="I481" s="79">
        <v>0</v>
      </c>
      <c r="J481" s="398">
        <v>4</v>
      </c>
      <c r="K481" s="92">
        <v>21051228</v>
      </c>
      <c r="L481" s="79">
        <v>0</v>
      </c>
      <c r="M481" s="79">
        <v>0</v>
      </c>
      <c r="N481" s="79">
        <v>0</v>
      </c>
      <c r="O481" s="79">
        <v>0</v>
      </c>
      <c r="P481" s="79">
        <v>239435</v>
      </c>
      <c r="Q481" s="79">
        <v>0</v>
      </c>
      <c r="R481" s="79">
        <v>450496.28000000003</v>
      </c>
      <c r="S481" s="79">
        <v>0</v>
      </c>
      <c r="T481" s="79">
        <v>0</v>
      </c>
      <c r="U481" s="350"/>
      <c r="V481" s="350"/>
      <c r="W481" s="350"/>
      <c r="X481" s="350"/>
      <c r="Y481" s="350"/>
      <c r="Z481" s="350"/>
      <c r="AA481" s="350"/>
      <c r="AB481" s="350"/>
      <c r="AC481" s="350"/>
      <c r="AD481" s="350"/>
      <c r="AE481" s="350"/>
    </row>
    <row r="482" s="350" customFormat="1" ht="22.5" customHeight="1">
      <c r="A482" s="33">
        <v>24</v>
      </c>
      <c r="B482" s="52" t="s">
        <v>584</v>
      </c>
      <c r="C482" s="79">
        <f t="shared" si="249"/>
        <v>3384916.5900000003</v>
      </c>
      <c r="D482" s="79">
        <f t="shared" si="250"/>
        <v>0</v>
      </c>
      <c r="E482" s="92">
        <v>0</v>
      </c>
      <c r="F482" s="79">
        <v>0</v>
      </c>
      <c r="G482" s="79">
        <v>0</v>
      </c>
      <c r="H482" s="92">
        <v>0</v>
      </c>
      <c r="I482" s="79">
        <v>0</v>
      </c>
      <c r="J482" s="398">
        <v>0</v>
      </c>
      <c r="K482" s="79">
        <v>0</v>
      </c>
      <c r="L482" s="92">
        <v>3312799.6800000002</v>
      </c>
      <c r="M482" s="79">
        <v>0</v>
      </c>
      <c r="N482" s="79">
        <v>0</v>
      </c>
      <c r="O482" s="79">
        <v>0</v>
      </c>
      <c r="P482" s="92">
        <v>0</v>
      </c>
      <c r="Q482" s="79">
        <v>0</v>
      </c>
      <c r="R482" s="79">
        <v>72116.910000000003</v>
      </c>
      <c r="S482" s="79">
        <v>0</v>
      </c>
      <c r="T482" s="79">
        <v>0</v>
      </c>
      <c r="U482" s="350"/>
      <c r="V482" s="350"/>
      <c r="W482" s="350"/>
      <c r="X482" s="350"/>
      <c r="Y482" s="350"/>
      <c r="Z482" s="350"/>
      <c r="AA482" s="350"/>
      <c r="AB482" s="350"/>
      <c r="AC482" s="350"/>
      <c r="AD482" s="350"/>
      <c r="AE482" s="350"/>
    </row>
    <row r="483" s="350" customFormat="1" ht="22.5" customHeight="1">
      <c r="A483" s="33">
        <v>25</v>
      </c>
      <c r="B483" s="53" t="s">
        <v>1165</v>
      </c>
      <c r="C483" s="79">
        <f t="shared" si="249"/>
        <v>14295096.01</v>
      </c>
      <c r="D483" s="79">
        <f t="shared" si="250"/>
        <v>0</v>
      </c>
      <c r="E483" s="92">
        <v>0</v>
      </c>
      <c r="F483" s="92">
        <v>0</v>
      </c>
      <c r="G483" s="92">
        <v>0</v>
      </c>
      <c r="H483" s="92">
        <v>0</v>
      </c>
      <c r="I483" s="92">
        <v>0</v>
      </c>
      <c r="J483" s="398">
        <v>0</v>
      </c>
      <c r="K483" s="79">
        <v>0</v>
      </c>
      <c r="L483" s="79">
        <v>0</v>
      </c>
      <c r="M483" s="79">
        <v>0</v>
      </c>
      <c r="N483" s="79">
        <v>13418505</v>
      </c>
      <c r="O483" s="79">
        <v>0</v>
      </c>
      <c r="P483" s="92">
        <v>589435</v>
      </c>
      <c r="Q483" s="79">
        <v>0</v>
      </c>
      <c r="R483" s="79">
        <v>287156.01000000001</v>
      </c>
      <c r="S483" s="79">
        <v>0</v>
      </c>
      <c r="T483" s="79">
        <v>0</v>
      </c>
      <c r="U483" s="350"/>
      <c r="V483" s="350"/>
      <c r="W483" s="350"/>
      <c r="X483" s="350"/>
      <c r="Y483" s="350"/>
      <c r="Z483" s="350"/>
      <c r="AA483" s="350"/>
      <c r="AB483" s="350"/>
      <c r="AC483" s="350"/>
      <c r="AD483" s="350"/>
      <c r="AE483" s="350"/>
      <c r="AF483" s="350"/>
      <c r="AG483" s="350"/>
      <c r="AH483" s="350"/>
      <c r="AI483" s="350"/>
      <c r="AJ483" s="350"/>
      <c r="AK483" s="350"/>
    </row>
    <row r="484" s="350" customFormat="1" ht="22.5" customHeight="1">
      <c r="A484" s="33">
        <v>26</v>
      </c>
      <c r="B484" s="53" t="s">
        <v>1166</v>
      </c>
      <c r="C484" s="79">
        <f t="shared" si="249"/>
        <v>9351698.2100000009</v>
      </c>
      <c r="D484" s="79">
        <f t="shared" si="250"/>
        <v>8469683</v>
      </c>
      <c r="E484" s="92">
        <v>0</v>
      </c>
      <c r="F484" s="92">
        <v>5553599</v>
      </c>
      <c r="G484" s="92">
        <v>2332274.5</v>
      </c>
      <c r="H484" s="92">
        <v>583809.5</v>
      </c>
      <c r="I484" s="79">
        <v>0</v>
      </c>
      <c r="J484" s="398">
        <v>0</v>
      </c>
      <c r="K484" s="79">
        <v>0</v>
      </c>
      <c r="L484" s="79">
        <v>0</v>
      </c>
      <c r="M484" s="79">
        <v>0</v>
      </c>
      <c r="N484" s="79">
        <v>0</v>
      </c>
      <c r="O484" s="79">
        <v>0</v>
      </c>
      <c r="P484" s="92">
        <f>350382+350382</f>
        <v>700764</v>
      </c>
      <c r="Q484" s="79">
        <v>0</v>
      </c>
      <c r="R484" s="79">
        <f>49910.67+12493.52+118847.02</f>
        <v>181251.21000000002</v>
      </c>
      <c r="S484" s="79">
        <v>0</v>
      </c>
      <c r="T484" s="79">
        <v>0</v>
      </c>
      <c r="U484" s="350"/>
      <c r="V484" s="350"/>
      <c r="W484" s="350"/>
      <c r="X484" s="350"/>
      <c r="Y484" s="350"/>
      <c r="Z484" s="350"/>
      <c r="AA484" s="350"/>
      <c r="AB484" s="350"/>
      <c r="AC484" s="350"/>
      <c r="AD484" s="350"/>
      <c r="AE484" s="350"/>
    </row>
    <row r="485" s="350" customFormat="1" ht="22.5" customHeight="1">
      <c r="A485" s="33">
        <v>27</v>
      </c>
      <c r="B485" s="53" t="s">
        <v>1167</v>
      </c>
      <c r="C485" s="79">
        <f t="shared" si="249"/>
        <v>2270935.8599999999</v>
      </c>
      <c r="D485" s="79">
        <f t="shared" si="250"/>
        <v>1703297.3</v>
      </c>
      <c r="E485" s="92">
        <v>0</v>
      </c>
      <c r="F485" s="92">
        <v>1118715.5</v>
      </c>
      <c r="G485" s="92">
        <v>359298.30000000005</v>
      </c>
      <c r="H485" s="92">
        <v>225283.5</v>
      </c>
      <c r="I485" s="79">
        <v>0</v>
      </c>
      <c r="J485" s="398">
        <v>0</v>
      </c>
      <c r="K485" s="79">
        <v>0</v>
      </c>
      <c r="L485" s="79">
        <v>0</v>
      </c>
      <c r="M485" s="79">
        <v>0</v>
      </c>
      <c r="N485" s="79">
        <v>0</v>
      </c>
      <c r="O485" s="79">
        <v>0</v>
      </c>
      <c r="P485" s="92">
        <f t="shared" ref="P485:P487" si="251">265594+265594</f>
        <v>531188</v>
      </c>
      <c r="Q485" s="79">
        <v>0</v>
      </c>
      <c r="R485" s="79">
        <f>7688.98+4821.07+23940.51</f>
        <v>36450.559999999998</v>
      </c>
      <c r="S485" s="79">
        <v>0</v>
      </c>
      <c r="T485" s="79">
        <v>0</v>
      </c>
      <c r="U485" s="350"/>
      <c r="V485" s="350"/>
      <c r="W485" s="350"/>
      <c r="X485" s="350"/>
      <c r="Y485" s="350"/>
      <c r="Z485" s="350"/>
      <c r="AA485" s="350"/>
      <c r="AB485" s="350"/>
      <c r="AC485" s="350"/>
      <c r="AD485" s="350"/>
      <c r="AE485" s="350"/>
    </row>
    <row r="486" s="350" customFormat="1" ht="22.5" customHeight="1">
      <c r="A486" s="33">
        <v>28</v>
      </c>
      <c r="B486" s="53" t="s">
        <v>1168</v>
      </c>
      <c r="C486" s="79">
        <f t="shared" si="249"/>
        <v>2288554.7000000002</v>
      </c>
      <c r="D486" s="79">
        <f t="shared" si="250"/>
        <v>1720547</v>
      </c>
      <c r="E486" s="92">
        <v>0</v>
      </c>
      <c r="F486" s="92">
        <v>1130045</v>
      </c>
      <c r="G486" s="92">
        <v>362937</v>
      </c>
      <c r="H486" s="92">
        <v>227565</v>
      </c>
      <c r="I486" s="79">
        <v>0</v>
      </c>
      <c r="J486" s="398">
        <v>0</v>
      </c>
      <c r="K486" s="79">
        <v>0</v>
      </c>
      <c r="L486" s="79">
        <v>0</v>
      </c>
      <c r="M486" s="79">
        <v>0</v>
      </c>
      <c r="N486" s="79">
        <v>0</v>
      </c>
      <c r="O486" s="79">
        <v>0</v>
      </c>
      <c r="P486" s="92">
        <f t="shared" si="251"/>
        <v>531188</v>
      </c>
      <c r="Q486" s="79">
        <v>0</v>
      </c>
      <c r="R486" s="79">
        <f>7766.85+4869.89+24182.96</f>
        <v>36819.699999999997</v>
      </c>
      <c r="S486" s="79">
        <v>0</v>
      </c>
      <c r="T486" s="79">
        <v>0</v>
      </c>
      <c r="U486" s="350"/>
      <c r="V486" s="350"/>
      <c r="W486" s="350"/>
      <c r="X486" s="350"/>
      <c r="Y486" s="350"/>
      <c r="Z486" s="350"/>
      <c r="AA486" s="350"/>
      <c r="AB486" s="350"/>
      <c r="AC486" s="350"/>
      <c r="AD486" s="350"/>
      <c r="AE486" s="350"/>
    </row>
    <row r="487" s="350" customFormat="1" ht="22.5" customHeight="1">
      <c r="A487" s="33">
        <v>29</v>
      </c>
      <c r="B487" s="53" t="s">
        <v>1169</v>
      </c>
      <c r="C487" s="79">
        <f t="shared" si="249"/>
        <v>2297590.0099999998</v>
      </c>
      <c r="D487" s="79">
        <f t="shared" si="250"/>
        <v>1729393</v>
      </c>
      <c r="E487" s="92">
        <v>0</v>
      </c>
      <c r="F487" s="92">
        <v>1135855</v>
      </c>
      <c r="G487" s="92">
        <v>364803</v>
      </c>
      <c r="H487" s="92">
        <v>228735</v>
      </c>
      <c r="I487" s="79">
        <v>0</v>
      </c>
      <c r="J487" s="398">
        <v>0</v>
      </c>
      <c r="K487" s="79">
        <v>0</v>
      </c>
      <c r="L487" s="79">
        <v>0</v>
      </c>
      <c r="M487" s="79">
        <v>0</v>
      </c>
      <c r="N487" s="79">
        <v>0</v>
      </c>
      <c r="O487" s="79">
        <v>0</v>
      </c>
      <c r="P487" s="92">
        <f t="shared" si="251"/>
        <v>531188</v>
      </c>
      <c r="Q487" s="79">
        <v>0</v>
      </c>
      <c r="R487" s="79">
        <f>7806.78+4894.93+24307.3</f>
        <v>37009.009999999995</v>
      </c>
      <c r="S487" s="79">
        <v>0</v>
      </c>
      <c r="T487" s="79">
        <v>0</v>
      </c>
      <c r="U487" s="350"/>
      <c r="V487" s="350"/>
      <c r="W487" s="350"/>
      <c r="X487" s="350"/>
      <c r="Y487" s="350"/>
      <c r="Z487" s="350"/>
      <c r="AA487" s="350"/>
      <c r="AB487" s="350"/>
      <c r="AC487" s="350"/>
      <c r="AD487" s="350"/>
      <c r="AE487" s="350"/>
    </row>
    <row r="488" s="350" customFormat="1" ht="22.5" customHeight="1">
      <c r="A488" s="33">
        <v>30</v>
      </c>
      <c r="B488" s="53" t="s">
        <v>1170</v>
      </c>
      <c r="C488" s="79">
        <f t="shared" si="249"/>
        <v>3621202.7100000004</v>
      </c>
      <c r="D488" s="79">
        <f t="shared" si="250"/>
        <v>2821431.7000000002</v>
      </c>
      <c r="E488" s="92">
        <v>0</v>
      </c>
      <c r="F488" s="92">
        <v>1853099.5</v>
      </c>
      <c r="G488" s="92">
        <v>595160.69999999995</v>
      </c>
      <c r="H488" s="92">
        <v>373171.5</v>
      </c>
      <c r="I488" s="79">
        <v>0</v>
      </c>
      <c r="J488" s="398">
        <v>0</v>
      </c>
      <c r="K488" s="79">
        <v>0</v>
      </c>
      <c r="L488" s="79">
        <v>0</v>
      </c>
      <c r="M488" s="79">
        <v>0</v>
      </c>
      <c r="N488" s="79">
        <v>0</v>
      </c>
      <c r="O488" s="79">
        <v>0</v>
      </c>
      <c r="P488" s="92">
        <f>208204.37+265594+265594</f>
        <v>739392.37</v>
      </c>
      <c r="Q488" s="79">
        <v>0</v>
      </c>
      <c r="R488" s="79">
        <f>12736.44+7985.87+39656.33</f>
        <v>60378.639999999999</v>
      </c>
      <c r="S488" s="79">
        <v>0</v>
      </c>
      <c r="T488" s="79">
        <v>0</v>
      </c>
      <c r="U488" s="350"/>
      <c r="V488" s="350"/>
      <c r="W488" s="350"/>
      <c r="X488" s="350"/>
      <c r="Y488" s="350"/>
      <c r="Z488" s="350"/>
      <c r="AA488" s="350"/>
      <c r="AB488" s="350"/>
      <c r="AC488" s="350"/>
      <c r="AD488" s="350"/>
      <c r="AE488" s="350"/>
    </row>
    <row r="489" s="350" customFormat="1" ht="22.5" customHeight="1">
      <c r="A489" s="33">
        <v>31</v>
      </c>
      <c r="B489" s="53" t="s">
        <v>1171</v>
      </c>
      <c r="C489" s="79">
        <f t="shared" si="249"/>
        <v>3599901.2499999995</v>
      </c>
      <c r="D489" s="79">
        <f t="shared" si="250"/>
        <v>2801085.8999999994</v>
      </c>
      <c r="E489" s="92">
        <v>0</v>
      </c>
      <c r="F489" s="92">
        <v>1839736.4999999998</v>
      </c>
      <c r="G489" s="92">
        <v>590868.89999999991</v>
      </c>
      <c r="H489" s="92">
        <v>370480.5</v>
      </c>
      <c r="I489" s="79">
        <v>0</v>
      </c>
      <c r="J489" s="398">
        <v>0</v>
      </c>
      <c r="K489" s="79">
        <v>0</v>
      </c>
      <c r="L489" s="79">
        <v>0</v>
      </c>
      <c r="M489" s="79">
        <v>0</v>
      </c>
      <c r="N489" s="79">
        <v>0</v>
      </c>
      <c r="O489" s="79">
        <v>0</v>
      </c>
      <c r="P489" s="92">
        <f>207784.12+265594+265594</f>
        <v>738972.12</v>
      </c>
      <c r="Q489" s="79">
        <v>0</v>
      </c>
      <c r="R489" s="79">
        <f>12644.59+7828.28+39370.36</f>
        <v>59843.229999999996</v>
      </c>
      <c r="S489" s="79">
        <v>0</v>
      </c>
      <c r="T489" s="79">
        <v>0</v>
      </c>
      <c r="U489" s="350"/>
      <c r="V489" s="350"/>
      <c r="W489" s="350"/>
      <c r="X489" s="350"/>
      <c r="Y489" s="350"/>
      <c r="Z489" s="350"/>
      <c r="AA489" s="350"/>
      <c r="AB489" s="350"/>
      <c r="AC489" s="350"/>
      <c r="AD489" s="350"/>
      <c r="AE489" s="350"/>
    </row>
    <row r="490" s="350" customFormat="1" ht="22.5" customHeight="1">
      <c r="A490" s="33">
        <v>32</v>
      </c>
      <c r="B490" s="53" t="s">
        <v>1172</v>
      </c>
      <c r="C490" s="79">
        <f t="shared" si="249"/>
        <v>4051979.4900000002</v>
      </c>
      <c r="D490" s="79">
        <f t="shared" si="250"/>
        <v>3264174</v>
      </c>
      <c r="E490" s="92">
        <v>0</v>
      </c>
      <c r="F490" s="92">
        <v>2143890</v>
      </c>
      <c r="G490" s="92">
        <v>688554</v>
      </c>
      <c r="H490" s="92">
        <v>431730</v>
      </c>
      <c r="I490" s="79">
        <v>0</v>
      </c>
      <c r="J490" s="398">
        <v>0</v>
      </c>
      <c r="K490" s="79">
        <v>0</v>
      </c>
      <c r="L490" s="79">
        <v>0</v>
      </c>
      <c r="M490" s="79">
        <v>0</v>
      </c>
      <c r="N490" s="79">
        <v>0</v>
      </c>
      <c r="O490" s="79">
        <v>0</v>
      </c>
      <c r="P490" s="92">
        <f>186764.16+265594+265594</f>
        <v>717952.16000000003</v>
      </c>
      <c r="Q490" s="79">
        <v>0</v>
      </c>
      <c r="R490" s="79">
        <f>14735.06+9239.02+45879.25</f>
        <v>69853.330000000002</v>
      </c>
      <c r="S490" s="79">
        <v>0</v>
      </c>
      <c r="T490" s="79">
        <v>0</v>
      </c>
      <c r="U490" s="350"/>
      <c r="V490" s="350"/>
      <c r="W490" s="350"/>
      <c r="X490" s="350"/>
      <c r="Y490" s="350"/>
      <c r="Z490" s="350"/>
      <c r="AA490" s="350"/>
      <c r="AB490" s="350"/>
      <c r="AC490" s="350"/>
      <c r="AD490" s="350"/>
      <c r="AE490" s="350"/>
    </row>
    <row r="491" s="350" customFormat="1" ht="22.5" customHeight="1">
      <c r="A491" s="33">
        <v>33</v>
      </c>
      <c r="B491" s="42" t="s">
        <v>1173</v>
      </c>
      <c r="C491" s="79">
        <f t="shared" si="249"/>
        <v>19168150.82</v>
      </c>
      <c r="D491" s="79">
        <f t="shared" si="250"/>
        <v>0</v>
      </c>
      <c r="E491" s="92">
        <v>0</v>
      </c>
      <c r="F491" s="92">
        <v>0</v>
      </c>
      <c r="G491" s="92">
        <v>0</v>
      </c>
      <c r="H491" s="92">
        <v>0</v>
      </c>
      <c r="I491" s="79">
        <v>0</v>
      </c>
      <c r="J491" s="398">
        <v>0</v>
      </c>
      <c r="K491" s="79">
        <v>0</v>
      </c>
      <c r="L491" s="92">
        <v>0</v>
      </c>
      <c r="M491" s="79">
        <v>0</v>
      </c>
      <c r="N491" s="92">
        <v>0</v>
      </c>
      <c r="O491" s="79">
        <v>0</v>
      </c>
      <c r="P491" s="92">
        <v>350382</v>
      </c>
      <c r="Q491" s="79">
        <v>0</v>
      </c>
      <c r="R491" s="79">
        <v>394263.02000000002</v>
      </c>
      <c r="S491" s="79">
        <v>18423505.800000001</v>
      </c>
      <c r="T491" s="79">
        <v>0</v>
      </c>
      <c r="U491" s="350"/>
      <c r="V491" s="350"/>
      <c r="W491" s="350"/>
      <c r="X491" s="350"/>
      <c r="Y491" s="350"/>
      <c r="Z491" s="350"/>
      <c r="AA491" s="350"/>
      <c r="AB491" s="350"/>
      <c r="AC491" s="350"/>
      <c r="AD491" s="350"/>
      <c r="AE491" s="350"/>
    </row>
    <row r="492" s="350" customFormat="1" ht="22.5" customHeight="1">
      <c r="A492" s="33">
        <v>34</v>
      </c>
      <c r="B492" s="42" t="s">
        <v>105</v>
      </c>
      <c r="C492" s="79">
        <f t="shared" si="249"/>
        <v>5278332.0899999999</v>
      </c>
      <c r="D492" s="79">
        <f t="shared" si="250"/>
        <v>5167742.3999999994</v>
      </c>
      <c r="E492" s="92">
        <v>0</v>
      </c>
      <c r="F492" s="92">
        <v>5167742.3999999994</v>
      </c>
      <c r="G492" s="92">
        <v>0</v>
      </c>
      <c r="H492" s="92">
        <v>0</v>
      </c>
      <c r="I492" s="79">
        <v>0</v>
      </c>
      <c r="J492" s="398">
        <v>0</v>
      </c>
      <c r="K492" s="79">
        <v>0</v>
      </c>
      <c r="L492" s="92">
        <v>0</v>
      </c>
      <c r="M492" s="79">
        <v>0</v>
      </c>
      <c r="N492" s="92">
        <v>0</v>
      </c>
      <c r="O492" s="79">
        <v>0</v>
      </c>
      <c r="P492" s="92">
        <v>0</v>
      </c>
      <c r="Q492" s="79">
        <v>0</v>
      </c>
      <c r="R492" s="79">
        <v>110589.69</v>
      </c>
      <c r="S492" s="79">
        <v>0</v>
      </c>
      <c r="T492" s="79">
        <v>0</v>
      </c>
      <c r="U492" s="350"/>
      <c r="V492" s="350"/>
      <c r="W492" s="350"/>
      <c r="X492" s="350"/>
      <c r="Y492" s="350"/>
      <c r="Z492" s="350"/>
      <c r="AA492" s="350"/>
      <c r="AB492" s="350"/>
      <c r="AC492" s="350"/>
      <c r="AD492" s="350"/>
      <c r="AE492" s="350"/>
    </row>
    <row r="493" s="350" customFormat="1" ht="22.5" customHeight="1">
      <c r="A493" s="33">
        <v>35</v>
      </c>
      <c r="B493" s="42" t="s">
        <v>107</v>
      </c>
      <c r="C493" s="79">
        <f t="shared" si="249"/>
        <v>3094672.8599999999</v>
      </c>
      <c r="D493" s="79">
        <f t="shared" si="250"/>
        <v>0</v>
      </c>
      <c r="E493" s="92">
        <v>0</v>
      </c>
      <c r="F493" s="92">
        <v>0</v>
      </c>
      <c r="G493" s="79">
        <v>0</v>
      </c>
      <c r="H493" s="92">
        <v>0</v>
      </c>
      <c r="I493" s="79">
        <v>0</v>
      </c>
      <c r="J493" s="398">
        <v>0</v>
      </c>
      <c r="K493" s="79">
        <v>0</v>
      </c>
      <c r="L493" s="79">
        <v>3029834.3999999999</v>
      </c>
      <c r="M493" s="79">
        <v>0</v>
      </c>
      <c r="N493" s="79">
        <v>0</v>
      </c>
      <c r="O493" s="79">
        <v>0</v>
      </c>
      <c r="P493" s="92">
        <v>0</v>
      </c>
      <c r="Q493" s="79">
        <v>0</v>
      </c>
      <c r="R493" s="79">
        <v>64838.459999999999</v>
      </c>
      <c r="S493" s="79">
        <v>0</v>
      </c>
      <c r="T493" s="79">
        <v>0</v>
      </c>
      <c r="U493" s="350"/>
      <c r="V493" s="350"/>
      <c r="W493" s="350"/>
      <c r="X493" s="350"/>
      <c r="Y493" s="350"/>
      <c r="Z493" s="350"/>
      <c r="AA493" s="350"/>
      <c r="AB493" s="350"/>
      <c r="AC493" s="350"/>
      <c r="AD493" s="350"/>
      <c r="AE493" s="350"/>
    </row>
    <row r="494" s="350" customFormat="1" ht="22.5" customHeight="1">
      <c r="A494" s="33">
        <v>36</v>
      </c>
      <c r="B494" s="42" t="s">
        <v>108</v>
      </c>
      <c r="C494" s="79">
        <f t="shared" si="249"/>
        <v>6465414.7400000002</v>
      </c>
      <c r="D494" s="79">
        <f t="shared" si="250"/>
        <v>5242762.3700000001</v>
      </c>
      <c r="E494" s="92">
        <v>0</v>
      </c>
      <c r="F494" s="92">
        <v>2706433.7599999998</v>
      </c>
      <c r="G494" s="92">
        <v>485720.60999999999</v>
      </c>
      <c r="H494" s="92">
        <v>792097.60000000009</v>
      </c>
      <c r="I494" s="92">
        <v>1258510.4000000001</v>
      </c>
      <c r="J494" s="398">
        <v>0</v>
      </c>
      <c r="K494" s="79">
        <v>0</v>
      </c>
      <c r="L494" s="79">
        <v>0</v>
      </c>
      <c r="M494" s="79">
        <v>0</v>
      </c>
      <c r="N494" s="79">
        <v>0</v>
      </c>
      <c r="O494" s="79">
        <v>0</v>
      </c>
      <c r="P494" s="92">
        <f t="shared" ref="P494:P495" si="252">589435+589435</f>
        <v>1178870</v>
      </c>
      <c r="Q494" s="79">
        <v>0</v>
      </c>
      <c r="R494" s="79">
        <f>26832.12+16950.25</f>
        <v>43782.369999999995</v>
      </c>
      <c r="S494" s="79">
        <v>0</v>
      </c>
      <c r="T494" s="79">
        <v>0</v>
      </c>
      <c r="U494" s="350"/>
      <c r="V494" s="350"/>
      <c r="W494" s="350"/>
      <c r="X494" s="350"/>
      <c r="Y494" s="350"/>
      <c r="Z494" s="350"/>
      <c r="AA494" s="350"/>
      <c r="AB494" s="350"/>
      <c r="AC494" s="350"/>
      <c r="AD494" s="350"/>
      <c r="AE494" s="350"/>
    </row>
    <row r="495" s="350" customFormat="1" ht="22.5" customHeight="1">
      <c r="A495" s="33">
        <v>37</v>
      </c>
      <c r="B495" s="42" t="s">
        <v>1174</v>
      </c>
      <c r="C495" s="158">
        <f t="shared" si="249"/>
        <v>27237756.780000001</v>
      </c>
      <c r="D495" s="79">
        <f t="shared" si="250"/>
        <v>0</v>
      </c>
      <c r="E495" s="92">
        <v>0</v>
      </c>
      <c r="F495" s="92">
        <v>0</v>
      </c>
      <c r="G495" s="92">
        <v>0</v>
      </c>
      <c r="H495" s="92">
        <v>0</v>
      </c>
      <c r="I495" s="92">
        <v>0</v>
      </c>
      <c r="J495" s="345">
        <v>0</v>
      </c>
      <c r="K495" s="79">
        <v>0</v>
      </c>
      <c r="L495" s="158">
        <v>25512910.5</v>
      </c>
      <c r="M495" s="79">
        <v>0</v>
      </c>
      <c r="N495" s="158">
        <v>0</v>
      </c>
      <c r="O495" s="79">
        <v>0</v>
      </c>
      <c r="P495" s="92">
        <f t="shared" si="252"/>
        <v>1178870</v>
      </c>
      <c r="Q495" s="158">
        <v>0</v>
      </c>
      <c r="R495" s="79">
        <v>545976.28000000003</v>
      </c>
      <c r="S495" s="158">
        <v>0</v>
      </c>
      <c r="T495" s="79">
        <v>0</v>
      </c>
      <c r="U495" s="399"/>
      <c r="V495" s="399"/>
      <c r="W495" s="399"/>
      <c r="X495" s="399"/>
      <c r="Y495" s="399"/>
      <c r="Z495" s="399"/>
      <c r="AA495" s="399"/>
      <c r="AB495" s="399"/>
      <c r="AC495" s="399"/>
      <c r="AD495" s="399"/>
      <c r="AE495" s="399"/>
    </row>
    <row r="496" s="350" customFormat="1" ht="22.5" customHeight="1">
      <c r="A496" s="33">
        <v>38</v>
      </c>
      <c r="B496" s="42" t="s">
        <v>110</v>
      </c>
      <c r="C496" s="79">
        <f t="shared" si="249"/>
        <v>10750862.140000001</v>
      </c>
      <c r="D496" s="79">
        <f t="shared" si="250"/>
        <v>0</v>
      </c>
      <c r="E496" s="92">
        <v>0</v>
      </c>
      <c r="F496" s="92">
        <v>0</v>
      </c>
      <c r="G496" s="92">
        <v>0</v>
      </c>
      <c r="H496" s="92">
        <v>0</v>
      </c>
      <c r="I496" s="92">
        <v>0</v>
      </c>
      <c r="J496" s="398">
        <v>2</v>
      </c>
      <c r="K496" s="79">
        <v>10525614</v>
      </c>
      <c r="L496" s="79">
        <v>0</v>
      </c>
      <c r="M496" s="79">
        <v>0</v>
      </c>
      <c r="N496" s="79">
        <v>0</v>
      </c>
      <c r="O496" s="79">
        <v>0</v>
      </c>
      <c r="P496" s="92">
        <v>0</v>
      </c>
      <c r="Q496" s="79">
        <v>0</v>
      </c>
      <c r="R496" s="79">
        <v>225248.14000000001</v>
      </c>
      <c r="S496" s="79">
        <v>0</v>
      </c>
      <c r="T496" s="79">
        <v>0</v>
      </c>
      <c r="U496" s="350"/>
      <c r="V496" s="350"/>
      <c r="W496" s="350"/>
      <c r="X496" s="350"/>
      <c r="Y496" s="350"/>
      <c r="Z496" s="350"/>
      <c r="AA496" s="350"/>
      <c r="AB496" s="350"/>
      <c r="AC496" s="350"/>
      <c r="AD496" s="350"/>
      <c r="AE496" s="350"/>
    </row>
    <row r="497" s="350" customFormat="1" ht="22.5" customHeight="1">
      <c r="A497" s="33">
        <v>39</v>
      </c>
      <c r="B497" s="42" t="s">
        <v>1175</v>
      </c>
      <c r="C497" s="79">
        <f t="shared" si="249"/>
        <v>5614866.0700000003</v>
      </c>
      <c r="D497" s="79">
        <f t="shared" si="250"/>
        <v>0</v>
      </c>
      <c r="E497" s="92">
        <v>0</v>
      </c>
      <c r="F497" s="92">
        <v>0</v>
      </c>
      <c r="G497" s="92">
        <v>0</v>
      </c>
      <c r="H497" s="92">
        <v>0</v>
      </c>
      <c r="I497" s="92">
        <v>0</v>
      </c>
      <c r="J497" s="398">
        <v>1</v>
      </c>
      <c r="K497" s="79">
        <v>5262807</v>
      </c>
      <c r="L497" s="79">
        <v>0</v>
      </c>
      <c r="M497" s="79">
        <v>0</v>
      </c>
      <c r="N497" s="79">
        <v>0</v>
      </c>
      <c r="O497" s="79">
        <v>0</v>
      </c>
      <c r="P497" s="92">
        <v>239435</v>
      </c>
      <c r="Q497" s="79">
        <v>0</v>
      </c>
      <c r="R497" s="79">
        <v>112624.07000000001</v>
      </c>
      <c r="S497" s="79">
        <v>0</v>
      </c>
      <c r="T497" s="79">
        <v>0</v>
      </c>
      <c r="U497" s="350"/>
      <c r="V497" s="350"/>
      <c r="W497" s="350"/>
      <c r="X497" s="350"/>
      <c r="Y497" s="350"/>
      <c r="Z497" s="350"/>
      <c r="AA497" s="350"/>
      <c r="AB497" s="350"/>
      <c r="AC497" s="350"/>
      <c r="AD497" s="350"/>
      <c r="AE497" s="350"/>
    </row>
    <row r="498" s="350" customFormat="1" ht="22.5" customHeight="1">
      <c r="A498" s="33">
        <v>40</v>
      </c>
      <c r="B498" s="42" t="s">
        <v>1176</v>
      </c>
      <c r="C498" s="79">
        <f t="shared" si="249"/>
        <v>10451299.939999999</v>
      </c>
      <c r="D498" s="79">
        <f t="shared" si="250"/>
        <v>0</v>
      </c>
      <c r="E498" s="92">
        <v>0</v>
      </c>
      <c r="F498" s="92">
        <v>0</v>
      </c>
      <c r="G498" s="92">
        <v>0</v>
      </c>
      <c r="H498" s="92">
        <v>0</v>
      </c>
      <c r="I498" s="92">
        <v>0</v>
      </c>
      <c r="J498" s="398">
        <v>0</v>
      </c>
      <c r="K498" s="79">
        <v>0</v>
      </c>
      <c r="L498" s="79">
        <v>9192240</v>
      </c>
      <c r="M498" s="79">
        <v>0</v>
      </c>
      <c r="N498" s="79">
        <v>0</v>
      </c>
      <c r="O498" s="79">
        <v>0</v>
      </c>
      <c r="P498" s="92">
        <f>265564+265594+265594+265594</f>
        <v>1062346</v>
      </c>
      <c r="Q498" s="79">
        <v>0</v>
      </c>
      <c r="R498" s="79">
        <f>196713.94</f>
        <v>196713.94</v>
      </c>
      <c r="S498" s="79">
        <v>0</v>
      </c>
      <c r="T498" s="79">
        <v>0</v>
      </c>
      <c r="U498" s="399"/>
      <c r="V498" s="399"/>
      <c r="W498" s="399"/>
      <c r="X498" s="399"/>
      <c r="Y498" s="399"/>
      <c r="Z498" s="399"/>
      <c r="AA498" s="399"/>
      <c r="AB498" s="399"/>
      <c r="AC498" s="399"/>
      <c r="AD498" s="399"/>
      <c r="AE498" s="399"/>
    </row>
    <row r="499" s="350" customFormat="1" ht="22.5" customHeight="1">
      <c r="A499" s="33">
        <v>41</v>
      </c>
      <c r="B499" s="42" t="s">
        <v>1177</v>
      </c>
      <c r="C499" s="79">
        <f t="shared" si="249"/>
        <v>6158086.96</v>
      </c>
      <c r="D499" s="79">
        <f t="shared" si="250"/>
        <v>0</v>
      </c>
      <c r="E499" s="92">
        <v>0</v>
      </c>
      <c r="F499" s="92">
        <v>0</v>
      </c>
      <c r="G499" s="92">
        <v>0</v>
      </c>
      <c r="H499" s="92">
        <v>0</v>
      </c>
      <c r="I499" s="92">
        <v>0</v>
      </c>
      <c r="J499" s="398">
        <v>0</v>
      </c>
      <c r="K499" s="79">
        <v>0</v>
      </c>
      <c r="L499" s="79">
        <v>5509035.5999999996</v>
      </c>
      <c r="M499" s="79">
        <v>0</v>
      </c>
      <c r="N499" s="79">
        <v>0</v>
      </c>
      <c r="O499" s="79">
        <v>0</v>
      </c>
      <c r="P499" s="92">
        <f>265564+265594</f>
        <v>531158</v>
      </c>
      <c r="Q499" s="79">
        <v>0</v>
      </c>
      <c r="R499" s="79">
        <v>117893.36</v>
      </c>
      <c r="S499" s="79">
        <v>0</v>
      </c>
      <c r="T499" s="79">
        <v>0</v>
      </c>
      <c r="U499" s="399"/>
      <c r="V499" s="399"/>
      <c r="W499" s="399"/>
      <c r="X499" s="399"/>
      <c r="Y499" s="399"/>
      <c r="Z499" s="399"/>
      <c r="AA499" s="399"/>
      <c r="AB499" s="399"/>
      <c r="AC499" s="399"/>
      <c r="AD499" s="399"/>
      <c r="AE499" s="399"/>
    </row>
    <row r="500" s="350" customFormat="1" ht="22.5" customHeight="1">
      <c r="A500" s="33">
        <v>42</v>
      </c>
      <c r="B500" s="42" t="s">
        <v>1178</v>
      </c>
      <c r="C500" s="158">
        <f t="shared" si="249"/>
        <v>22742051.099999998</v>
      </c>
      <c r="D500" s="79">
        <f t="shared" si="250"/>
        <v>0</v>
      </c>
      <c r="E500" s="92">
        <v>0</v>
      </c>
      <c r="F500" s="92">
        <v>0</v>
      </c>
      <c r="G500" s="92">
        <v>0</v>
      </c>
      <c r="H500" s="92">
        <v>0</v>
      </c>
      <c r="I500" s="92">
        <v>0</v>
      </c>
      <c r="J500" s="345">
        <v>0</v>
      </c>
      <c r="K500" s="79">
        <v>0</v>
      </c>
      <c r="L500" s="158">
        <v>21485509.199999999</v>
      </c>
      <c r="M500" s="79">
        <v>0</v>
      </c>
      <c r="N500" s="158">
        <v>0</v>
      </c>
      <c r="O500" s="79">
        <v>0</v>
      </c>
      <c r="P500" s="92">
        <f>265564+265594+265594</f>
        <v>796752</v>
      </c>
      <c r="Q500" s="158">
        <v>0</v>
      </c>
      <c r="R500" s="79">
        <f>459789.9</f>
        <v>459789.90000000002</v>
      </c>
      <c r="S500" s="158">
        <v>0</v>
      </c>
      <c r="T500" s="79">
        <v>0</v>
      </c>
      <c r="U500" s="399"/>
      <c r="V500" s="399"/>
      <c r="W500" s="399"/>
      <c r="X500" s="399"/>
      <c r="Y500" s="399"/>
      <c r="Z500" s="399"/>
      <c r="AA500" s="399"/>
      <c r="AB500" s="399"/>
      <c r="AC500" s="399"/>
      <c r="AD500" s="399"/>
      <c r="AE500" s="399"/>
    </row>
    <row r="501" s="435" customFormat="1" ht="22.5" customHeight="1">
      <c r="A501" s="33">
        <v>43</v>
      </c>
      <c r="B501" s="42" t="s">
        <v>1179</v>
      </c>
      <c r="C501" s="79">
        <f t="shared" si="249"/>
        <v>4174973.77</v>
      </c>
      <c r="D501" s="79">
        <f t="shared" si="250"/>
        <v>3567442.5</v>
      </c>
      <c r="E501" s="92">
        <v>0</v>
      </c>
      <c r="F501" s="92">
        <v>1858909.5</v>
      </c>
      <c r="G501" s="92">
        <v>597026.69999999995</v>
      </c>
      <c r="H501" s="92">
        <v>374341.5</v>
      </c>
      <c r="I501" s="92">
        <v>737164.79999999993</v>
      </c>
      <c r="J501" s="398">
        <v>0</v>
      </c>
      <c r="K501" s="79">
        <v>0</v>
      </c>
      <c r="L501" s="79">
        <v>0</v>
      </c>
      <c r="M501" s="79">
        <v>0</v>
      </c>
      <c r="N501" s="79">
        <f>265594+265594</f>
        <v>531188</v>
      </c>
      <c r="O501" s="79">
        <v>0</v>
      </c>
      <c r="P501" s="92">
        <f>15775.33+12776.37+8010.91+39780.66</f>
        <v>76343.270000000004</v>
      </c>
      <c r="Q501" s="79">
        <v>0</v>
      </c>
      <c r="R501" s="79">
        <v>0</v>
      </c>
      <c r="S501" s="79">
        <v>0</v>
      </c>
      <c r="T501" s="79">
        <v>0</v>
      </c>
      <c r="U501" s="435"/>
      <c r="V501" s="435"/>
      <c r="W501" s="435"/>
      <c r="X501" s="435"/>
      <c r="Y501" s="435"/>
      <c r="Z501" s="435"/>
      <c r="AA501" s="435"/>
      <c r="AB501" s="435"/>
      <c r="AC501" s="435"/>
      <c r="AD501" s="435"/>
      <c r="AE501" s="435"/>
      <c r="AF501" s="435"/>
      <c r="AG501" s="435"/>
      <c r="AH501" s="435"/>
      <c r="AI501" s="435"/>
      <c r="AJ501" s="435"/>
    </row>
    <row r="502" s="350" customFormat="1" ht="22.5" customHeight="1">
      <c r="A502" s="33">
        <v>44</v>
      </c>
      <c r="B502" s="42" t="s">
        <v>1180</v>
      </c>
      <c r="C502" s="158">
        <f t="shared" si="249"/>
        <v>6172478.1699999999</v>
      </c>
      <c r="D502" s="79">
        <f t="shared" si="250"/>
        <v>4070186.1699999999</v>
      </c>
      <c r="E502" s="92">
        <v>4070186.1699999999</v>
      </c>
      <c r="F502" s="158">
        <v>0</v>
      </c>
      <c r="G502" s="79">
        <v>0</v>
      </c>
      <c r="H502" s="92">
        <v>0</v>
      </c>
      <c r="I502" s="158">
        <v>0</v>
      </c>
      <c r="J502" s="398">
        <v>0</v>
      </c>
      <c r="K502" s="158">
        <v>0</v>
      </c>
      <c r="L502" s="92">
        <v>0</v>
      </c>
      <c r="M502" s="158">
        <v>0</v>
      </c>
      <c r="N502" s="92">
        <v>0</v>
      </c>
      <c r="O502" s="158">
        <v>0</v>
      </c>
      <c r="P502" s="92">
        <f>350382+350382+350382+350382+350382+350382</f>
        <v>2102292</v>
      </c>
      <c r="Q502" s="158">
        <v>0</v>
      </c>
      <c r="R502" s="79">
        <v>0</v>
      </c>
      <c r="S502" s="158">
        <v>0</v>
      </c>
      <c r="T502" s="79">
        <v>0</v>
      </c>
      <c r="U502" s="350"/>
      <c r="V502" s="350"/>
      <c r="W502" s="350"/>
      <c r="X502" s="350"/>
      <c r="Y502" s="350"/>
      <c r="Z502" s="350"/>
      <c r="AA502" s="350"/>
      <c r="AB502" s="350"/>
      <c r="AC502" s="350"/>
      <c r="AD502" s="350"/>
      <c r="AE502" s="350"/>
      <c r="AF502" s="350"/>
      <c r="AG502" s="350"/>
      <c r="AH502" s="350"/>
      <c r="AI502" s="350"/>
      <c r="AJ502" s="350"/>
    </row>
    <row r="503" s="31" customFormat="1" ht="22.800000000000001" customHeight="1">
      <c r="A503" s="33">
        <v>45</v>
      </c>
      <c r="B503" s="42" t="s">
        <v>948</v>
      </c>
      <c r="C503" s="79">
        <f t="shared" si="249"/>
        <v>2512925.9100000001</v>
      </c>
      <c r="D503" s="79">
        <f t="shared" si="250"/>
        <v>0</v>
      </c>
      <c r="E503" s="92">
        <v>0</v>
      </c>
      <c r="F503" s="79">
        <v>0</v>
      </c>
      <c r="G503" s="79">
        <v>0</v>
      </c>
      <c r="H503" s="92">
        <v>0</v>
      </c>
      <c r="I503" s="79">
        <v>0</v>
      </c>
      <c r="J503" s="398">
        <v>0</v>
      </c>
      <c r="K503" s="79">
        <v>0</v>
      </c>
      <c r="L503" s="92">
        <v>2460276</v>
      </c>
      <c r="M503" s="79">
        <v>0</v>
      </c>
      <c r="N503" s="79">
        <v>0</v>
      </c>
      <c r="O503" s="79">
        <v>0</v>
      </c>
      <c r="P503" s="92">
        <v>0</v>
      </c>
      <c r="Q503" s="79">
        <v>0</v>
      </c>
      <c r="R503" s="79">
        <v>52649.910000000003</v>
      </c>
      <c r="S503" s="79">
        <v>0</v>
      </c>
      <c r="T503" s="79">
        <v>0</v>
      </c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</row>
    <row r="504" s="31" customFormat="1" ht="22.800000000000001" customHeight="1">
      <c r="A504" s="33">
        <v>46</v>
      </c>
      <c r="B504" s="42" t="s">
        <v>118</v>
      </c>
      <c r="C504" s="79">
        <f t="shared" si="249"/>
        <v>2547866.3100000001</v>
      </c>
      <c r="D504" s="79">
        <f t="shared" si="250"/>
        <v>0</v>
      </c>
      <c r="E504" s="92">
        <v>0</v>
      </c>
      <c r="F504" s="79">
        <v>0</v>
      </c>
      <c r="G504" s="79">
        <v>0</v>
      </c>
      <c r="H504" s="92">
        <v>0</v>
      </c>
      <c r="I504" s="79">
        <v>0</v>
      </c>
      <c r="J504" s="398">
        <v>0</v>
      </c>
      <c r="K504" s="79">
        <v>0</v>
      </c>
      <c r="L504" s="92">
        <v>2547866.3100000001</v>
      </c>
      <c r="M504" s="79">
        <v>0</v>
      </c>
      <c r="N504" s="79">
        <v>0</v>
      </c>
      <c r="O504" s="79">
        <v>0</v>
      </c>
      <c r="P504" s="92">
        <v>0</v>
      </c>
      <c r="Q504" s="79">
        <v>0</v>
      </c>
      <c r="R504" s="79">
        <v>0</v>
      </c>
      <c r="S504" s="79">
        <v>0</v>
      </c>
      <c r="T504" s="79">
        <v>0</v>
      </c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</row>
    <row r="505" s="60" customFormat="1" ht="22.800000000000001" customHeight="1">
      <c r="A505" s="33">
        <v>47</v>
      </c>
      <c r="B505" s="42" t="s">
        <v>1181</v>
      </c>
      <c r="C505" s="79">
        <f t="shared" si="249"/>
        <v>1016246.5700000001</v>
      </c>
      <c r="D505" s="79">
        <f t="shared" si="250"/>
        <v>474895.79999999999</v>
      </c>
      <c r="E505" s="92">
        <v>0</v>
      </c>
      <c r="F505" s="92">
        <v>0</v>
      </c>
      <c r="G505" s="79">
        <v>0</v>
      </c>
      <c r="H505" s="92">
        <v>159939</v>
      </c>
      <c r="I505" s="92">
        <v>314956.79999999999</v>
      </c>
      <c r="J505" s="398">
        <v>0</v>
      </c>
      <c r="K505" s="79">
        <v>0</v>
      </c>
      <c r="L505" s="79">
        <v>0</v>
      </c>
      <c r="M505" s="79">
        <v>0</v>
      </c>
      <c r="N505" s="79">
        <v>0</v>
      </c>
      <c r="O505" s="79">
        <v>0</v>
      </c>
      <c r="P505" s="92">
        <f>265594+265594</f>
        <v>531188</v>
      </c>
      <c r="Q505" s="79">
        <v>0</v>
      </c>
      <c r="R505" s="79">
        <f>6740.08+3422.69</f>
        <v>10162.77</v>
      </c>
      <c r="S505" s="79">
        <v>0</v>
      </c>
      <c r="T505" s="79">
        <v>0</v>
      </c>
      <c r="U505" s="60"/>
      <c r="V505" s="60"/>
      <c r="W505" s="60"/>
      <c r="X505" s="60"/>
      <c r="Y505" s="60"/>
      <c r="Z505" s="60"/>
      <c r="AA505" s="60"/>
      <c r="AB505" s="60"/>
      <c r="AC505" s="60"/>
      <c r="AD505" s="60"/>
      <c r="AE505" s="60"/>
    </row>
    <row r="506" s="54" customFormat="1" ht="22.800000000000001" customHeight="1">
      <c r="A506" s="33">
        <v>48</v>
      </c>
      <c r="B506" s="42" t="s">
        <v>1182</v>
      </c>
      <c r="C506" s="79">
        <f t="shared" si="249"/>
        <v>2780360.8799999999</v>
      </c>
      <c r="D506" s="79">
        <f t="shared" si="250"/>
        <v>0</v>
      </c>
      <c r="E506" s="92">
        <v>0</v>
      </c>
      <c r="F506" s="79">
        <v>0</v>
      </c>
      <c r="G506" s="79">
        <v>0</v>
      </c>
      <c r="H506" s="92">
        <v>0</v>
      </c>
      <c r="I506" s="79">
        <v>0</v>
      </c>
      <c r="J506" s="398">
        <v>0</v>
      </c>
      <c r="K506" s="79">
        <v>0</v>
      </c>
      <c r="L506" s="92">
        <v>2462078.3999999999</v>
      </c>
      <c r="M506" s="79">
        <v>0</v>
      </c>
      <c r="N506" s="79">
        <v>0</v>
      </c>
      <c r="O506" s="79">
        <v>0</v>
      </c>
      <c r="P506" s="79">
        <v>265594</v>
      </c>
      <c r="Q506" s="79">
        <v>0</v>
      </c>
      <c r="R506" s="79">
        <v>52688.480000000003</v>
      </c>
      <c r="S506" s="79">
        <v>0</v>
      </c>
      <c r="T506" s="79">
        <v>0</v>
      </c>
      <c r="U506" s="54"/>
      <c r="V506" s="54"/>
      <c r="W506" s="54"/>
      <c r="X506" s="54"/>
      <c r="Y506" s="54"/>
      <c r="Z506" s="54"/>
      <c r="AA506" s="54"/>
      <c r="AB506" s="54"/>
      <c r="AC506" s="54"/>
      <c r="AD506" s="54"/>
      <c r="AE506" s="54"/>
    </row>
    <row r="507" s="350" customFormat="1" ht="22.199999999999999" customHeight="1">
      <c r="A507" s="33">
        <v>49</v>
      </c>
      <c r="B507" s="42" t="s">
        <v>593</v>
      </c>
      <c r="C507" s="79">
        <f t="shared" si="249"/>
        <v>1261306.53</v>
      </c>
      <c r="D507" s="79">
        <f t="shared" si="250"/>
        <v>0</v>
      </c>
      <c r="E507" s="92">
        <v>0</v>
      </c>
      <c r="F507" s="79">
        <v>0</v>
      </c>
      <c r="G507" s="79">
        <v>0</v>
      </c>
      <c r="H507" s="92">
        <v>0</v>
      </c>
      <c r="I507" s="79">
        <v>0</v>
      </c>
      <c r="J507" s="398">
        <v>0</v>
      </c>
      <c r="K507" s="79">
        <v>0</v>
      </c>
      <c r="L507" s="92">
        <v>0</v>
      </c>
      <c r="M507" s="79">
        <v>0</v>
      </c>
      <c r="N507" s="79">
        <v>1234880.1000000001</v>
      </c>
      <c r="O507" s="79">
        <v>0</v>
      </c>
      <c r="P507" s="79">
        <v>0</v>
      </c>
      <c r="Q507" s="79">
        <v>0</v>
      </c>
      <c r="R507" s="79">
        <v>26426.43</v>
      </c>
      <c r="S507" s="79">
        <v>0</v>
      </c>
      <c r="T507" s="79">
        <v>0</v>
      </c>
      <c r="U507" s="350"/>
      <c r="V507" s="350"/>
      <c r="W507" s="350"/>
      <c r="X507" s="350"/>
      <c r="Y507" s="350"/>
      <c r="Z507" s="350"/>
      <c r="AA507" s="350"/>
      <c r="AB507" s="350"/>
      <c r="AC507" s="350"/>
      <c r="AD507" s="350"/>
      <c r="AE507" s="350"/>
      <c r="AF507" s="350"/>
      <c r="AG507" s="350"/>
      <c r="AH507" s="350"/>
      <c r="AI507" s="350"/>
      <c r="AJ507" s="350"/>
    </row>
    <row r="508" s="350" customFormat="1" ht="22.199999999999999" customHeight="1">
      <c r="A508" s="33">
        <v>50</v>
      </c>
      <c r="B508" s="42" t="s">
        <v>1183</v>
      </c>
      <c r="C508" s="158">
        <f t="shared" si="249"/>
        <v>5964866.0700000003</v>
      </c>
      <c r="D508" s="79">
        <f t="shared" si="250"/>
        <v>0</v>
      </c>
      <c r="E508" s="92">
        <v>0</v>
      </c>
      <c r="F508" s="158">
        <v>0</v>
      </c>
      <c r="G508" s="79">
        <v>0</v>
      </c>
      <c r="H508" s="92">
        <v>0</v>
      </c>
      <c r="I508" s="158">
        <v>0</v>
      </c>
      <c r="J508" s="398">
        <v>1</v>
      </c>
      <c r="K508" s="158">
        <v>5262807</v>
      </c>
      <c r="L508" s="92">
        <v>0</v>
      </c>
      <c r="M508" s="158">
        <v>0</v>
      </c>
      <c r="N508" s="79">
        <v>0</v>
      </c>
      <c r="O508" s="158">
        <v>0</v>
      </c>
      <c r="P508" s="79">
        <v>589435</v>
      </c>
      <c r="Q508" s="158">
        <v>0</v>
      </c>
      <c r="R508" s="79">
        <v>112624.07000000001</v>
      </c>
      <c r="S508" s="158">
        <v>0</v>
      </c>
      <c r="T508" s="79">
        <v>0</v>
      </c>
      <c r="U508" s="399"/>
      <c r="V508" s="399"/>
      <c r="W508" s="399"/>
      <c r="X508" s="399"/>
      <c r="Y508" s="399"/>
      <c r="Z508" s="399"/>
      <c r="AA508" s="399"/>
      <c r="AB508" s="399"/>
      <c r="AC508" s="399"/>
      <c r="AD508" s="399"/>
      <c r="AE508" s="399"/>
      <c r="AF508" s="399"/>
      <c r="AG508" s="399"/>
      <c r="AH508" s="399"/>
      <c r="AI508" s="399"/>
      <c r="AJ508" s="399"/>
    </row>
    <row r="509" s="350" customFormat="1" ht="22.199999999999999" customHeight="1">
      <c r="A509" s="33">
        <v>51</v>
      </c>
      <c r="B509" s="52" t="s">
        <v>121</v>
      </c>
      <c r="C509" s="79">
        <f t="shared" si="249"/>
        <v>8228321.7000000002</v>
      </c>
      <c r="D509" s="79">
        <f t="shared" si="250"/>
        <v>0</v>
      </c>
      <c r="E509" s="92">
        <v>0</v>
      </c>
      <c r="F509" s="79">
        <v>0</v>
      </c>
      <c r="G509" s="79">
        <v>0</v>
      </c>
      <c r="H509" s="92">
        <v>0</v>
      </c>
      <c r="I509" s="79">
        <v>0</v>
      </c>
      <c r="J509" s="398">
        <v>0</v>
      </c>
      <c r="K509" s="79">
        <v>0</v>
      </c>
      <c r="L509" s="92">
        <v>4920993.9000000004</v>
      </c>
      <c r="M509" s="79">
        <v>0</v>
      </c>
      <c r="N509" s="79">
        <v>3125294.0899999999</v>
      </c>
      <c r="O509" s="79">
        <v>0</v>
      </c>
      <c r="P509" s="92">
        <v>0</v>
      </c>
      <c r="Q509" s="79">
        <v>0</v>
      </c>
      <c r="R509" s="79">
        <f>115631.35+66402.36</f>
        <v>182033.71000000002</v>
      </c>
      <c r="S509" s="79">
        <v>0</v>
      </c>
      <c r="T509" s="79">
        <v>0</v>
      </c>
      <c r="U509" s="350"/>
      <c r="V509" s="350"/>
      <c r="W509" s="350"/>
      <c r="X509" s="350"/>
      <c r="Y509" s="350"/>
      <c r="Z509" s="350"/>
      <c r="AA509" s="350"/>
      <c r="AB509" s="350"/>
      <c r="AC509" s="350"/>
      <c r="AD509" s="350"/>
      <c r="AE509" s="350"/>
      <c r="AF509" s="350"/>
      <c r="AG509" s="350"/>
      <c r="AH509" s="350"/>
      <c r="AI509" s="350"/>
      <c r="AJ509" s="350"/>
    </row>
    <row r="510" s="350" customFormat="1" ht="22.5" customHeight="1">
      <c r="A510" s="33">
        <v>52</v>
      </c>
      <c r="B510" s="42" t="s">
        <v>125</v>
      </c>
      <c r="C510" s="79">
        <f t="shared" si="249"/>
        <v>4106769.5299999998</v>
      </c>
      <c r="D510" s="79">
        <f t="shared" si="250"/>
        <v>0</v>
      </c>
      <c r="E510" s="92">
        <v>0</v>
      </c>
      <c r="F510" s="79">
        <v>0</v>
      </c>
      <c r="G510" s="79">
        <v>0</v>
      </c>
      <c r="H510" s="92">
        <v>0</v>
      </c>
      <c r="I510" s="92">
        <v>0</v>
      </c>
      <c r="J510" s="398">
        <v>0</v>
      </c>
      <c r="K510" s="79">
        <v>0</v>
      </c>
      <c r="L510" s="92">
        <v>4012449.8599999999</v>
      </c>
      <c r="M510" s="79">
        <v>0</v>
      </c>
      <c r="N510" s="79">
        <v>0</v>
      </c>
      <c r="O510" s="79">
        <v>0</v>
      </c>
      <c r="P510" s="92">
        <v>0</v>
      </c>
      <c r="Q510" s="79">
        <v>0</v>
      </c>
      <c r="R510" s="79">
        <v>94319.669999999998</v>
      </c>
      <c r="S510" s="79">
        <v>0</v>
      </c>
      <c r="T510" s="79">
        <v>0</v>
      </c>
      <c r="U510" s="350"/>
      <c r="V510" s="350"/>
      <c r="W510" s="350"/>
      <c r="X510" s="350"/>
      <c r="Y510" s="350"/>
      <c r="Z510" s="350"/>
      <c r="AA510" s="350"/>
      <c r="AB510" s="350"/>
      <c r="AC510" s="350"/>
      <c r="AD510" s="350"/>
      <c r="AE510" s="350"/>
    </row>
    <row r="511" s="399" customFormat="1" ht="22.5" customHeight="1">
      <c r="A511" s="33">
        <v>53</v>
      </c>
      <c r="B511" s="42" t="s">
        <v>1184</v>
      </c>
      <c r="C511" s="158">
        <f t="shared" si="249"/>
        <v>1751910</v>
      </c>
      <c r="D511" s="79">
        <f t="shared" si="250"/>
        <v>0</v>
      </c>
      <c r="E511" s="92">
        <v>0</v>
      </c>
      <c r="F511" s="92">
        <v>0</v>
      </c>
      <c r="G511" s="158">
        <v>0</v>
      </c>
      <c r="H511" s="92">
        <v>0</v>
      </c>
      <c r="I511" s="158">
        <v>0</v>
      </c>
      <c r="J511" s="398">
        <v>0</v>
      </c>
      <c r="K511" s="158">
        <v>0</v>
      </c>
      <c r="L511" s="92">
        <v>0</v>
      </c>
      <c r="M511" s="158">
        <v>0</v>
      </c>
      <c r="N511" s="79">
        <v>0</v>
      </c>
      <c r="O511" s="158">
        <v>0</v>
      </c>
      <c r="P511" s="92">
        <f>350382+350382+350382+350382+350382</f>
        <v>1751910</v>
      </c>
      <c r="Q511" s="92">
        <v>0</v>
      </c>
      <c r="R511" s="158">
        <v>0</v>
      </c>
      <c r="S511" s="79">
        <v>0</v>
      </c>
      <c r="T511" s="79">
        <v>0</v>
      </c>
      <c r="U511" s="399"/>
      <c r="V511" s="399"/>
      <c r="W511" s="399"/>
      <c r="X511" s="399"/>
      <c r="Y511" s="399"/>
      <c r="Z511" s="399"/>
      <c r="AA511" s="399"/>
      <c r="AB511" s="399"/>
      <c r="AC511" s="399"/>
      <c r="AD511" s="399"/>
      <c r="AE511" s="399"/>
      <c r="AF511" s="399"/>
      <c r="AG511" s="399"/>
      <c r="AH511" s="399"/>
      <c r="AI511" s="399"/>
      <c r="AJ511" s="399"/>
      <c r="AK511" s="399"/>
      <c r="AL511" s="399"/>
      <c r="AM511" s="399"/>
      <c r="AN511" s="399"/>
      <c r="AO511" s="399"/>
    </row>
    <row r="512" s="350" customFormat="1" ht="22.5" customHeight="1">
      <c r="A512" s="33">
        <v>54</v>
      </c>
      <c r="B512" s="42" t="s">
        <v>1185</v>
      </c>
      <c r="C512" s="79">
        <f t="shared" si="249"/>
        <v>5840299.6600000001</v>
      </c>
      <c r="D512" s="79">
        <f t="shared" si="250"/>
        <v>4634707.25</v>
      </c>
      <c r="E512" s="92">
        <v>0</v>
      </c>
      <c r="F512" s="92">
        <v>4634707.25</v>
      </c>
      <c r="G512" s="79">
        <v>0</v>
      </c>
      <c r="H512" s="92">
        <v>0</v>
      </c>
      <c r="I512" s="79">
        <v>0</v>
      </c>
      <c r="J512" s="398">
        <v>0</v>
      </c>
      <c r="K512" s="79">
        <v>0</v>
      </c>
      <c r="L512" s="92">
        <v>0</v>
      </c>
      <c r="M512" s="79">
        <v>0</v>
      </c>
      <c r="N512" s="79">
        <v>0</v>
      </c>
      <c r="O512" s="79">
        <v>0</v>
      </c>
      <c r="P512" s="92">
        <f t="shared" ref="P512:P514" si="253">514458+514458</f>
        <v>1028916</v>
      </c>
      <c r="Q512" s="92">
        <v>0</v>
      </c>
      <c r="R512" s="79">
        <v>176676.41</v>
      </c>
      <c r="S512" s="79">
        <v>0</v>
      </c>
      <c r="T512" s="79">
        <v>0</v>
      </c>
      <c r="U512" s="350"/>
      <c r="V512" s="350"/>
      <c r="W512" s="350"/>
      <c r="X512" s="350"/>
      <c r="Y512" s="350"/>
      <c r="Z512" s="350"/>
      <c r="AA512" s="350"/>
      <c r="AB512" s="350"/>
      <c r="AC512" s="350"/>
      <c r="AD512" s="350"/>
      <c r="AE512" s="350"/>
    </row>
    <row r="513" s="350" customFormat="1" ht="22.5" customHeight="1">
      <c r="A513" s="33">
        <v>55</v>
      </c>
      <c r="B513" s="42" t="s">
        <v>1186</v>
      </c>
      <c r="C513" s="79">
        <f t="shared" si="249"/>
        <v>1028916</v>
      </c>
      <c r="D513" s="79">
        <f t="shared" si="250"/>
        <v>0</v>
      </c>
      <c r="E513" s="92">
        <v>0</v>
      </c>
      <c r="F513" s="92">
        <v>0</v>
      </c>
      <c r="G513" s="79">
        <v>0</v>
      </c>
      <c r="H513" s="92">
        <v>0</v>
      </c>
      <c r="I513" s="79">
        <v>0</v>
      </c>
      <c r="J513" s="398">
        <v>0</v>
      </c>
      <c r="K513" s="79">
        <v>0</v>
      </c>
      <c r="L513" s="92">
        <v>0</v>
      </c>
      <c r="M513" s="79">
        <v>0</v>
      </c>
      <c r="N513" s="79">
        <v>0</v>
      </c>
      <c r="O513" s="79">
        <v>0</v>
      </c>
      <c r="P513" s="92">
        <f t="shared" si="253"/>
        <v>1028916</v>
      </c>
      <c r="Q513" s="92">
        <v>0</v>
      </c>
      <c r="R513" s="79">
        <v>0</v>
      </c>
      <c r="S513" s="79">
        <v>0</v>
      </c>
      <c r="T513" s="79">
        <v>0</v>
      </c>
      <c r="U513" s="399"/>
      <c r="V513" s="399"/>
      <c r="W513" s="399"/>
      <c r="X513" s="399"/>
      <c r="Y513" s="399"/>
      <c r="Z513" s="399"/>
      <c r="AA513" s="399"/>
      <c r="AB513" s="399"/>
      <c r="AC513" s="399"/>
      <c r="AD513" s="399"/>
      <c r="AE513" s="399"/>
    </row>
    <row r="514" s="350" customFormat="1" ht="22.5" customHeight="1">
      <c r="A514" s="33">
        <v>56</v>
      </c>
      <c r="B514" s="42" t="s">
        <v>1187</v>
      </c>
      <c r="C514" s="79">
        <f t="shared" si="249"/>
        <v>1028916</v>
      </c>
      <c r="D514" s="79">
        <f t="shared" si="250"/>
        <v>0</v>
      </c>
      <c r="E514" s="92">
        <v>0</v>
      </c>
      <c r="F514" s="92">
        <v>0</v>
      </c>
      <c r="G514" s="79">
        <v>0</v>
      </c>
      <c r="H514" s="92">
        <v>0</v>
      </c>
      <c r="I514" s="79">
        <v>0</v>
      </c>
      <c r="J514" s="398">
        <v>0</v>
      </c>
      <c r="K514" s="79">
        <v>0</v>
      </c>
      <c r="L514" s="92">
        <v>0</v>
      </c>
      <c r="M514" s="79">
        <v>0</v>
      </c>
      <c r="N514" s="79">
        <v>0</v>
      </c>
      <c r="O514" s="79">
        <v>0</v>
      </c>
      <c r="P514" s="92">
        <f t="shared" si="253"/>
        <v>1028916</v>
      </c>
      <c r="Q514" s="92">
        <v>0</v>
      </c>
      <c r="R514" s="79">
        <v>0</v>
      </c>
      <c r="S514" s="79">
        <v>0</v>
      </c>
      <c r="T514" s="79">
        <v>0</v>
      </c>
      <c r="U514" s="399"/>
      <c r="V514" s="399"/>
      <c r="W514" s="399"/>
      <c r="X514" s="399"/>
      <c r="Y514" s="399"/>
      <c r="Z514" s="399"/>
      <c r="AA514" s="399"/>
      <c r="AB514" s="399"/>
      <c r="AC514" s="399"/>
      <c r="AD514" s="399"/>
      <c r="AE514" s="399"/>
    </row>
    <row r="515" s="350" customFormat="1" ht="22.5" customHeight="1">
      <c r="A515" s="33">
        <v>57</v>
      </c>
      <c r="B515" s="42" t="s">
        <v>131</v>
      </c>
      <c r="C515" s="79">
        <f t="shared" si="249"/>
        <v>6105235.8599999994</v>
      </c>
      <c r="D515" s="79">
        <f t="shared" si="250"/>
        <v>0</v>
      </c>
      <c r="E515" s="92">
        <v>0</v>
      </c>
      <c r="F515" s="92">
        <v>0</v>
      </c>
      <c r="G515" s="92">
        <v>0</v>
      </c>
      <c r="H515" s="92">
        <v>0</v>
      </c>
      <c r="I515" s="79">
        <v>0</v>
      </c>
      <c r="J515" s="398">
        <v>0</v>
      </c>
      <c r="K515" s="79">
        <v>0</v>
      </c>
      <c r="L515" s="92">
        <v>5906453.0599999996</v>
      </c>
      <c r="M515" s="79">
        <v>0</v>
      </c>
      <c r="N515" s="79">
        <v>0</v>
      </c>
      <c r="O515" s="79">
        <v>0</v>
      </c>
      <c r="P515" s="92">
        <v>0</v>
      </c>
      <c r="Q515" s="79">
        <v>0</v>
      </c>
      <c r="R515" s="79">
        <v>198782.79999999999</v>
      </c>
      <c r="S515" s="79">
        <v>0</v>
      </c>
      <c r="T515" s="79">
        <v>0</v>
      </c>
      <c r="U515" s="350"/>
      <c r="V515" s="350"/>
      <c r="W515" s="350"/>
      <c r="X515" s="350"/>
      <c r="Y515" s="350"/>
      <c r="Z515" s="350"/>
      <c r="AA515" s="350"/>
      <c r="AB515" s="350"/>
      <c r="AC515" s="350"/>
      <c r="AD515" s="350"/>
      <c r="AE515" s="350"/>
    </row>
    <row r="516" s="350" customFormat="1" ht="22.5" customHeight="1">
      <c r="A516" s="33">
        <v>58</v>
      </c>
      <c r="B516" s="42" t="s">
        <v>1188</v>
      </c>
      <c r="C516" s="400">
        <f t="shared" si="249"/>
        <v>2138613.8700000001</v>
      </c>
      <c r="D516" s="158">
        <f t="shared" si="250"/>
        <v>1750765.5</v>
      </c>
      <c r="E516" s="92">
        <v>0</v>
      </c>
      <c r="F516" s="400">
        <v>0</v>
      </c>
      <c r="G516" s="158">
        <v>0</v>
      </c>
      <c r="H516" s="92">
        <v>0</v>
      </c>
      <c r="I516" s="400">
        <v>1750765.5</v>
      </c>
      <c r="J516" s="345">
        <v>0</v>
      </c>
      <c r="K516" s="400">
        <v>0</v>
      </c>
      <c r="L516" s="158">
        <v>0</v>
      </c>
      <c r="M516" s="400">
        <v>0</v>
      </c>
      <c r="N516" s="158">
        <v>0</v>
      </c>
      <c r="O516" s="400">
        <v>0</v>
      </c>
      <c r="P516" s="92">
        <v>350382</v>
      </c>
      <c r="Q516" s="400">
        <v>0</v>
      </c>
      <c r="R516" s="158">
        <v>37466.370000000003</v>
      </c>
      <c r="S516" s="92">
        <v>0</v>
      </c>
      <c r="T516" s="79">
        <v>0</v>
      </c>
      <c r="U516" s="399"/>
      <c r="V516" s="399"/>
      <c r="W516" s="399"/>
      <c r="X516" s="399"/>
      <c r="Y516" s="399"/>
      <c r="Z516" s="399"/>
      <c r="AA516" s="399"/>
      <c r="AB516" s="399"/>
      <c r="AC516" s="399"/>
      <c r="AD516" s="399"/>
      <c r="AE516" s="399"/>
    </row>
    <row r="517" s="350" customFormat="1" ht="22.5" customHeight="1">
      <c r="A517" s="33">
        <v>59</v>
      </c>
      <c r="B517" s="42" t="s">
        <v>136</v>
      </c>
      <c r="C517" s="79">
        <f t="shared" si="249"/>
        <v>3695801.6000000001</v>
      </c>
      <c r="D517" s="79">
        <f t="shared" si="250"/>
        <v>3695801.6000000001</v>
      </c>
      <c r="E517" s="92">
        <v>0</v>
      </c>
      <c r="F517" s="92">
        <v>3695801.6000000001</v>
      </c>
      <c r="G517" s="79">
        <v>0</v>
      </c>
      <c r="H517" s="92">
        <v>0</v>
      </c>
      <c r="I517" s="79">
        <v>0</v>
      </c>
      <c r="J517" s="398">
        <v>0</v>
      </c>
      <c r="K517" s="79">
        <v>0</v>
      </c>
      <c r="L517" s="79">
        <v>0</v>
      </c>
      <c r="M517" s="79">
        <v>0</v>
      </c>
      <c r="N517" s="79">
        <v>0</v>
      </c>
      <c r="O517" s="79">
        <v>0</v>
      </c>
      <c r="P517" s="92">
        <v>0</v>
      </c>
      <c r="Q517" s="79">
        <v>0</v>
      </c>
      <c r="R517" s="79">
        <v>0</v>
      </c>
      <c r="S517" s="79">
        <v>0</v>
      </c>
      <c r="T517" s="79">
        <v>0</v>
      </c>
      <c r="U517" s="350"/>
      <c r="V517" s="350"/>
      <c r="W517" s="350"/>
      <c r="X517" s="350"/>
      <c r="Y517" s="350"/>
      <c r="Z517" s="350"/>
      <c r="AA517" s="350"/>
      <c r="AB517" s="350"/>
      <c r="AC517" s="350"/>
      <c r="AD517" s="350"/>
      <c r="AE517" s="350"/>
    </row>
    <row r="518" s="350" customFormat="1" ht="22.5" customHeight="1">
      <c r="A518" s="33">
        <v>60</v>
      </c>
      <c r="B518" s="42" t="s">
        <v>138</v>
      </c>
      <c r="C518" s="79">
        <f t="shared" si="249"/>
        <v>3911748.4399999999</v>
      </c>
      <c r="D518" s="79">
        <f t="shared" si="250"/>
        <v>3911748.4399999999</v>
      </c>
      <c r="E518" s="92">
        <v>0</v>
      </c>
      <c r="F518" s="92">
        <v>3911748.4399999999</v>
      </c>
      <c r="G518" s="92">
        <v>0</v>
      </c>
      <c r="H518" s="92">
        <v>0</v>
      </c>
      <c r="I518" s="79">
        <v>0</v>
      </c>
      <c r="J518" s="398">
        <v>0</v>
      </c>
      <c r="K518" s="79">
        <v>0</v>
      </c>
      <c r="L518" s="79">
        <v>0</v>
      </c>
      <c r="M518" s="79">
        <v>0</v>
      </c>
      <c r="N518" s="79">
        <v>0</v>
      </c>
      <c r="O518" s="79">
        <v>0</v>
      </c>
      <c r="P518" s="92">
        <v>0</v>
      </c>
      <c r="Q518" s="79">
        <v>0</v>
      </c>
      <c r="R518" s="79">
        <v>0</v>
      </c>
      <c r="S518" s="79">
        <v>0</v>
      </c>
      <c r="T518" s="79">
        <v>0</v>
      </c>
      <c r="U518" s="350"/>
      <c r="V518" s="350"/>
      <c r="W518" s="350"/>
      <c r="X518" s="350"/>
      <c r="Y518" s="350"/>
      <c r="Z518" s="350"/>
      <c r="AA518" s="350"/>
      <c r="AB518" s="350"/>
      <c r="AC518" s="350"/>
      <c r="AD518" s="350"/>
      <c r="AE518" s="350"/>
    </row>
    <row r="519" s="60" customFormat="1" ht="23.399999999999999" customHeight="1">
      <c r="A519" s="33">
        <v>61</v>
      </c>
      <c r="B519" s="42" t="s">
        <v>146</v>
      </c>
      <c r="C519" s="79">
        <f t="shared" si="249"/>
        <v>23522881.729999997</v>
      </c>
      <c r="D519" s="79">
        <f t="shared" si="250"/>
        <v>0</v>
      </c>
      <c r="E519" s="92">
        <v>0</v>
      </c>
      <c r="F519" s="92">
        <v>0</v>
      </c>
      <c r="G519" s="92">
        <v>0</v>
      </c>
      <c r="H519" s="92">
        <v>0</v>
      </c>
      <c r="I519" s="79">
        <v>0</v>
      </c>
      <c r="J519" s="398">
        <v>0</v>
      </c>
      <c r="K519" s="79">
        <v>0</v>
      </c>
      <c r="L519" s="79">
        <v>23030038.899999999</v>
      </c>
      <c r="M519" s="79">
        <v>0</v>
      </c>
      <c r="N519" s="79">
        <v>0</v>
      </c>
      <c r="O519" s="79">
        <v>0</v>
      </c>
      <c r="P519" s="92">
        <v>0</v>
      </c>
      <c r="Q519" s="79">
        <v>0</v>
      </c>
      <c r="R519" s="79">
        <v>492842.83000000002</v>
      </c>
      <c r="S519" s="79">
        <v>0</v>
      </c>
      <c r="T519" s="79">
        <v>0</v>
      </c>
      <c r="U519" s="60"/>
      <c r="V519" s="60"/>
      <c r="W519" s="60"/>
      <c r="X519" s="60"/>
      <c r="Y519" s="60"/>
      <c r="Z519" s="60"/>
      <c r="AA519" s="60"/>
      <c r="AB519" s="60"/>
      <c r="AC519" s="60"/>
      <c r="AD519" s="60"/>
      <c r="AE519" s="60"/>
      <c r="AF519" s="60"/>
      <c r="AG519" s="60"/>
      <c r="AH519" s="60"/>
      <c r="AI519" s="60"/>
    </row>
    <row r="520" s="60" customFormat="1" ht="23.399999999999999" customHeight="1">
      <c r="A520" s="33">
        <v>62</v>
      </c>
      <c r="B520" s="52" t="s">
        <v>148</v>
      </c>
      <c r="C520" s="79">
        <f t="shared" si="249"/>
        <v>15333040.25</v>
      </c>
      <c r="D520" s="79">
        <f t="shared" si="250"/>
        <v>0</v>
      </c>
      <c r="E520" s="92">
        <v>0</v>
      </c>
      <c r="F520" s="79">
        <v>0</v>
      </c>
      <c r="G520" s="79">
        <v>0</v>
      </c>
      <c r="H520" s="92">
        <v>0</v>
      </c>
      <c r="I520" s="79">
        <v>0</v>
      </c>
      <c r="J520" s="398">
        <v>0</v>
      </c>
      <c r="K520" s="79">
        <v>0</v>
      </c>
      <c r="L520" s="92">
        <v>14831390.09</v>
      </c>
      <c r="M520" s="79">
        <v>0</v>
      </c>
      <c r="N520" s="79">
        <v>0</v>
      </c>
      <c r="O520" s="79">
        <v>0</v>
      </c>
      <c r="P520" s="92">
        <v>0</v>
      </c>
      <c r="Q520" s="79">
        <v>0</v>
      </c>
      <c r="R520" s="79">
        <v>501650.15999999997</v>
      </c>
      <c r="S520" s="79">
        <v>0</v>
      </c>
      <c r="T520" s="79">
        <v>0</v>
      </c>
      <c r="U520" s="60"/>
      <c r="V520" s="60"/>
      <c r="W520" s="60"/>
      <c r="X520" s="60"/>
      <c r="Y520" s="60"/>
      <c r="Z520" s="60"/>
      <c r="AA520" s="60"/>
      <c r="AB520" s="60"/>
      <c r="AC520" s="60"/>
      <c r="AD520" s="60"/>
      <c r="AE520" s="60"/>
      <c r="AF520" s="60"/>
      <c r="AG520" s="60"/>
      <c r="AH520" s="60"/>
      <c r="AI520" s="60"/>
    </row>
    <row r="521" s="60" customFormat="1" ht="23.399999999999999" customHeight="1">
      <c r="A521" s="33">
        <v>63</v>
      </c>
      <c r="B521" s="52" t="s">
        <v>1189</v>
      </c>
      <c r="C521" s="158">
        <f t="shared" si="249"/>
        <v>5329185.7300000004</v>
      </c>
      <c r="D521" s="79">
        <f t="shared" si="250"/>
        <v>0</v>
      </c>
      <c r="E521" s="92">
        <v>0</v>
      </c>
      <c r="F521" s="158">
        <v>0</v>
      </c>
      <c r="G521" s="79">
        <v>0</v>
      </c>
      <c r="H521" s="92">
        <v>0</v>
      </c>
      <c r="I521" s="158">
        <v>0</v>
      </c>
      <c r="J521" s="398">
        <v>0</v>
      </c>
      <c r="K521" s="158">
        <v>0</v>
      </c>
      <c r="L521" s="92">
        <v>4957501.2000000002</v>
      </c>
      <c r="M521" s="158">
        <v>0</v>
      </c>
      <c r="N521" s="79">
        <v>0</v>
      </c>
      <c r="O521" s="158">
        <v>0</v>
      </c>
      <c r="P521" s="92">
        <v>265594</v>
      </c>
      <c r="Q521" s="158">
        <v>0</v>
      </c>
      <c r="R521" s="79">
        <v>106090.53</v>
      </c>
      <c r="S521" s="158">
        <v>0</v>
      </c>
      <c r="T521" s="79">
        <v>0</v>
      </c>
      <c r="U521" s="59"/>
      <c r="V521" s="59"/>
      <c r="W521" s="59"/>
      <c r="X521" s="59"/>
      <c r="Y521" s="59"/>
      <c r="Z521" s="59"/>
      <c r="AA521" s="59"/>
      <c r="AB521" s="59"/>
      <c r="AC521" s="59"/>
      <c r="AD521" s="59"/>
      <c r="AE521" s="59"/>
      <c r="AF521" s="59"/>
      <c r="AG521" s="59"/>
      <c r="AH521" s="59"/>
      <c r="AI521" s="59"/>
    </row>
    <row r="522" s="31" customFormat="1" ht="21.600000000000001" customHeight="1">
      <c r="A522" s="33">
        <v>64</v>
      </c>
      <c r="B522" s="42" t="s">
        <v>1190</v>
      </c>
      <c r="C522" s="79">
        <f t="shared" si="249"/>
        <v>10576704.02</v>
      </c>
      <c r="D522" s="79">
        <f t="shared" si="250"/>
        <v>9778019.4000000004</v>
      </c>
      <c r="E522" s="92">
        <v>0</v>
      </c>
      <c r="F522" s="92">
        <v>8847903.5999999996</v>
      </c>
      <c r="G522" s="79">
        <v>0</v>
      </c>
      <c r="H522" s="92">
        <v>930115.80000000005</v>
      </c>
      <c r="I522" s="79">
        <v>0</v>
      </c>
      <c r="J522" s="398">
        <v>0</v>
      </c>
      <c r="K522" s="79">
        <v>0</v>
      </c>
      <c r="L522" s="79">
        <v>0</v>
      </c>
      <c r="M522" s="79">
        <v>0</v>
      </c>
      <c r="N522" s="79">
        <v>0</v>
      </c>
      <c r="O522" s="79">
        <v>0</v>
      </c>
      <c r="P522" s="92">
        <v>589435</v>
      </c>
      <c r="Q522" s="79">
        <v>0</v>
      </c>
      <c r="R522" s="79">
        <f>19904.48+189345.14</f>
        <v>209249.62000000002</v>
      </c>
      <c r="S522" s="79">
        <v>0</v>
      </c>
      <c r="T522" s="79">
        <v>0</v>
      </c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</row>
    <row r="523" s="31" customFormat="1" ht="21.600000000000001" customHeight="1">
      <c r="A523" s="33">
        <v>65</v>
      </c>
      <c r="B523" s="42" t="s">
        <v>1191</v>
      </c>
      <c r="C523" s="158">
        <f t="shared" ref="C523:C586" si="254">D523+K523+L523+M523+N523+O523+P523+Q523+R523+S523+T523</f>
        <v>30593641.459999997</v>
      </c>
      <c r="D523" s="79">
        <f t="shared" ref="D523:D586" si="255">SUM(E523:I523)</f>
        <v>6660578.4000000004</v>
      </c>
      <c r="E523" s="92">
        <v>6660578.4000000004</v>
      </c>
      <c r="F523" s="92">
        <v>0</v>
      </c>
      <c r="G523" s="158">
        <v>0</v>
      </c>
      <c r="H523" s="92">
        <v>0</v>
      </c>
      <c r="I523" s="158">
        <v>0</v>
      </c>
      <c r="J523" s="398">
        <v>0</v>
      </c>
      <c r="K523" s="158">
        <v>0</v>
      </c>
      <c r="L523" s="79">
        <v>22605994.399999999</v>
      </c>
      <c r="M523" s="158">
        <v>0</v>
      </c>
      <c r="N523" s="79">
        <v>0</v>
      </c>
      <c r="O523" s="158">
        <v>0</v>
      </c>
      <c r="P523" s="92">
        <f>350382+350382</f>
        <v>700764</v>
      </c>
      <c r="Q523" s="158">
        <v>0</v>
      </c>
      <c r="R523" s="79">
        <f>483768.28+142536.38</f>
        <v>626304.66000000003</v>
      </c>
      <c r="S523" s="158">
        <v>0</v>
      </c>
      <c r="T523" s="79">
        <v>0</v>
      </c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</row>
    <row r="524" s="60" customFormat="1" ht="21.600000000000001" customHeight="1">
      <c r="A524" s="33">
        <v>66</v>
      </c>
      <c r="B524" s="52" t="s">
        <v>161</v>
      </c>
      <c r="C524" s="79">
        <f t="shared" si="254"/>
        <v>43957015.009999998</v>
      </c>
      <c r="D524" s="79">
        <f t="shared" si="255"/>
        <v>0</v>
      </c>
      <c r="E524" s="92">
        <v>0</v>
      </c>
      <c r="F524" s="79">
        <v>0</v>
      </c>
      <c r="G524" s="79">
        <v>0</v>
      </c>
      <c r="H524" s="92">
        <v>0</v>
      </c>
      <c r="I524" s="79">
        <v>0</v>
      </c>
      <c r="J524" s="398">
        <v>0</v>
      </c>
      <c r="K524" s="79">
        <v>0</v>
      </c>
      <c r="L524" s="79">
        <v>0</v>
      </c>
      <c r="M524" s="79">
        <v>0</v>
      </c>
      <c r="N524" s="79">
        <v>0</v>
      </c>
      <c r="O524" s="79">
        <v>0</v>
      </c>
      <c r="P524" s="92">
        <v>0</v>
      </c>
      <c r="Q524" s="79">
        <v>0</v>
      </c>
      <c r="R524" s="79">
        <v>920971.31000000006</v>
      </c>
      <c r="S524" s="92">
        <v>43036043.699999996</v>
      </c>
      <c r="T524" s="79">
        <v>0</v>
      </c>
      <c r="U524" s="60"/>
      <c r="V524" s="60"/>
      <c r="W524" s="60"/>
      <c r="X524" s="60"/>
      <c r="Y524" s="60"/>
      <c r="Z524" s="60"/>
      <c r="AA524" s="60"/>
      <c r="AB524" s="60"/>
      <c r="AC524" s="60"/>
      <c r="AD524" s="60"/>
      <c r="AE524" s="60"/>
      <c r="AF524" s="60"/>
      <c r="AG524" s="60"/>
      <c r="AH524" s="60"/>
      <c r="AI524" s="60"/>
    </row>
    <row r="525" s="60" customFormat="1" ht="21.600000000000001" customHeight="1">
      <c r="A525" s="33">
        <v>67</v>
      </c>
      <c r="B525" s="42" t="s">
        <v>162</v>
      </c>
      <c r="C525" s="79">
        <f t="shared" si="254"/>
        <v>5043925.0300000003</v>
      </c>
      <c r="D525" s="79">
        <f t="shared" si="255"/>
        <v>0</v>
      </c>
      <c r="E525" s="92">
        <v>0</v>
      </c>
      <c r="F525" s="79">
        <v>0</v>
      </c>
      <c r="G525" s="79">
        <v>0</v>
      </c>
      <c r="H525" s="92">
        <v>0</v>
      </c>
      <c r="I525" s="79">
        <v>0</v>
      </c>
      <c r="J525" s="398">
        <v>0</v>
      </c>
      <c r="K525" s="79">
        <v>0</v>
      </c>
      <c r="L525" s="92">
        <v>0</v>
      </c>
      <c r="M525" s="79">
        <v>0</v>
      </c>
      <c r="N525" s="92">
        <v>4940382.21</v>
      </c>
      <c r="O525" s="79">
        <v>0</v>
      </c>
      <c r="P525" s="92">
        <v>0</v>
      </c>
      <c r="Q525" s="79">
        <v>0</v>
      </c>
      <c r="R525" s="79">
        <v>103542.82000000001</v>
      </c>
      <c r="S525" s="79">
        <v>0</v>
      </c>
      <c r="T525" s="79">
        <v>0</v>
      </c>
      <c r="U525" s="60"/>
      <c r="V525" s="60"/>
      <c r="W525" s="60"/>
      <c r="X525" s="60"/>
      <c r="Y525" s="60"/>
      <c r="Z525" s="60"/>
      <c r="AA525" s="60"/>
      <c r="AB525" s="60"/>
      <c r="AC525" s="60"/>
      <c r="AD525" s="60"/>
      <c r="AE525" s="60"/>
      <c r="AF525" s="60"/>
      <c r="AG525" s="60"/>
      <c r="AH525" s="60"/>
      <c r="AI525" s="60"/>
    </row>
    <row r="526" s="350" customFormat="1" ht="22.5" customHeight="1">
      <c r="A526" s="33">
        <v>68</v>
      </c>
      <c r="B526" s="52" t="s">
        <v>165</v>
      </c>
      <c r="C526" s="79">
        <f t="shared" si="254"/>
        <v>7419736.3299999991</v>
      </c>
      <c r="D526" s="79">
        <f t="shared" si="255"/>
        <v>0</v>
      </c>
      <c r="E526" s="92">
        <v>0</v>
      </c>
      <c r="F526" s="92">
        <v>0</v>
      </c>
      <c r="G526" s="92">
        <v>0</v>
      </c>
      <c r="H526" s="92">
        <v>0</v>
      </c>
      <c r="I526" s="79">
        <v>0</v>
      </c>
      <c r="J526" s="398">
        <v>0</v>
      </c>
      <c r="K526" s="79">
        <v>0</v>
      </c>
      <c r="L526" s="79">
        <v>0</v>
      </c>
      <c r="M526" s="79">
        <v>0</v>
      </c>
      <c r="N526" s="92">
        <v>7257943.0199999996</v>
      </c>
      <c r="O526" s="79">
        <v>0</v>
      </c>
      <c r="P526" s="92">
        <v>0</v>
      </c>
      <c r="Q526" s="79">
        <v>0</v>
      </c>
      <c r="R526" s="79">
        <v>161793.31</v>
      </c>
      <c r="S526" s="79">
        <v>0</v>
      </c>
      <c r="T526" s="79">
        <v>0</v>
      </c>
      <c r="U526" s="350"/>
      <c r="V526" s="350"/>
      <c r="W526" s="350"/>
      <c r="X526" s="350"/>
      <c r="Y526" s="350"/>
      <c r="Z526" s="350"/>
      <c r="AA526" s="350"/>
      <c r="AB526" s="350"/>
      <c r="AC526" s="350"/>
      <c r="AD526" s="350"/>
      <c r="AE526" s="350"/>
    </row>
    <row r="527" s="350" customFormat="1" ht="22.5" customHeight="1">
      <c r="A527" s="33">
        <v>69</v>
      </c>
      <c r="B527" s="52" t="s">
        <v>166</v>
      </c>
      <c r="C527" s="79">
        <f t="shared" si="254"/>
        <v>8345095.3099999996</v>
      </c>
      <c r="D527" s="79">
        <f t="shared" si="255"/>
        <v>0</v>
      </c>
      <c r="E527" s="92">
        <v>0</v>
      </c>
      <c r="F527" s="79">
        <v>0</v>
      </c>
      <c r="G527" s="92">
        <v>0</v>
      </c>
      <c r="H527" s="92">
        <v>0</v>
      </c>
      <c r="I527" s="92">
        <v>0</v>
      </c>
      <c r="J527" s="398">
        <v>0</v>
      </c>
      <c r="K527" s="79">
        <v>0</v>
      </c>
      <c r="L527" s="92">
        <v>0</v>
      </c>
      <c r="M527" s="79">
        <v>0</v>
      </c>
      <c r="N527" s="79">
        <v>8183302</v>
      </c>
      <c r="O527" s="79">
        <v>0</v>
      </c>
      <c r="P527" s="92">
        <v>0</v>
      </c>
      <c r="Q527" s="79">
        <v>0</v>
      </c>
      <c r="R527" s="79">
        <v>161793.31</v>
      </c>
      <c r="S527" s="79">
        <v>0</v>
      </c>
      <c r="T527" s="79">
        <v>0</v>
      </c>
      <c r="U527" s="350"/>
      <c r="V527" s="350"/>
      <c r="W527" s="350"/>
      <c r="X527" s="350"/>
      <c r="Y527" s="350"/>
      <c r="Z527" s="350"/>
      <c r="AA527" s="350"/>
      <c r="AB527" s="350"/>
      <c r="AC527" s="350"/>
      <c r="AD527" s="350"/>
      <c r="AE527" s="350"/>
      <c r="AF527" s="350"/>
      <c r="AG527" s="350"/>
      <c r="AH527" s="350"/>
      <c r="AI527" s="350"/>
    </row>
    <row r="528" s="350" customFormat="1" ht="22.5" customHeight="1">
      <c r="A528" s="33">
        <v>70</v>
      </c>
      <c r="B528" s="42" t="s">
        <v>1192</v>
      </c>
      <c r="C528" s="158">
        <f t="shared" si="254"/>
        <v>7304910.2400000002</v>
      </c>
      <c r="D528" s="79">
        <f t="shared" si="255"/>
        <v>6808819.5</v>
      </c>
      <c r="E528" s="92">
        <v>6808819.5</v>
      </c>
      <c r="F528" s="92">
        <v>0</v>
      </c>
      <c r="G528" s="92">
        <v>0</v>
      </c>
      <c r="H528" s="92">
        <v>0</v>
      </c>
      <c r="I528" s="158">
        <v>0</v>
      </c>
      <c r="J528" s="398">
        <v>0</v>
      </c>
      <c r="K528" s="158">
        <v>0</v>
      </c>
      <c r="L528" s="92">
        <v>0</v>
      </c>
      <c r="M528" s="158">
        <v>0</v>
      </c>
      <c r="N528" s="92">
        <v>0</v>
      </c>
      <c r="O528" s="158">
        <v>0</v>
      </c>
      <c r="P528" s="92">
        <v>350382</v>
      </c>
      <c r="Q528" s="158">
        <v>0</v>
      </c>
      <c r="R528" s="79">
        <v>145708.73999999999</v>
      </c>
      <c r="S528" s="158">
        <v>0</v>
      </c>
      <c r="T528" s="79">
        <v>0</v>
      </c>
      <c r="U528" s="110"/>
      <c r="V528" s="110"/>
      <c r="W528" s="110"/>
      <c r="X528" s="110"/>
      <c r="Y528" s="110"/>
      <c r="Z528" s="110"/>
      <c r="AA528" s="110"/>
      <c r="AB528" s="110"/>
      <c r="AC528" s="110"/>
      <c r="AD528" s="110"/>
      <c r="AE528" s="110"/>
      <c r="AF528" s="110"/>
      <c r="AG528" s="110"/>
      <c r="AH528" s="110"/>
      <c r="AI528" s="110"/>
    </row>
    <row r="529" s="350" customFormat="1" ht="22.5" customHeight="1">
      <c r="A529" s="33">
        <v>71</v>
      </c>
      <c r="B529" s="42" t="s">
        <v>1193</v>
      </c>
      <c r="C529" s="79">
        <f t="shared" si="254"/>
        <v>36232469.32</v>
      </c>
      <c r="D529" s="158">
        <f t="shared" si="255"/>
        <v>0</v>
      </c>
      <c r="E529" s="92">
        <v>0</v>
      </c>
      <c r="F529" s="92">
        <v>0</v>
      </c>
      <c r="G529" s="92">
        <v>0</v>
      </c>
      <c r="H529" s="92">
        <v>0</v>
      </c>
      <c r="I529" s="79">
        <v>0</v>
      </c>
      <c r="J529" s="398">
        <v>0</v>
      </c>
      <c r="K529" s="79">
        <v>0</v>
      </c>
      <c r="L529" s="92">
        <v>34787258</v>
      </c>
      <c r="M529" s="79">
        <v>0</v>
      </c>
      <c r="N529" s="92">
        <v>0</v>
      </c>
      <c r="O529" s="79">
        <v>0</v>
      </c>
      <c r="P529" s="92">
        <f>350382+350382</f>
        <v>700764</v>
      </c>
      <c r="Q529" s="79">
        <v>0</v>
      </c>
      <c r="R529" s="79">
        <v>744447.31999999995</v>
      </c>
      <c r="S529" s="79">
        <v>0</v>
      </c>
      <c r="T529" s="79">
        <v>0</v>
      </c>
      <c r="U529" s="110"/>
      <c r="V529" s="110"/>
      <c r="W529" s="110"/>
      <c r="X529" s="110"/>
      <c r="Y529" s="110"/>
      <c r="Z529" s="110"/>
      <c r="AA529" s="110"/>
      <c r="AB529" s="110"/>
      <c r="AC529" s="110"/>
      <c r="AD529" s="110"/>
      <c r="AE529" s="110"/>
      <c r="AF529" s="110"/>
      <c r="AG529" s="110"/>
      <c r="AH529" s="110"/>
      <c r="AI529" s="110"/>
    </row>
    <row r="530" s="350" customFormat="1" ht="22.5" customHeight="1">
      <c r="A530" s="33">
        <v>72</v>
      </c>
      <c r="B530" s="42" t="s">
        <v>1194</v>
      </c>
      <c r="C530" s="79">
        <f t="shared" si="254"/>
        <v>589435</v>
      </c>
      <c r="D530" s="79">
        <f t="shared" si="255"/>
        <v>0</v>
      </c>
      <c r="E530" s="92">
        <v>0</v>
      </c>
      <c r="F530" s="92">
        <v>0</v>
      </c>
      <c r="G530" s="92">
        <v>0</v>
      </c>
      <c r="H530" s="92">
        <v>0</v>
      </c>
      <c r="I530" s="79">
        <v>0</v>
      </c>
      <c r="J530" s="398">
        <v>0</v>
      </c>
      <c r="K530" s="79">
        <v>0</v>
      </c>
      <c r="L530" s="92">
        <v>0</v>
      </c>
      <c r="M530" s="79">
        <v>0</v>
      </c>
      <c r="N530" s="92">
        <v>0</v>
      </c>
      <c r="O530" s="79">
        <v>0</v>
      </c>
      <c r="P530" s="92">
        <v>589435</v>
      </c>
      <c r="Q530" s="79">
        <v>0</v>
      </c>
      <c r="R530" s="79">
        <v>0</v>
      </c>
      <c r="S530" s="79">
        <v>0</v>
      </c>
      <c r="T530" s="79">
        <v>0</v>
      </c>
      <c r="U530" s="350"/>
      <c r="V530" s="350"/>
      <c r="W530" s="350"/>
      <c r="X530" s="350"/>
      <c r="Y530" s="350"/>
      <c r="Z530" s="350"/>
      <c r="AA530" s="350"/>
      <c r="AB530" s="350"/>
      <c r="AC530" s="350"/>
      <c r="AD530" s="350"/>
      <c r="AE530" s="350"/>
      <c r="AF530" s="350"/>
      <c r="AG530" s="350"/>
      <c r="AH530" s="350"/>
      <c r="AI530" s="350"/>
    </row>
    <row r="531" s="350" customFormat="1" ht="22.5" customHeight="1">
      <c r="A531" s="33">
        <v>73</v>
      </c>
      <c r="B531" s="42" t="s">
        <v>1195</v>
      </c>
      <c r="C531" s="79">
        <f t="shared" si="254"/>
        <v>700764</v>
      </c>
      <c r="D531" s="79">
        <f t="shared" si="255"/>
        <v>0</v>
      </c>
      <c r="E531" s="92">
        <v>0</v>
      </c>
      <c r="F531" s="92">
        <v>0</v>
      </c>
      <c r="G531" s="92">
        <v>0</v>
      </c>
      <c r="H531" s="92">
        <v>0</v>
      </c>
      <c r="I531" s="79">
        <v>0</v>
      </c>
      <c r="J531" s="398">
        <v>0</v>
      </c>
      <c r="K531" s="79">
        <v>0</v>
      </c>
      <c r="L531" s="92">
        <v>0</v>
      </c>
      <c r="M531" s="79">
        <v>0</v>
      </c>
      <c r="N531" s="92">
        <v>0</v>
      </c>
      <c r="O531" s="79">
        <v>0</v>
      </c>
      <c r="P531" s="92">
        <f>350382+350382</f>
        <v>700764</v>
      </c>
      <c r="Q531" s="79">
        <v>0</v>
      </c>
      <c r="R531" s="79">
        <v>0</v>
      </c>
      <c r="S531" s="79">
        <v>0</v>
      </c>
      <c r="T531" s="79">
        <v>0</v>
      </c>
      <c r="U531" s="110"/>
      <c r="V531" s="110"/>
      <c r="W531" s="110"/>
      <c r="X531" s="110"/>
      <c r="Y531" s="110"/>
      <c r="Z531" s="110"/>
      <c r="AA531" s="110"/>
      <c r="AB531" s="110"/>
      <c r="AC531" s="110"/>
      <c r="AD531" s="110"/>
      <c r="AE531" s="110"/>
      <c r="AF531" s="110"/>
      <c r="AG531" s="110"/>
      <c r="AH531" s="110"/>
      <c r="AI531" s="110"/>
    </row>
    <row r="532" s="350" customFormat="1" ht="22.5" customHeight="1">
      <c r="A532" s="33">
        <v>74</v>
      </c>
      <c r="B532" s="42" t="s">
        <v>1196</v>
      </c>
      <c r="C532" s="79">
        <f t="shared" si="254"/>
        <v>38153419.770000003</v>
      </c>
      <c r="D532" s="79">
        <f t="shared" si="255"/>
        <v>0</v>
      </c>
      <c r="E532" s="92">
        <v>0</v>
      </c>
      <c r="F532" s="92">
        <v>0</v>
      </c>
      <c r="G532" s="92">
        <v>0</v>
      </c>
      <c r="H532" s="92">
        <v>0</v>
      </c>
      <c r="I532" s="79">
        <v>0</v>
      </c>
      <c r="J532" s="398">
        <v>0</v>
      </c>
      <c r="K532" s="79">
        <v>0</v>
      </c>
      <c r="L532" s="92">
        <v>36199872.5</v>
      </c>
      <c r="M532" s="79">
        <v>0</v>
      </c>
      <c r="N532" s="92">
        <v>0</v>
      </c>
      <c r="O532" s="79">
        <v>0</v>
      </c>
      <c r="P532" s="92">
        <f>589435+589435</f>
        <v>1178870</v>
      </c>
      <c r="Q532" s="79">
        <v>0</v>
      </c>
      <c r="R532" s="79">
        <v>774677.27000000002</v>
      </c>
      <c r="S532" s="79">
        <v>0</v>
      </c>
      <c r="T532" s="79">
        <v>0</v>
      </c>
      <c r="U532" s="110"/>
      <c r="V532" s="110"/>
      <c r="W532" s="110"/>
      <c r="X532" s="110"/>
      <c r="Y532" s="110"/>
      <c r="Z532" s="110"/>
      <c r="AA532" s="110"/>
      <c r="AB532" s="110"/>
      <c r="AC532" s="110"/>
      <c r="AD532" s="110"/>
      <c r="AE532" s="110"/>
      <c r="AF532" s="110"/>
      <c r="AG532" s="110"/>
      <c r="AH532" s="110"/>
      <c r="AI532" s="110"/>
    </row>
    <row r="533" s="350" customFormat="1" ht="22.5" customHeight="1">
      <c r="A533" s="33">
        <v>75</v>
      </c>
      <c r="B533" s="42" t="s">
        <v>174</v>
      </c>
      <c r="C533" s="158">
        <f t="shared" si="254"/>
        <v>9170347.7799999993</v>
      </c>
      <c r="D533" s="79">
        <f t="shared" si="255"/>
        <v>8978214</v>
      </c>
      <c r="E533" s="92">
        <v>0</v>
      </c>
      <c r="F533" s="92">
        <v>6322876</v>
      </c>
      <c r="G533" s="92">
        <v>2655338</v>
      </c>
      <c r="H533" s="92">
        <v>0</v>
      </c>
      <c r="I533" s="92">
        <v>0</v>
      </c>
      <c r="J533" s="345">
        <v>0</v>
      </c>
      <c r="K533" s="79">
        <v>0</v>
      </c>
      <c r="L533" s="158">
        <v>0</v>
      </c>
      <c r="M533" s="79">
        <v>0</v>
      </c>
      <c r="N533" s="158">
        <v>0</v>
      </c>
      <c r="O533" s="79">
        <v>0</v>
      </c>
      <c r="P533" s="92">
        <v>0</v>
      </c>
      <c r="Q533" s="158">
        <v>0</v>
      </c>
      <c r="R533" s="79">
        <f>56824.23+135309.55</f>
        <v>192133.78</v>
      </c>
      <c r="S533" s="158">
        <v>0</v>
      </c>
      <c r="T533" s="79">
        <v>0</v>
      </c>
      <c r="U533" s="110"/>
      <c r="V533" s="110"/>
      <c r="W533" s="110"/>
      <c r="X533" s="110"/>
      <c r="Y533" s="110"/>
      <c r="Z533" s="110"/>
      <c r="AA533" s="110"/>
      <c r="AB533" s="110"/>
      <c r="AC533" s="110"/>
      <c r="AD533" s="110"/>
      <c r="AE533" s="110"/>
      <c r="AF533" s="110"/>
      <c r="AG533" s="110"/>
      <c r="AH533" s="110"/>
      <c r="AI533" s="110"/>
    </row>
    <row r="534" s="60" customFormat="1" ht="23.399999999999999" customHeight="1">
      <c r="A534" s="33">
        <v>76</v>
      </c>
      <c r="B534" s="42" t="s">
        <v>177</v>
      </c>
      <c r="C534" s="79">
        <f t="shared" si="254"/>
        <v>12860270.300000001</v>
      </c>
      <c r="D534" s="79">
        <f t="shared" si="255"/>
        <v>0</v>
      </c>
      <c r="E534" s="92">
        <v>0</v>
      </c>
      <c r="F534" s="79">
        <v>0</v>
      </c>
      <c r="G534" s="92">
        <v>0</v>
      </c>
      <c r="H534" s="92">
        <v>0</v>
      </c>
      <c r="I534" s="92">
        <v>0</v>
      </c>
      <c r="J534" s="398">
        <v>0</v>
      </c>
      <c r="K534" s="79">
        <v>0</v>
      </c>
      <c r="L534" s="79">
        <v>12860270.300000001</v>
      </c>
      <c r="M534" s="92">
        <v>0</v>
      </c>
      <c r="N534" s="92">
        <v>0</v>
      </c>
      <c r="O534" s="79">
        <v>0</v>
      </c>
      <c r="P534" s="92">
        <v>0</v>
      </c>
      <c r="Q534" s="79">
        <v>0</v>
      </c>
      <c r="R534" s="79">
        <v>0</v>
      </c>
      <c r="S534" s="79">
        <v>0</v>
      </c>
      <c r="T534" s="79">
        <v>0</v>
      </c>
      <c r="U534" s="60"/>
      <c r="V534" s="60"/>
      <c r="W534" s="60"/>
      <c r="X534" s="60"/>
      <c r="Y534" s="60"/>
      <c r="Z534" s="60"/>
      <c r="AA534" s="60"/>
      <c r="AB534" s="60"/>
      <c r="AC534" s="60"/>
      <c r="AD534" s="60"/>
      <c r="AE534" s="60"/>
    </row>
    <row r="535" s="60" customFormat="1" ht="23.399999999999999" customHeight="1">
      <c r="A535" s="33">
        <v>77</v>
      </c>
      <c r="B535" s="42" t="s">
        <v>178</v>
      </c>
      <c r="C535" s="79">
        <f t="shared" si="254"/>
        <v>5508763.9299999997</v>
      </c>
      <c r="D535" s="79">
        <f t="shared" si="255"/>
        <v>5508763.9299999997</v>
      </c>
      <c r="E535" s="92">
        <v>0</v>
      </c>
      <c r="F535" s="92">
        <v>5508763.9299999997</v>
      </c>
      <c r="G535" s="92">
        <v>0</v>
      </c>
      <c r="H535" s="92">
        <v>0</v>
      </c>
      <c r="I535" s="92">
        <v>0</v>
      </c>
      <c r="J535" s="398">
        <v>0</v>
      </c>
      <c r="K535" s="79">
        <v>0</v>
      </c>
      <c r="L535" s="79">
        <v>0</v>
      </c>
      <c r="M535" s="79">
        <v>0</v>
      </c>
      <c r="N535" s="79">
        <v>0</v>
      </c>
      <c r="O535" s="79">
        <v>0</v>
      </c>
      <c r="P535" s="92">
        <v>0</v>
      </c>
      <c r="Q535" s="79">
        <v>0</v>
      </c>
      <c r="R535" s="79">
        <v>0</v>
      </c>
      <c r="S535" s="79">
        <v>0</v>
      </c>
      <c r="T535" s="79">
        <v>0</v>
      </c>
      <c r="U535" s="60"/>
      <c r="V535" s="60"/>
      <c r="W535" s="60"/>
      <c r="X535" s="60"/>
      <c r="Y535" s="60"/>
      <c r="Z535" s="60"/>
      <c r="AA535" s="60"/>
      <c r="AB535" s="60"/>
      <c r="AC535" s="60"/>
      <c r="AD535" s="60"/>
      <c r="AE535" s="60"/>
      <c r="AF535" s="60"/>
      <c r="AG535" s="60"/>
      <c r="AH535" s="60"/>
      <c r="AI535" s="60"/>
    </row>
    <row r="536" s="60" customFormat="1" ht="23.399999999999999" customHeight="1">
      <c r="A536" s="33">
        <v>78</v>
      </c>
      <c r="B536" s="42" t="s">
        <v>179</v>
      </c>
      <c r="C536" s="158">
        <f t="shared" si="254"/>
        <v>17812087.460000001</v>
      </c>
      <c r="D536" s="79">
        <f t="shared" si="255"/>
        <v>0</v>
      </c>
      <c r="E536" s="92">
        <v>0</v>
      </c>
      <c r="F536" s="158">
        <v>0</v>
      </c>
      <c r="G536" s="92">
        <v>0</v>
      </c>
      <c r="H536" s="92">
        <v>0</v>
      </c>
      <c r="I536" s="92">
        <v>0</v>
      </c>
      <c r="J536" s="345">
        <v>0</v>
      </c>
      <c r="K536" s="79">
        <v>0</v>
      </c>
      <c r="L536" s="158">
        <v>17438895.100000001</v>
      </c>
      <c r="M536" s="79">
        <v>0</v>
      </c>
      <c r="N536" s="158">
        <v>0</v>
      </c>
      <c r="O536" s="79">
        <v>0</v>
      </c>
      <c r="P536" s="158">
        <v>0</v>
      </c>
      <c r="Q536" s="79">
        <v>0</v>
      </c>
      <c r="R536" s="158">
        <v>373192.35999999999</v>
      </c>
      <c r="S536" s="79">
        <v>0</v>
      </c>
      <c r="T536" s="79">
        <v>0</v>
      </c>
      <c r="U536" s="110"/>
      <c r="V536" s="110"/>
      <c r="W536" s="110"/>
      <c r="X536" s="110"/>
      <c r="Y536" s="110"/>
      <c r="Z536" s="110"/>
      <c r="AA536" s="110"/>
      <c r="AB536" s="110"/>
      <c r="AC536" s="110"/>
      <c r="AD536" s="110"/>
      <c r="AE536" s="110"/>
      <c r="AF536" s="110"/>
      <c r="AG536" s="110"/>
      <c r="AH536" s="110"/>
      <c r="AI536" s="110"/>
    </row>
    <row r="537" s="60" customFormat="1" ht="23.399999999999999" customHeight="1">
      <c r="A537" s="33">
        <v>79</v>
      </c>
      <c r="B537" s="42" t="s">
        <v>1197</v>
      </c>
      <c r="C537" s="79">
        <f t="shared" si="254"/>
        <v>4802183.9500000002</v>
      </c>
      <c r="D537" s="79">
        <f t="shared" si="255"/>
        <v>4802183.9500000002</v>
      </c>
      <c r="E537" s="92">
        <v>0</v>
      </c>
      <c r="F537" s="92">
        <v>4802183.9500000002</v>
      </c>
      <c r="G537" s="92">
        <v>0</v>
      </c>
      <c r="H537" s="92">
        <v>0</v>
      </c>
      <c r="I537" s="92">
        <v>0</v>
      </c>
      <c r="J537" s="398">
        <v>0</v>
      </c>
      <c r="K537" s="79">
        <v>0</v>
      </c>
      <c r="L537" s="79">
        <v>0</v>
      </c>
      <c r="M537" s="79">
        <v>0</v>
      </c>
      <c r="N537" s="79">
        <v>0</v>
      </c>
      <c r="O537" s="79">
        <v>0</v>
      </c>
      <c r="P537" s="92">
        <v>0</v>
      </c>
      <c r="Q537" s="79">
        <v>0</v>
      </c>
      <c r="R537" s="79">
        <v>0</v>
      </c>
      <c r="S537" s="79">
        <v>0</v>
      </c>
      <c r="T537" s="79">
        <v>0</v>
      </c>
      <c r="U537" s="60"/>
      <c r="V537" s="60"/>
      <c r="W537" s="60"/>
      <c r="X537" s="60"/>
      <c r="Y537" s="60"/>
      <c r="Z537" s="60"/>
      <c r="AA537" s="60"/>
      <c r="AB537" s="60"/>
      <c r="AC537" s="60"/>
      <c r="AD537" s="60"/>
      <c r="AE537" s="60"/>
    </row>
    <row r="538" s="60" customFormat="1" ht="23.399999999999999" customHeight="1">
      <c r="A538" s="33">
        <v>80</v>
      </c>
      <c r="B538" s="42" t="s">
        <v>606</v>
      </c>
      <c r="C538" s="79">
        <f t="shared" si="254"/>
        <v>8655050.9400000013</v>
      </c>
      <c r="D538" s="79">
        <f t="shared" si="255"/>
        <v>0</v>
      </c>
      <c r="E538" s="92">
        <v>0</v>
      </c>
      <c r="F538" s="92">
        <v>0</v>
      </c>
      <c r="G538" s="92">
        <v>0</v>
      </c>
      <c r="H538" s="92">
        <v>0</v>
      </c>
      <c r="I538" s="92">
        <v>0</v>
      </c>
      <c r="J538" s="398">
        <v>0</v>
      </c>
      <c r="K538" s="79">
        <v>0</v>
      </c>
      <c r="L538" s="79">
        <v>0</v>
      </c>
      <c r="M538" s="79">
        <v>0</v>
      </c>
      <c r="N538" s="92">
        <v>8448663.7100000009</v>
      </c>
      <c r="O538" s="79">
        <v>0</v>
      </c>
      <c r="P538" s="92">
        <v>0</v>
      </c>
      <c r="Q538" s="79">
        <v>0</v>
      </c>
      <c r="R538" s="79">
        <v>206387.23000000001</v>
      </c>
      <c r="S538" s="79">
        <v>0</v>
      </c>
      <c r="T538" s="79">
        <v>0</v>
      </c>
      <c r="U538" s="350"/>
      <c r="V538" s="350"/>
      <c r="W538" s="350"/>
      <c r="X538" s="350"/>
      <c r="Y538" s="350"/>
      <c r="Z538" s="350"/>
      <c r="AA538" s="350"/>
      <c r="AB538" s="350"/>
      <c r="AC538" s="350"/>
      <c r="AD538" s="350"/>
      <c r="AE538" s="350"/>
    </row>
    <row r="539" s="60" customFormat="1" ht="23.399999999999999" customHeight="1">
      <c r="A539" s="33">
        <v>81</v>
      </c>
      <c r="B539" s="42" t="s">
        <v>1198</v>
      </c>
      <c r="C539" s="79">
        <f t="shared" si="254"/>
        <v>11340297.140000001</v>
      </c>
      <c r="D539" s="79">
        <f t="shared" si="255"/>
        <v>0</v>
      </c>
      <c r="E539" s="92">
        <v>0</v>
      </c>
      <c r="F539" s="92">
        <v>0</v>
      </c>
      <c r="G539" s="92">
        <v>0</v>
      </c>
      <c r="H539" s="92">
        <v>0</v>
      </c>
      <c r="I539" s="92">
        <v>0</v>
      </c>
      <c r="J539" s="398">
        <v>2</v>
      </c>
      <c r="K539" s="79">
        <f>5262807+5262807</f>
        <v>10525614</v>
      </c>
      <c r="L539" s="79">
        <v>0</v>
      </c>
      <c r="M539" s="79">
        <v>0</v>
      </c>
      <c r="N539" s="92">
        <v>0</v>
      </c>
      <c r="O539" s="79">
        <v>0</v>
      </c>
      <c r="P539" s="92">
        <v>589435</v>
      </c>
      <c r="Q539" s="79">
        <v>0</v>
      </c>
      <c r="R539" s="79">
        <f>112624.07+112624.07</f>
        <v>225248.14000000001</v>
      </c>
      <c r="S539" s="79">
        <v>0</v>
      </c>
      <c r="T539" s="79">
        <v>0</v>
      </c>
      <c r="U539" s="399"/>
      <c r="V539" s="399"/>
      <c r="W539" s="399"/>
      <c r="X539" s="399"/>
      <c r="Y539" s="399"/>
      <c r="Z539" s="399"/>
      <c r="AA539" s="399"/>
      <c r="AB539" s="399"/>
      <c r="AC539" s="399"/>
      <c r="AD539" s="399"/>
      <c r="AE539" s="399"/>
    </row>
    <row r="540" s="350" customFormat="1" ht="22.5" customHeight="1">
      <c r="A540" s="33">
        <v>82</v>
      </c>
      <c r="B540" s="42" t="s">
        <v>184</v>
      </c>
      <c r="C540" s="79">
        <f t="shared" si="254"/>
        <v>2738444.8999999999</v>
      </c>
      <c r="D540" s="79">
        <f t="shared" si="255"/>
        <v>0</v>
      </c>
      <c r="E540" s="92">
        <v>0</v>
      </c>
      <c r="F540" s="79">
        <v>0</v>
      </c>
      <c r="G540" s="79">
        <v>0</v>
      </c>
      <c r="H540" s="92">
        <v>0</v>
      </c>
      <c r="I540" s="79">
        <v>0</v>
      </c>
      <c r="J540" s="398">
        <v>0</v>
      </c>
      <c r="K540" s="79">
        <v>0</v>
      </c>
      <c r="L540" s="92">
        <v>2681070</v>
      </c>
      <c r="M540" s="79">
        <v>0</v>
      </c>
      <c r="N540" s="79">
        <v>0</v>
      </c>
      <c r="O540" s="79">
        <v>0</v>
      </c>
      <c r="P540" s="92">
        <v>0</v>
      </c>
      <c r="Q540" s="79">
        <v>0</v>
      </c>
      <c r="R540" s="79">
        <v>57374.900000000001</v>
      </c>
      <c r="S540" s="79">
        <v>0</v>
      </c>
      <c r="T540" s="79">
        <v>0</v>
      </c>
      <c r="U540" s="350"/>
      <c r="V540" s="350"/>
      <c r="W540" s="350"/>
      <c r="X540" s="350"/>
      <c r="Y540" s="350"/>
      <c r="Z540" s="350"/>
      <c r="AA540" s="350"/>
      <c r="AB540" s="350"/>
      <c r="AC540" s="350"/>
      <c r="AD540" s="350"/>
      <c r="AE540" s="350"/>
      <c r="AF540" s="350"/>
      <c r="AG540" s="350"/>
      <c r="AH540" s="350"/>
      <c r="AI540" s="350"/>
    </row>
    <row r="541" s="350" customFormat="1" ht="22.5" customHeight="1">
      <c r="A541" s="33">
        <v>83</v>
      </c>
      <c r="B541" s="42" t="s">
        <v>185</v>
      </c>
      <c r="C541" s="158">
        <f t="shared" si="254"/>
        <v>3532455.46</v>
      </c>
      <c r="D541" s="79">
        <f t="shared" si="255"/>
        <v>2938386</v>
      </c>
      <c r="E541" s="92">
        <v>0</v>
      </c>
      <c r="F541" s="92">
        <v>1838865</v>
      </c>
      <c r="G541" s="158">
        <v>0</v>
      </c>
      <c r="H541" s="92">
        <v>370305</v>
      </c>
      <c r="I541" s="92">
        <v>729216</v>
      </c>
      <c r="J541" s="345">
        <v>0</v>
      </c>
      <c r="K541" s="79">
        <v>0</v>
      </c>
      <c r="L541" s="158">
        <v>0</v>
      </c>
      <c r="M541" s="79">
        <v>0</v>
      </c>
      <c r="N541" s="158">
        <v>0</v>
      </c>
      <c r="O541" s="79">
        <v>0</v>
      </c>
      <c r="P541" s="158">
        <f>265594+265594</f>
        <v>531188</v>
      </c>
      <c r="Q541" s="79">
        <v>0</v>
      </c>
      <c r="R541" s="158">
        <f>15605.22+7924.53+39351.71</f>
        <v>62881.459999999999</v>
      </c>
      <c r="S541" s="79">
        <v>0</v>
      </c>
      <c r="T541" s="79">
        <v>0</v>
      </c>
      <c r="U541" s="110"/>
      <c r="V541" s="110"/>
      <c r="W541" s="110"/>
      <c r="X541" s="110"/>
      <c r="Y541" s="110"/>
      <c r="Z541" s="110"/>
      <c r="AA541" s="110"/>
      <c r="AB541" s="110"/>
      <c r="AC541" s="110"/>
      <c r="AD541" s="110"/>
      <c r="AE541" s="110"/>
      <c r="AF541" s="110"/>
      <c r="AG541" s="110"/>
      <c r="AH541" s="110"/>
      <c r="AI541" s="110"/>
    </row>
    <row r="542" s="350" customFormat="1" ht="22.5" customHeight="1">
      <c r="A542" s="33">
        <v>84</v>
      </c>
      <c r="B542" s="42" t="s">
        <v>1199</v>
      </c>
      <c r="C542" s="79">
        <f t="shared" si="254"/>
        <v>21976669.539999999</v>
      </c>
      <c r="D542" s="79">
        <f t="shared" si="255"/>
        <v>20939137</v>
      </c>
      <c r="E542" s="92">
        <v>0</v>
      </c>
      <c r="F542" s="92">
        <v>13729861</v>
      </c>
      <c r="G542" s="92">
        <v>5765955.5</v>
      </c>
      <c r="H542" s="92">
        <v>1443320.5</v>
      </c>
      <c r="I542" s="79">
        <v>0</v>
      </c>
      <c r="J542" s="398">
        <v>0</v>
      </c>
      <c r="K542" s="79">
        <v>0</v>
      </c>
      <c r="L542" s="79">
        <v>0</v>
      </c>
      <c r="M542" s="79">
        <v>0</v>
      </c>
      <c r="N542" s="92">
        <v>0</v>
      </c>
      <c r="O542" s="79">
        <v>0</v>
      </c>
      <c r="P542" s="92">
        <v>589435</v>
      </c>
      <c r="Q542" s="79">
        <v>0</v>
      </c>
      <c r="R542" s="79">
        <f>123391.45+30887.06+293819.03</f>
        <v>448097.54000000004</v>
      </c>
      <c r="S542" s="79">
        <v>0</v>
      </c>
      <c r="T542" s="79">
        <v>0</v>
      </c>
      <c r="U542" s="110"/>
      <c r="V542" s="110"/>
      <c r="W542" s="110"/>
      <c r="X542" s="110"/>
      <c r="Y542" s="110"/>
      <c r="Z542" s="110"/>
      <c r="AA542" s="110"/>
      <c r="AB542" s="110"/>
      <c r="AC542" s="110"/>
      <c r="AD542" s="110"/>
      <c r="AE542" s="110"/>
      <c r="AF542" s="110"/>
      <c r="AG542" s="110"/>
      <c r="AH542" s="110"/>
      <c r="AI542" s="110"/>
    </row>
    <row r="543" s="350" customFormat="1" ht="22.5" customHeight="1">
      <c r="A543" s="33">
        <v>85</v>
      </c>
      <c r="B543" s="42" t="s">
        <v>1200</v>
      </c>
      <c r="C543" s="79">
        <f t="shared" si="254"/>
        <v>28333171.490000002</v>
      </c>
      <c r="D543" s="79">
        <f t="shared" si="255"/>
        <v>0</v>
      </c>
      <c r="E543" s="92">
        <v>0</v>
      </c>
      <c r="F543" s="92">
        <v>0</v>
      </c>
      <c r="G543" s="92">
        <v>0</v>
      </c>
      <c r="H543" s="92">
        <v>0</v>
      </c>
      <c r="I543" s="79">
        <v>0</v>
      </c>
      <c r="J543" s="398">
        <v>0</v>
      </c>
      <c r="K543" s="79">
        <v>0</v>
      </c>
      <c r="L543" s="79">
        <v>27396504.300000001</v>
      </c>
      <c r="M543" s="79">
        <v>0</v>
      </c>
      <c r="N543" s="92">
        <v>0</v>
      </c>
      <c r="O543" s="79">
        <v>0</v>
      </c>
      <c r="P543" s="92">
        <v>350382</v>
      </c>
      <c r="Q543" s="79">
        <v>0</v>
      </c>
      <c r="R543" s="79">
        <v>586285.18999999994</v>
      </c>
      <c r="S543" s="79">
        <v>0</v>
      </c>
      <c r="T543" s="79">
        <v>0</v>
      </c>
      <c r="U543" s="110"/>
      <c r="V543" s="110"/>
      <c r="W543" s="110"/>
      <c r="X543" s="110"/>
      <c r="Y543" s="110"/>
      <c r="Z543" s="110"/>
      <c r="AA543" s="110"/>
      <c r="AB543" s="110"/>
      <c r="AC543" s="110"/>
      <c r="AD543" s="110"/>
      <c r="AE543" s="110"/>
      <c r="AF543" s="110"/>
      <c r="AG543" s="110"/>
      <c r="AH543" s="110"/>
      <c r="AI543" s="110"/>
    </row>
    <row r="544" s="350" customFormat="1" ht="22.5" customHeight="1">
      <c r="A544" s="33">
        <v>86</v>
      </c>
      <c r="B544" s="42" t="s">
        <v>1201</v>
      </c>
      <c r="C544" s="158">
        <f t="shared" si="254"/>
        <v>712409.46999999997</v>
      </c>
      <c r="D544" s="79">
        <f t="shared" si="255"/>
        <v>354442.40000000002</v>
      </c>
      <c r="E544" s="92">
        <v>0</v>
      </c>
      <c r="F544" s="158">
        <v>0</v>
      </c>
      <c r="G544" s="79">
        <v>0</v>
      </c>
      <c r="H544" s="92">
        <v>354442.40000000002</v>
      </c>
      <c r="I544" s="158">
        <v>0</v>
      </c>
      <c r="J544" s="398">
        <v>0</v>
      </c>
      <c r="K544" s="158">
        <v>0</v>
      </c>
      <c r="L544" s="79">
        <v>0</v>
      </c>
      <c r="M544" s="158">
        <v>0</v>
      </c>
      <c r="N544" s="79">
        <v>0</v>
      </c>
      <c r="O544" s="158">
        <v>0</v>
      </c>
      <c r="P544" s="79">
        <v>350382</v>
      </c>
      <c r="Q544" s="158">
        <v>0</v>
      </c>
      <c r="R544" s="79">
        <v>7585.0699999999997</v>
      </c>
      <c r="S544" s="158">
        <v>0</v>
      </c>
      <c r="T544" s="79">
        <v>0</v>
      </c>
      <c r="U544" s="110"/>
      <c r="V544" s="110"/>
      <c r="W544" s="110"/>
      <c r="X544" s="110"/>
      <c r="Y544" s="110"/>
      <c r="Z544" s="110"/>
      <c r="AA544" s="110"/>
      <c r="AB544" s="110"/>
      <c r="AC544" s="110"/>
      <c r="AD544" s="110"/>
      <c r="AE544" s="110"/>
      <c r="AF544" s="110"/>
      <c r="AG544" s="110"/>
      <c r="AH544" s="110"/>
      <c r="AI544" s="110"/>
    </row>
    <row r="545" s="350" customFormat="1" ht="22.5" customHeight="1">
      <c r="A545" s="33">
        <v>87</v>
      </c>
      <c r="B545" s="42" t="s">
        <v>1202</v>
      </c>
      <c r="C545" s="79">
        <f t="shared" si="254"/>
        <v>7028444.1699999999</v>
      </c>
      <c r="D545" s="158">
        <f t="shared" si="255"/>
        <v>5852064</v>
      </c>
      <c r="E545" s="92">
        <v>0</v>
      </c>
      <c r="F545" s="79">
        <v>0</v>
      </c>
      <c r="G545" s="92">
        <v>3550944</v>
      </c>
      <c r="H545" s="92">
        <v>888864</v>
      </c>
      <c r="I545" s="92">
        <v>1412256</v>
      </c>
      <c r="J545" s="345">
        <v>0</v>
      </c>
      <c r="K545" s="79">
        <v>0</v>
      </c>
      <c r="L545" s="158">
        <v>0</v>
      </c>
      <c r="M545" s="79">
        <v>0</v>
      </c>
      <c r="N545" s="158">
        <v>0</v>
      </c>
      <c r="O545" s="79">
        <v>0</v>
      </c>
      <c r="P545" s="158">
        <f>350382+350382+350382</f>
        <v>1051146</v>
      </c>
      <c r="Q545" s="79">
        <v>0</v>
      </c>
      <c r="R545" s="158">
        <f>30222.28+75990.2+19021.69</f>
        <v>125234.17</v>
      </c>
      <c r="S545" s="79">
        <v>0</v>
      </c>
      <c r="T545" s="79">
        <v>0</v>
      </c>
      <c r="U545" s="110"/>
      <c r="V545" s="110"/>
      <c r="W545" s="110"/>
      <c r="X545" s="110"/>
      <c r="Y545" s="110"/>
      <c r="Z545" s="110"/>
      <c r="AA545" s="110"/>
      <c r="AB545" s="110"/>
      <c r="AC545" s="110"/>
      <c r="AD545" s="110"/>
      <c r="AE545" s="110"/>
      <c r="AF545" s="110"/>
      <c r="AG545" s="110"/>
      <c r="AH545" s="110"/>
      <c r="AI545" s="110"/>
    </row>
    <row r="546" s="350" customFormat="1" ht="22.5" customHeight="1">
      <c r="A546" s="33">
        <v>88</v>
      </c>
      <c r="B546" s="42" t="s">
        <v>189</v>
      </c>
      <c r="C546" s="79">
        <f t="shared" si="254"/>
        <v>11551520.75</v>
      </c>
      <c r="D546" s="79">
        <f t="shared" si="255"/>
        <v>0</v>
      </c>
      <c r="E546" s="92">
        <v>0</v>
      </c>
      <c r="F546" s="79">
        <v>0</v>
      </c>
      <c r="G546" s="79">
        <v>0</v>
      </c>
      <c r="H546" s="92">
        <v>0</v>
      </c>
      <c r="I546" s="79">
        <v>0</v>
      </c>
      <c r="J546" s="398">
        <v>0</v>
      </c>
      <c r="K546" s="79">
        <v>0</v>
      </c>
      <c r="L546" s="79">
        <v>0</v>
      </c>
      <c r="M546" s="79">
        <v>0</v>
      </c>
      <c r="N546" s="92">
        <v>11309497.5</v>
      </c>
      <c r="O546" s="79">
        <v>0</v>
      </c>
      <c r="P546" s="92">
        <v>0</v>
      </c>
      <c r="Q546" s="79">
        <v>0</v>
      </c>
      <c r="R546" s="79">
        <v>242023.25</v>
      </c>
      <c r="S546" s="79">
        <v>0</v>
      </c>
      <c r="T546" s="79">
        <v>0</v>
      </c>
      <c r="U546" s="350"/>
      <c r="V546" s="350"/>
      <c r="W546" s="350"/>
      <c r="X546" s="350"/>
      <c r="Y546" s="350"/>
      <c r="Z546" s="350"/>
      <c r="AA546" s="350"/>
      <c r="AB546" s="350"/>
      <c r="AC546" s="350"/>
      <c r="AD546" s="350"/>
      <c r="AE546" s="350"/>
      <c r="AF546" s="350"/>
      <c r="AG546" s="350"/>
      <c r="AH546" s="350"/>
      <c r="AI546" s="350"/>
    </row>
    <row r="547" s="350" customFormat="1" ht="22.5" customHeight="1">
      <c r="A547" s="33">
        <v>89</v>
      </c>
      <c r="B547" s="42" t="s">
        <v>190</v>
      </c>
      <c r="C547" s="79">
        <f t="shared" si="254"/>
        <v>15511042.599999998</v>
      </c>
      <c r="D547" s="79">
        <f t="shared" si="255"/>
        <v>15186060.899999999</v>
      </c>
      <c r="E547" s="92">
        <v>0</v>
      </c>
      <c r="F547" s="92">
        <v>10694730.6</v>
      </c>
      <c r="G547" s="92">
        <v>4491330.2999999998</v>
      </c>
      <c r="H547" s="92">
        <v>0</v>
      </c>
      <c r="I547" s="92">
        <v>0</v>
      </c>
      <c r="J547" s="398">
        <v>0</v>
      </c>
      <c r="K547" s="79">
        <v>0</v>
      </c>
      <c r="L547" s="92">
        <v>0</v>
      </c>
      <c r="M547" s="79">
        <v>0</v>
      </c>
      <c r="N547" s="79">
        <v>0</v>
      </c>
      <c r="O547" s="79">
        <v>0</v>
      </c>
      <c r="P547" s="92">
        <v>0</v>
      </c>
      <c r="Q547" s="79">
        <v>0</v>
      </c>
      <c r="R547" s="79">
        <f>96114.47+228867.23</f>
        <v>324981.70000000001</v>
      </c>
      <c r="S547" s="79">
        <v>0</v>
      </c>
      <c r="T547" s="79">
        <v>0</v>
      </c>
      <c r="U547" s="350"/>
      <c r="V547" s="350"/>
      <c r="W547" s="350"/>
      <c r="X547" s="350"/>
      <c r="Y547" s="350"/>
      <c r="Z547" s="350"/>
      <c r="AA547" s="350"/>
      <c r="AB547" s="350"/>
      <c r="AC547" s="350"/>
      <c r="AD547" s="350"/>
      <c r="AE547" s="350"/>
    </row>
    <row r="548" s="350" customFormat="1" ht="22.5" customHeight="1">
      <c r="A548" s="33">
        <v>90</v>
      </c>
      <c r="B548" s="42" t="s">
        <v>1203</v>
      </c>
      <c r="C548" s="79">
        <f t="shared" si="254"/>
        <v>1840878.1499999999</v>
      </c>
      <c r="D548" s="79">
        <f t="shared" si="255"/>
        <v>1282250</v>
      </c>
      <c r="E548" s="92">
        <v>0</v>
      </c>
      <c r="F548" s="92">
        <v>668150</v>
      </c>
      <c r="G548" s="92">
        <v>214590</v>
      </c>
      <c r="H548" s="92">
        <v>134550</v>
      </c>
      <c r="I548" s="92">
        <v>264960</v>
      </c>
      <c r="J548" s="398">
        <v>0</v>
      </c>
      <c r="K548" s="79">
        <v>0</v>
      </c>
      <c r="L548" s="79">
        <v>0</v>
      </c>
      <c r="M548" s="79">
        <v>0</v>
      </c>
      <c r="N548" s="79">
        <v>0</v>
      </c>
      <c r="O548" s="79">
        <v>0</v>
      </c>
      <c r="P548" s="92">
        <f>265594+265594</f>
        <v>531188</v>
      </c>
      <c r="Q548" s="79">
        <v>0</v>
      </c>
      <c r="R548" s="79">
        <f>5670.14+4592.23+2879.37+14298.41</f>
        <v>27440.149999999998</v>
      </c>
      <c r="S548" s="79">
        <v>0</v>
      </c>
      <c r="T548" s="79">
        <v>0</v>
      </c>
      <c r="U548" s="350"/>
      <c r="V548" s="350"/>
      <c r="W548" s="350"/>
      <c r="X548" s="350"/>
      <c r="Y548" s="350"/>
      <c r="Z548" s="350"/>
      <c r="AA548" s="350"/>
      <c r="AB548" s="350"/>
      <c r="AC548" s="350"/>
      <c r="AD548" s="350"/>
      <c r="AE548" s="350"/>
    </row>
    <row r="549" s="350" customFormat="1" ht="22.5" customHeight="1">
      <c r="A549" s="33">
        <v>91</v>
      </c>
      <c r="B549" s="42" t="s">
        <v>1204</v>
      </c>
      <c r="C549" s="79">
        <f t="shared" si="254"/>
        <v>6938613.0599999996</v>
      </c>
      <c r="D549" s="79">
        <f t="shared" si="255"/>
        <v>0</v>
      </c>
      <c r="E549" s="92">
        <v>0</v>
      </c>
      <c r="F549" s="79">
        <v>0</v>
      </c>
      <c r="G549" s="79">
        <v>0</v>
      </c>
      <c r="H549" s="92">
        <v>0</v>
      </c>
      <c r="I549" s="79">
        <v>0</v>
      </c>
      <c r="J549" s="398">
        <v>0</v>
      </c>
      <c r="K549" s="79">
        <v>0</v>
      </c>
      <c r="L549" s="79">
        <v>0</v>
      </c>
      <c r="M549" s="79">
        <v>0</v>
      </c>
      <c r="N549" s="92">
        <v>6533208.3999999994</v>
      </c>
      <c r="O549" s="79">
        <v>0</v>
      </c>
      <c r="P549" s="92">
        <v>265594</v>
      </c>
      <c r="Q549" s="79">
        <v>0</v>
      </c>
      <c r="R549" s="79">
        <v>139810.66</v>
      </c>
      <c r="S549" s="79">
        <v>0</v>
      </c>
      <c r="T549" s="79">
        <v>0</v>
      </c>
      <c r="U549" s="350"/>
      <c r="V549" s="350"/>
      <c r="W549" s="350"/>
      <c r="X549" s="350"/>
      <c r="Y549" s="350"/>
      <c r="Z549" s="350"/>
      <c r="AA549" s="350"/>
      <c r="AB549" s="350"/>
      <c r="AC549" s="350"/>
      <c r="AD549" s="350"/>
      <c r="AE549" s="350"/>
    </row>
    <row r="550" s="399" customFormat="1" ht="22.5" customHeight="1">
      <c r="A550" s="33">
        <v>92</v>
      </c>
      <c r="B550" s="42" t="s">
        <v>1205</v>
      </c>
      <c r="C550" s="158">
        <f t="shared" si="254"/>
        <v>2158813.21</v>
      </c>
      <c r="D550" s="79">
        <f t="shared" si="255"/>
        <v>1593523.8</v>
      </c>
      <c r="E550" s="92">
        <v>0</v>
      </c>
      <c r="F550" s="92">
        <v>0</v>
      </c>
      <c r="G550" s="158">
        <v>0</v>
      </c>
      <c r="H550" s="92">
        <v>536679</v>
      </c>
      <c r="I550" s="92">
        <v>1056844.8</v>
      </c>
      <c r="J550" s="345">
        <v>0</v>
      </c>
      <c r="K550" s="79">
        <v>0</v>
      </c>
      <c r="L550" s="158">
        <v>0</v>
      </c>
      <c r="M550" s="79">
        <v>0</v>
      </c>
      <c r="N550" s="158">
        <v>0</v>
      </c>
      <c r="O550" s="79">
        <v>0</v>
      </c>
      <c r="P550" s="92">
        <f>265594+265594</f>
        <v>531188</v>
      </c>
      <c r="Q550" s="158">
        <v>0</v>
      </c>
      <c r="R550" s="79">
        <f>22616.48+11484.93</f>
        <v>34101.410000000003</v>
      </c>
      <c r="S550" s="158">
        <v>0</v>
      </c>
      <c r="T550" s="79">
        <v>0</v>
      </c>
      <c r="U550" s="110"/>
      <c r="V550" s="110"/>
      <c r="W550" s="110"/>
      <c r="X550" s="110"/>
      <c r="Y550" s="110"/>
      <c r="Z550" s="110"/>
      <c r="AA550" s="110"/>
      <c r="AB550" s="110"/>
      <c r="AC550" s="110"/>
      <c r="AD550" s="110"/>
      <c r="AE550" s="110"/>
    </row>
    <row r="551" s="60" customFormat="1" ht="25.199999999999999" customHeight="1">
      <c r="A551" s="33">
        <v>93</v>
      </c>
      <c r="B551" s="53" t="s">
        <v>194</v>
      </c>
      <c r="C551" s="79">
        <f t="shared" si="254"/>
        <v>5241787.7300000004</v>
      </c>
      <c r="D551" s="79">
        <f t="shared" si="255"/>
        <v>0</v>
      </c>
      <c r="E551" s="92">
        <v>0</v>
      </c>
      <c r="F551" s="92">
        <v>0</v>
      </c>
      <c r="G551" s="92">
        <v>0</v>
      </c>
      <c r="H551" s="92">
        <v>0</v>
      </c>
      <c r="I551" s="92">
        <v>0</v>
      </c>
      <c r="J551" s="398">
        <v>0</v>
      </c>
      <c r="K551" s="79">
        <v>0</v>
      </c>
      <c r="L551" s="92">
        <v>5241787.7300000004</v>
      </c>
      <c r="M551" s="79">
        <v>0</v>
      </c>
      <c r="N551" s="79">
        <v>0</v>
      </c>
      <c r="O551" s="79">
        <v>0</v>
      </c>
      <c r="P551" s="79">
        <v>0</v>
      </c>
      <c r="Q551" s="79">
        <v>0</v>
      </c>
      <c r="R551" s="79">
        <v>0</v>
      </c>
      <c r="S551" s="79">
        <v>0</v>
      </c>
      <c r="T551" s="79">
        <v>0</v>
      </c>
      <c r="U551" s="60"/>
      <c r="V551" s="60"/>
      <c r="W551" s="60"/>
      <c r="X551" s="60"/>
      <c r="Y551" s="60"/>
      <c r="Z551" s="60"/>
      <c r="AA551" s="60"/>
      <c r="AB551" s="60"/>
      <c r="AC551" s="60"/>
      <c r="AD551" s="60"/>
      <c r="AE551" s="60"/>
      <c r="AF551" s="60"/>
      <c r="AG551" s="60"/>
      <c r="AH551" s="60"/>
      <c r="AI551" s="60"/>
    </row>
    <row r="552" s="60" customFormat="1" ht="23.399999999999999" customHeight="1">
      <c r="A552" s="33">
        <v>94</v>
      </c>
      <c r="B552" s="53" t="s">
        <v>1206</v>
      </c>
      <c r="C552" s="79">
        <f t="shared" si="254"/>
        <v>27866501.380000003</v>
      </c>
      <c r="D552" s="79">
        <f t="shared" si="255"/>
        <v>11974013</v>
      </c>
      <c r="E552" s="92">
        <v>0</v>
      </c>
      <c r="F552" s="92">
        <v>6486276.2999999998</v>
      </c>
      <c r="G552" s="92">
        <v>3329875.7000000002</v>
      </c>
      <c r="H552" s="92">
        <v>833526.69999999995</v>
      </c>
      <c r="I552" s="92">
        <v>1324334.3</v>
      </c>
      <c r="J552" s="398">
        <v>0</v>
      </c>
      <c r="K552" s="79">
        <v>0</v>
      </c>
      <c r="L552" s="79">
        <v>0</v>
      </c>
      <c r="M552" s="79">
        <v>0</v>
      </c>
      <c r="N552" s="92">
        <v>0</v>
      </c>
      <c r="O552" s="79">
        <v>0</v>
      </c>
      <c r="P552" s="92">
        <f>700764+350382+350382</f>
        <v>1401528</v>
      </c>
      <c r="Q552" s="79">
        <v>0</v>
      </c>
      <c r="R552" s="79">
        <v>256243.88</v>
      </c>
      <c r="S552" s="79">
        <v>14234716.5</v>
      </c>
      <c r="T552" s="79">
        <v>0</v>
      </c>
      <c r="U552" s="60"/>
      <c r="V552" s="60"/>
      <c r="W552" s="60"/>
      <c r="X552" s="60"/>
      <c r="Y552" s="60"/>
      <c r="Z552" s="60"/>
      <c r="AA552" s="60"/>
      <c r="AB552" s="60"/>
      <c r="AC552" s="60"/>
      <c r="AD552" s="60"/>
      <c r="AE552" s="60"/>
      <c r="AF552" s="60"/>
      <c r="AG552" s="60"/>
      <c r="AH552" s="60"/>
      <c r="AI552" s="60"/>
    </row>
    <row r="553" s="60" customFormat="1" ht="23.399999999999999" customHeight="1">
      <c r="A553" s="33">
        <v>95</v>
      </c>
      <c r="B553" s="42" t="s">
        <v>613</v>
      </c>
      <c r="C553" s="158">
        <f t="shared" si="254"/>
        <v>4844433</v>
      </c>
      <c r="D553" s="79">
        <f t="shared" si="255"/>
        <v>4844433</v>
      </c>
      <c r="E553" s="92">
        <v>4844433</v>
      </c>
      <c r="F553" s="158">
        <v>0</v>
      </c>
      <c r="G553" s="79">
        <v>0</v>
      </c>
      <c r="H553" s="92">
        <v>0</v>
      </c>
      <c r="I553" s="92">
        <v>0</v>
      </c>
      <c r="J553" s="345">
        <v>0</v>
      </c>
      <c r="K553" s="79">
        <v>0</v>
      </c>
      <c r="L553" s="92">
        <v>0</v>
      </c>
      <c r="M553" s="158">
        <v>0</v>
      </c>
      <c r="N553" s="79">
        <v>0</v>
      </c>
      <c r="O553" s="158">
        <v>0</v>
      </c>
      <c r="P553" s="92">
        <v>0</v>
      </c>
      <c r="Q553" s="158">
        <v>0</v>
      </c>
      <c r="R553" s="79">
        <v>0</v>
      </c>
      <c r="S553" s="158">
        <v>0</v>
      </c>
      <c r="T553" s="79">
        <v>0</v>
      </c>
      <c r="U553" s="350"/>
      <c r="V553" s="350"/>
      <c r="W553" s="350"/>
      <c r="X553" s="350"/>
      <c r="Y553" s="350"/>
      <c r="Z553" s="350"/>
      <c r="AA553" s="350"/>
      <c r="AB553" s="350"/>
      <c r="AC553" s="350"/>
      <c r="AD553" s="350"/>
      <c r="AE553" s="350"/>
    </row>
    <row r="554" s="54" customFormat="1" ht="23.399999999999999" customHeight="1">
      <c r="A554" s="33">
        <v>96</v>
      </c>
      <c r="B554" s="42" t="s">
        <v>198</v>
      </c>
      <c r="C554" s="79">
        <f t="shared" si="254"/>
        <v>10750862.140000001</v>
      </c>
      <c r="D554" s="79">
        <f t="shared" si="255"/>
        <v>0</v>
      </c>
      <c r="E554" s="92">
        <v>0</v>
      </c>
      <c r="F554" s="79">
        <v>0</v>
      </c>
      <c r="G554" s="79">
        <v>0</v>
      </c>
      <c r="H554" s="92">
        <v>0</v>
      </c>
      <c r="I554" s="92">
        <v>0</v>
      </c>
      <c r="J554" s="398">
        <v>2</v>
      </c>
      <c r="K554" s="79">
        <v>10525614</v>
      </c>
      <c r="L554" s="92">
        <v>0</v>
      </c>
      <c r="M554" s="79">
        <v>0</v>
      </c>
      <c r="N554" s="79">
        <v>0</v>
      </c>
      <c r="O554" s="79">
        <v>0</v>
      </c>
      <c r="P554" s="92">
        <v>0</v>
      </c>
      <c r="Q554" s="79">
        <v>0</v>
      </c>
      <c r="R554" s="79">
        <v>225248.14000000001</v>
      </c>
      <c r="S554" s="79">
        <v>0</v>
      </c>
      <c r="T554" s="79">
        <v>0</v>
      </c>
      <c r="U554" s="54"/>
      <c r="V554" s="54"/>
      <c r="W554" s="54"/>
      <c r="X554" s="54"/>
      <c r="Y554" s="54"/>
      <c r="Z554" s="54"/>
      <c r="AA554" s="54"/>
      <c r="AB554" s="54"/>
      <c r="AC554" s="54"/>
      <c r="AD554" s="54"/>
      <c r="AE554" s="54"/>
    </row>
    <row r="555" s="54" customFormat="1" ht="23.399999999999999" customHeight="1">
      <c r="A555" s="33">
        <v>97</v>
      </c>
      <c r="B555" s="42" t="s">
        <v>1207</v>
      </c>
      <c r="C555" s="158">
        <f t="shared" si="254"/>
        <v>6830139.2700000005</v>
      </c>
      <c r="D555" s="79">
        <f t="shared" si="255"/>
        <v>0</v>
      </c>
      <c r="E555" s="92">
        <v>0</v>
      </c>
      <c r="F555" s="158">
        <v>0</v>
      </c>
      <c r="G555" s="79">
        <v>0</v>
      </c>
      <c r="H555" s="92">
        <v>0</v>
      </c>
      <c r="I555" s="92">
        <v>0</v>
      </c>
      <c r="J555" s="345">
        <v>0</v>
      </c>
      <c r="K555" s="79">
        <v>0</v>
      </c>
      <c r="L555" s="92">
        <v>5646919.2000000002</v>
      </c>
      <c r="M555" s="158">
        <v>0</v>
      </c>
      <c r="N555" s="79">
        <v>0</v>
      </c>
      <c r="O555" s="158">
        <v>0</v>
      </c>
      <c r="P555" s="92">
        <f>265594+265594+265594+265594</f>
        <v>1062376</v>
      </c>
      <c r="Q555" s="158">
        <v>0</v>
      </c>
      <c r="R555" s="79">
        <f>120844.07</f>
        <v>120844.07000000001</v>
      </c>
      <c r="S555" s="158">
        <v>0</v>
      </c>
      <c r="T555" s="79">
        <v>0</v>
      </c>
      <c r="U555" s="110"/>
      <c r="V555" s="110"/>
      <c r="W555" s="110"/>
      <c r="X555" s="110"/>
      <c r="Y555" s="110"/>
      <c r="Z555" s="110"/>
      <c r="AA555" s="110"/>
      <c r="AB555" s="110"/>
      <c r="AC555" s="110"/>
      <c r="AD555" s="110"/>
      <c r="AE555" s="110"/>
    </row>
    <row r="556" s="350" customFormat="1" ht="22.199999999999999" customHeight="1">
      <c r="A556" s="33">
        <v>98</v>
      </c>
      <c r="B556" s="42" t="s">
        <v>206</v>
      </c>
      <c r="C556" s="79">
        <f t="shared" si="254"/>
        <v>3779744.5300000003</v>
      </c>
      <c r="D556" s="79">
        <f t="shared" si="255"/>
        <v>3700552.7000000002</v>
      </c>
      <c r="E556" s="92">
        <v>0</v>
      </c>
      <c r="F556" s="79">
        <v>0</v>
      </c>
      <c r="G556" s="92">
        <v>3700552.7000000002</v>
      </c>
      <c r="H556" s="92">
        <v>0</v>
      </c>
      <c r="I556" s="79">
        <v>0</v>
      </c>
      <c r="J556" s="398">
        <v>0</v>
      </c>
      <c r="K556" s="79">
        <v>0</v>
      </c>
      <c r="L556" s="79">
        <v>0</v>
      </c>
      <c r="M556" s="92">
        <v>0</v>
      </c>
      <c r="N556" s="92">
        <v>0</v>
      </c>
      <c r="O556" s="79">
        <v>0</v>
      </c>
      <c r="P556" s="79">
        <v>0</v>
      </c>
      <c r="Q556" s="79">
        <v>0</v>
      </c>
      <c r="R556" s="79">
        <v>79191.830000000002</v>
      </c>
      <c r="S556" s="79">
        <v>0</v>
      </c>
      <c r="T556" s="79">
        <v>0</v>
      </c>
      <c r="U556" s="350"/>
      <c r="V556" s="350"/>
      <c r="W556" s="350"/>
      <c r="X556" s="350"/>
      <c r="Y556" s="350"/>
      <c r="Z556" s="350"/>
      <c r="AA556" s="350"/>
      <c r="AB556" s="350"/>
      <c r="AC556" s="350"/>
      <c r="AD556" s="350"/>
      <c r="AE556" s="350"/>
      <c r="AF556" s="350"/>
      <c r="AG556" s="350"/>
      <c r="AH556" s="350"/>
      <c r="AI556" s="350"/>
    </row>
    <row r="557" s="350" customFormat="1" ht="22.199999999999999" customHeight="1">
      <c r="A557" s="33">
        <v>99</v>
      </c>
      <c r="B557" s="42" t="s">
        <v>1208</v>
      </c>
      <c r="C557" s="158">
        <f t="shared" si="254"/>
        <v>589435</v>
      </c>
      <c r="D557" s="79">
        <f t="shared" si="255"/>
        <v>0</v>
      </c>
      <c r="E557" s="92">
        <v>0</v>
      </c>
      <c r="F557" s="158">
        <v>0</v>
      </c>
      <c r="G557" s="92">
        <v>0</v>
      </c>
      <c r="H557" s="92">
        <v>0</v>
      </c>
      <c r="I557" s="158">
        <v>0</v>
      </c>
      <c r="J557" s="398">
        <v>0</v>
      </c>
      <c r="K557" s="158">
        <v>0</v>
      </c>
      <c r="L557" s="79">
        <v>0</v>
      </c>
      <c r="M557" s="92">
        <v>0</v>
      </c>
      <c r="N557" s="92">
        <v>0</v>
      </c>
      <c r="O557" s="158">
        <v>0</v>
      </c>
      <c r="P557" s="79">
        <v>589435</v>
      </c>
      <c r="Q557" s="158">
        <v>0</v>
      </c>
      <c r="R557" s="79">
        <v>0</v>
      </c>
      <c r="S557" s="158">
        <v>0</v>
      </c>
      <c r="T557" s="79">
        <v>0</v>
      </c>
      <c r="U557" s="399"/>
      <c r="V557" s="399"/>
      <c r="W557" s="399"/>
      <c r="X557" s="399"/>
      <c r="Y557" s="399"/>
      <c r="Z557" s="399"/>
      <c r="AA557" s="399"/>
      <c r="AB557" s="399"/>
      <c r="AC557" s="399"/>
      <c r="AD557" s="399"/>
      <c r="AE557" s="399"/>
      <c r="AF557" s="399"/>
      <c r="AG557" s="399"/>
      <c r="AH557" s="399"/>
      <c r="AI557" s="399"/>
    </row>
    <row r="558" s="350" customFormat="1" ht="22.199999999999999" customHeight="1">
      <c r="A558" s="33">
        <v>100</v>
      </c>
      <c r="B558" s="42" t="s">
        <v>207</v>
      </c>
      <c r="C558" s="79">
        <f t="shared" si="254"/>
        <v>22717227.149999999</v>
      </c>
      <c r="D558" s="158">
        <f t="shared" si="255"/>
        <v>0</v>
      </c>
      <c r="E558" s="92">
        <v>0</v>
      </c>
      <c r="F558" s="79">
        <v>0</v>
      </c>
      <c r="G558" s="158">
        <v>0</v>
      </c>
      <c r="H558" s="92">
        <v>0</v>
      </c>
      <c r="I558" s="79">
        <v>0</v>
      </c>
      <c r="J558" s="398">
        <v>0</v>
      </c>
      <c r="K558" s="79">
        <v>0</v>
      </c>
      <c r="L558" s="92">
        <v>22241264.099999998</v>
      </c>
      <c r="M558" s="158">
        <v>0</v>
      </c>
      <c r="N558" s="79">
        <v>0</v>
      </c>
      <c r="O558" s="79">
        <v>0</v>
      </c>
      <c r="P558" s="92">
        <v>0</v>
      </c>
      <c r="Q558" s="79">
        <v>0</v>
      </c>
      <c r="R558" s="79">
        <v>475963.04999999999</v>
      </c>
      <c r="S558" s="79">
        <v>0</v>
      </c>
      <c r="T558" s="79">
        <v>0</v>
      </c>
      <c r="U558" s="110"/>
      <c r="V558" s="110"/>
      <c r="W558" s="110"/>
      <c r="X558" s="110"/>
      <c r="Y558" s="110"/>
      <c r="Z558" s="110"/>
      <c r="AA558" s="110"/>
      <c r="AB558" s="110"/>
      <c r="AC558" s="110"/>
      <c r="AD558" s="110"/>
      <c r="AE558" s="110"/>
      <c r="AF558" s="110"/>
      <c r="AG558" s="110"/>
      <c r="AH558" s="110"/>
      <c r="AI558" s="110"/>
    </row>
    <row r="559" s="350" customFormat="1" ht="22.5" customHeight="1">
      <c r="A559" s="33">
        <v>101</v>
      </c>
      <c r="B559" s="42" t="s">
        <v>209</v>
      </c>
      <c r="C559" s="79">
        <f t="shared" si="254"/>
        <v>12328646.449999999</v>
      </c>
      <c r="D559" s="79">
        <f t="shared" si="255"/>
        <v>0</v>
      </c>
      <c r="E559" s="92">
        <v>0</v>
      </c>
      <c r="F559" s="92">
        <v>0</v>
      </c>
      <c r="G559" s="92">
        <v>0</v>
      </c>
      <c r="H559" s="92">
        <v>0</v>
      </c>
      <c r="I559" s="92">
        <v>0</v>
      </c>
      <c r="J559" s="398">
        <v>0</v>
      </c>
      <c r="K559" s="79">
        <v>0</v>
      </c>
      <c r="L559" s="79">
        <v>8585797.4000000004</v>
      </c>
      <c r="M559" s="79">
        <v>0</v>
      </c>
      <c r="N559" s="92">
        <v>3742849.0499999998</v>
      </c>
      <c r="O559" s="79">
        <v>0</v>
      </c>
      <c r="P559" s="92">
        <v>0</v>
      </c>
      <c r="Q559" s="79">
        <v>0</v>
      </c>
      <c r="R559" s="79">
        <v>0</v>
      </c>
      <c r="S559" s="79">
        <v>0</v>
      </c>
      <c r="T559" s="79">
        <v>0</v>
      </c>
      <c r="U559" s="350"/>
      <c r="V559" s="350"/>
      <c r="W559" s="350"/>
      <c r="X559" s="350"/>
      <c r="Y559" s="350"/>
      <c r="Z559" s="350"/>
      <c r="AA559" s="350"/>
      <c r="AB559" s="350"/>
      <c r="AC559" s="350"/>
      <c r="AD559" s="350"/>
      <c r="AE559" s="350"/>
      <c r="AF559" s="350"/>
      <c r="AG559" s="350"/>
      <c r="AH559" s="350"/>
      <c r="AI559" s="350"/>
    </row>
    <row r="560" s="399" customFormat="1" ht="22.5" customHeight="1">
      <c r="A560" s="33">
        <v>102</v>
      </c>
      <c r="B560" s="42" t="s">
        <v>1209</v>
      </c>
      <c r="C560" s="158">
        <f t="shared" si="254"/>
        <v>589435</v>
      </c>
      <c r="D560" s="79">
        <f t="shared" si="255"/>
        <v>0</v>
      </c>
      <c r="E560" s="92">
        <v>0</v>
      </c>
      <c r="F560" s="158">
        <v>0</v>
      </c>
      <c r="G560" s="92">
        <v>0</v>
      </c>
      <c r="H560" s="92">
        <v>0</v>
      </c>
      <c r="I560" s="158">
        <v>0</v>
      </c>
      <c r="J560" s="398">
        <v>0</v>
      </c>
      <c r="K560" s="158">
        <v>0</v>
      </c>
      <c r="L560" s="79">
        <v>0</v>
      </c>
      <c r="M560" s="92">
        <v>0</v>
      </c>
      <c r="N560" s="92">
        <v>0</v>
      </c>
      <c r="O560" s="158">
        <v>0</v>
      </c>
      <c r="P560" s="79">
        <v>589435</v>
      </c>
      <c r="Q560" s="158">
        <v>0</v>
      </c>
      <c r="R560" s="79">
        <v>0</v>
      </c>
      <c r="S560" s="158">
        <v>0</v>
      </c>
      <c r="T560" s="79">
        <v>0</v>
      </c>
      <c r="U560" s="110"/>
      <c r="V560" s="110"/>
      <c r="W560" s="110"/>
      <c r="X560" s="110"/>
      <c r="Y560" s="110"/>
      <c r="Z560" s="110"/>
      <c r="AA560" s="110"/>
      <c r="AB560" s="110"/>
      <c r="AC560" s="110"/>
      <c r="AD560" s="110"/>
      <c r="AE560" s="110"/>
      <c r="AF560" s="399"/>
      <c r="AG560" s="399"/>
      <c r="AH560" s="399"/>
      <c r="AI560" s="399"/>
    </row>
    <row r="561" s="350" customFormat="1" ht="22.5" customHeight="1">
      <c r="A561" s="33">
        <v>103</v>
      </c>
      <c r="B561" s="42" t="s">
        <v>1210</v>
      </c>
      <c r="C561" s="79">
        <f t="shared" si="254"/>
        <v>1311967.6100000001</v>
      </c>
      <c r="D561" s="79">
        <f t="shared" si="255"/>
        <v>764421</v>
      </c>
      <c r="E561" s="92">
        <v>0</v>
      </c>
      <c r="F561" s="79">
        <v>0</v>
      </c>
      <c r="G561" s="92">
        <v>267117.90000000002</v>
      </c>
      <c r="H561" s="92">
        <v>167485.5</v>
      </c>
      <c r="I561" s="92">
        <v>329817.60000000003</v>
      </c>
      <c r="J561" s="398">
        <v>0</v>
      </c>
      <c r="K561" s="79">
        <v>0</v>
      </c>
      <c r="L561" s="79">
        <v>0</v>
      </c>
      <c r="M561" s="79">
        <v>0</v>
      </c>
      <c r="N561" s="79">
        <v>0</v>
      </c>
      <c r="O561" s="79">
        <v>0</v>
      </c>
      <c r="P561" s="92">
        <f>265594+265594</f>
        <v>531188</v>
      </c>
      <c r="Q561" s="79">
        <v>0</v>
      </c>
      <c r="R561" s="79">
        <f>7058.1+5716.32+3584.19</f>
        <v>16358.610000000001</v>
      </c>
      <c r="S561" s="79">
        <v>0</v>
      </c>
      <c r="T561" s="79">
        <v>0</v>
      </c>
      <c r="U561" s="350"/>
      <c r="V561" s="350"/>
      <c r="W561" s="350"/>
      <c r="X561" s="350"/>
      <c r="Y561" s="350"/>
      <c r="Z561" s="350"/>
      <c r="AA561" s="350"/>
      <c r="AB561" s="350"/>
      <c r="AC561" s="350"/>
      <c r="AD561" s="350"/>
      <c r="AE561" s="350"/>
      <c r="AF561" s="350"/>
      <c r="AG561" s="350"/>
      <c r="AH561" s="350"/>
      <c r="AI561" s="350"/>
    </row>
    <row r="562" s="350" customFormat="1" ht="22.5" customHeight="1">
      <c r="A562" s="33">
        <v>104</v>
      </c>
      <c r="B562" s="42" t="s">
        <v>1211</v>
      </c>
      <c r="C562" s="158">
        <f t="shared" si="254"/>
        <v>589435</v>
      </c>
      <c r="D562" s="79">
        <f t="shared" si="255"/>
        <v>0</v>
      </c>
      <c r="E562" s="92">
        <v>0</v>
      </c>
      <c r="F562" s="158">
        <v>0</v>
      </c>
      <c r="G562" s="92">
        <v>0</v>
      </c>
      <c r="H562" s="92">
        <v>0</v>
      </c>
      <c r="I562" s="158">
        <v>0</v>
      </c>
      <c r="J562" s="398">
        <v>0</v>
      </c>
      <c r="K562" s="158">
        <v>0</v>
      </c>
      <c r="L562" s="79">
        <v>0</v>
      </c>
      <c r="M562" s="92">
        <v>0</v>
      </c>
      <c r="N562" s="92">
        <v>0</v>
      </c>
      <c r="O562" s="158">
        <v>0</v>
      </c>
      <c r="P562" s="79">
        <v>589435</v>
      </c>
      <c r="Q562" s="158">
        <v>0</v>
      </c>
      <c r="R562" s="79">
        <v>0</v>
      </c>
      <c r="S562" s="158">
        <v>0</v>
      </c>
      <c r="T562" s="79">
        <v>0</v>
      </c>
      <c r="U562" s="110"/>
      <c r="V562" s="110"/>
      <c r="W562" s="110"/>
      <c r="X562" s="110"/>
      <c r="Y562" s="110"/>
      <c r="Z562" s="110"/>
      <c r="AA562" s="110"/>
      <c r="AB562" s="110"/>
      <c r="AC562" s="110"/>
      <c r="AD562" s="110"/>
      <c r="AE562" s="110"/>
      <c r="AF562" s="350"/>
      <c r="AG562" s="350"/>
      <c r="AH562" s="350"/>
      <c r="AI562" s="350"/>
    </row>
    <row r="563" s="350" customFormat="1" ht="22.5" customHeight="1">
      <c r="A563" s="33">
        <v>105</v>
      </c>
      <c r="B563" s="42" t="s">
        <v>1212</v>
      </c>
      <c r="C563" s="79">
        <f t="shared" si="254"/>
        <v>26379960.939999998</v>
      </c>
      <c r="D563" s="158">
        <f t="shared" si="255"/>
        <v>0</v>
      </c>
      <c r="E563" s="92">
        <v>0</v>
      </c>
      <c r="F563" s="79">
        <v>0</v>
      </c>
      <c r="G563" s="158">
        <v>0</v>
      </c>
      <c r="H563" s="92">
        <v>0</v>
      </c>
      <c r="I563" s="79">
        <v>0</v>
      </c>
      <c r="J563" s="398">
        <v>0</v>
      </c>
      <c r="K563" s="79">
        <v>0</v>
      </c>
      <c r="L563" s="92">
        <v>0</v>
      </c>
      <c r="M563" s="158">
        <v>0</v>
      </c>
      <c r="N563" s="79">
        <v>0</v>
      </c>
      <c r="O563" s="79">
        <v>0</v>
      </c>
      <c r="P563" s="92">
        <v>350382</v>
      </c>
      <c r="Q563" s="79">
        <v>0</v>
      </c>
      <c r="R563" s="79">
        <v>545362.23999999999</v>
      </c>
      <c r="S563" s="79">
        <v>25484216.699999999</v>
      </c>
      <c r="T563" s="79">
        <v>0</v>
      </c>
      <c r="U563" s="399"/>
      <c r="V563" s="399"/>
      <c r="W563" s="399"/>
      <c r="X563" s="399"/>
      <c r="Y563" s="399"/>
      <c r="Z563" s="399"/>
      <c r="AA563" s="399"/>
      <c r="AB563" s="399"/>
      <c r="AC563" s="399"/>
      <c r="AD563" s="399"/>
      <c r="AE563" s="399"/>
      <c r="AF563" s="399"/>
      <c r="AG563" s="399"/>
      <c r="AH563" s="399"/>
      <c r="AI563" s="399"/>
    </row>
    <row r="564" s="350" customFormat="1" ht="22.5" customHeight="1">
      <c r="A564" s="33">
        <v>106</v>
      </c>
      <c r="B564" s="42" t="s">
        <v>1213</v>
      </c>
      <c r="C564" s="79">
        <f t="shared" si="254"/>
        <v>7505333.4299999997</v>
      </c>
      <c r="D564" s="79">
        <f t="shared" si="255"/>
        <v>7005043.5</v>
      </c>
      <c r="E564" s="92">
        <v>7005043.5</v>
      </c>
      <c r="F564" s="92">
        <v>0</v>
      </c>
      <c r="G564" s="92">
        <v>0</v>
      </c>
      <c r="H564" s="92">
        <v>0</v>
      </c>
      <c r="I564" s="158">
        <v>0</v>
      </c>
      <c r="J564" s="398">
        <v>0</v>
      </c>
      <c r="K564" s="158">
        <v>0</v>
      </c>
      <c r="L564" s="92">
        <v>0</v>
      </c>
      <c r="M564" s="79">
        <v>0</v>
      </c>
      <c r="N564" s="92">
        <v>0</v>
      </c>
      <c r="O564" s="158">
        <v>0</v>
      </c>
      <c r="P564" s="92">
        <v>350382</v>
      </c>
      <c r="Q564" s="158">
        <v>0</v>
      </c>
      <c r="R564" s="79">
        <v>149907.92999999999</v>
      </c>
      <c r="S564" s="158">
        <v>0</v>
      </c>
      <c r="T564" s="79">
        <v>0</v>
      </c>
      <c r="U564" s="110"/>
      <c r="V564" s="110"/>
      <c r="W564" s="110"/>
      <c r="X564" s="110"/>
      <c r="Y564" s="110"/>
      <c r="Z564" s="110"/>
      <c r="AA564" s="110"/>
      <c r="AB564" s="110"/>
      <c r="AC564" s="110"/>
      <c r="AD564" s="110"/>
      <c r="AE564" s="110"/>
      <c r="AF564" s="399"/>
      <c r="AG564" s="399"/>
      <c r="AH564" s="399"/>
      <c r="AI564" s="399"/>
    </row>
    <row r="565" s="350" customFormat="1" ht="22.5" customHeight="1">
      <c r="A565" s="33">
        <v>107</v>
      </c>
      <c r="B565" s="42" t="s">
        <v>1214</v>
      </c>
      <c r="C565" s="158">
        <f t="shared" si="254"/>
        <v>4372155.2199999997</v>
      </c>
      <c r="D565" s="79">
        <f t="shared" si="255"/>
        <v>3937510.5</v>
      </c>
      <c r="E565" s="92">
        <v>3937510.5</v>
      </c>
      <c r="F565" s="92">
        <v>0</v>
      </c>
      <c r="G565" s="92">
        <v>0</v>
      </c>
      <c r="H565" s="92">
        <v>0</v>
      </c>
      <c r="I565" s="79">
        <v>0</v>
      </c>
      <c r="J565" s="398">
        <v>0</v>
      </c>
      <c r="K565" s="79">
        <v>0</v>
      </c>
      <c r="L565" s="92">
        <v>0</v>
      </c>
      <c r="M565" s="158">
        <v>0</v>
      </c>
      <c r="N565" s="92">
        <v>0</v>
      </c>
      <c r="O565" s="79">
        <v>0</v>
      </c>
      <c r="P565" s="92">
        <v>350382</v>
      </c>
      <c r="Q565" s="79">
        <v>0</v>
      </c>
      <c r="R565" s="79">
        <v>84262.720000000001</v>
      </c>
      <c r="S565" s="79">
        <v>0</v>
      </c>
      <c r="T565" s="79">
        <v>0</v>
      </c>
      <c r="U565" s="110"/>
      <c r="V565" s="110"/>
      <c r="W565" s="110"/>
      <c r="X565" s="110"/>
      <c r="Y565" s="110"/>
      <c r="Z565" s="110"/>
      <c r="AA565" s="110"/>
      <c r="AB565" s="110"/>
      <c r="AC565" s="110"/>
      <c r="AD565" s="110"/>
      <c r="AE565" s="110"/>
      <c r="AF565" s="399"/>
      <c r="AG565" s="399"/>
      <c r="AH565" s="399"/>
      <c r="AI565" s="399"/>
    </row>
    <row r="566" s="350" customFormat="1" ht="22.5" customHeight="1">
      <c r="A566" s="33">
        <v>108</v>
      </c>
      <c r="B566" s="42" t="s">
        <v>1215</v>
      </c>
      <c r="C566" s="79">
        <f t="shared" si="254"/>
        <v>1028886</v>
      </c>
      <c r="D566" s="158">
        <f t="shared" si="255"/>
        <v>0</v>
      </c>
      <c r="E566" s="92">
        <v>0</v>
      </c>
      <c r="F566" s="158">
        <v>0</v>
      </c>
      <c r="G566" s="79">
        <v>0</v>
      </c>
      <c r="H566" s="92">
        <v>0</v>
      </c>
      <c r="I566" s="158">
        <v>0</v>
      </c>
      <c r="J566" s="398">
        <v>0</v>
      </c>
      <c r="K566" s="158">
        <v>0</v>
      </c>
      <c r="L566" s="92">
        <v>0</v>
      </c>
      <c r="M566" s="79">
        <v>0</v>
      </c>
      <c r="N566" s="158">
        <v>0</v>
      </c>
      <c r="O566" s="79">
        <v>0</v>
      </c>
      <c r="P566" s="92">
        <f>514428+514458</f>
        <v>1028886</v>
      </c>
      <c r="Q566" s="158">
        <v>0</v>
      </c>
      <c r="R566" s="79">
        <v>0</v>
      </c>
      <c r="S566" s="158">
        <v>0</v>
      </c>
      <c r="T566" s="79">
        <v>0</v>
      </c>
      <c r="U566" s="399"/>
      <c r="V566" s="399"/>
      <c r="W566" s="399"/>
      <c r="X566" s="399"/>
      <c r="Y566" s="399"/>
      <c r="Z566" s="399"/>
      <c r="AA566" s="399"/>
      <c r="AB566" s="399"/>
      <c r="AC566" s="399"/>
      <c r="AD566" s="399"/>
      <c r="AE566" s="399"/>
      <c r="AF566" s="399"/>
      <c r="AG566" s="399"/>
      <c r="AH566" s="399"/>
      <c r="AI566" s="399"/>
    </row>
    <row r="567" s="350" customFormat="1" ht="22.5" customHeight="1">
      <c r="A567" s="33">
        <v>109</v>
      </c>
      <c r="B567" s="42" t="s">
        <v>214</v>
      </c>
      <c r="C567" s="79">
        <f t="shared" si="254"/>
        <v>53551480.270000003</v>
      </c>
      <c r="D567" s="79">
        <f t="shared" si="255"/>
        <v>0</v>
      </c>
      <c r="E567" s="92">
        <v>0</v>
      </c>
      <c r="F567" s="79">
        <v>0</v>
      </c>
      <c r="G567" s="79">
        <v>0</v>
      </c>
      <c r="H567" s="92">
        <v>0</v>
      </c>
      <c r="I567" s="79">
        <v>0</v>
      </c>
      <c r="J567" s="398">
        <v>0</v>
      </c>
      <c r="K567" s="79">
        <v>0</v>
      </c>
      <c r="L567" s="92">
        <v>0</v>
      </c>
      <c r="M567" s="79">
        <v>0</v>
      </c>
      <c r="N567" s="79">
        <v>52429489.200000003</v>
      </c>
      <c r="O567" s="79">
        <v>0</v>
      </c>
      <c r="P567" s="92">
        <v>0</v>
      </c>
      <c r="Q567" s="79">
        <v>0</v>
      </c>
      <c r="R567" s="79">
        <v>1121991.0700000001</v>
      </c>
      <c r="S567" s="79">
        <v>0</v>
      </c>
      <c r="T567" s="79">
        <v>0</v>
      </c>
      <c r="U567" s="350"/>
      <c r="V567" s="350"/>
      <c r="W567" s="350"/>
      <c r="X567" s="350"/>
      <c r="Y567" s="350"/>
      <c r="Z567" s="350"/>
      <c r="AA567" s="350"/>
      <c r="AB567" s="350"/>
      <c r="AC567" s="350"/>
      <c r="AD567" s="350"/>
      <c r="AE567" s="350"/>
      <c r="AF567" s="350"/>
      <c r="AG567" s="350"/>
      <c r="AH567" s="350"/>
      <c r="AI567" s="350"/>
    </row>
    <row r="568" s="350" customFormat="1" ht="22.5" customHeight="1">
      <c r="A568" s="33">
        <v>110</v>
      </c>
      <c r="B568" s="42" t="s">
        <v>216</v>
      </c>
      <c r="C568" s="158">
        <f t="shared" si="254"/>
        <v>68543536.25</v>
      </c>
      <c r="D568" s="79">
        <f t="shared" si="255"/>
        <v>0</v>
      </c>
      <c r="E568" s="92">
        <v>0</v>
      </c>
      <c r="F568" s="158">
        <v>0</v>
      </c>
      <c r="G568" s="79">
        <v>0</v>
      </c>
      <c r="H568" s="92">
        <v>0</v>
      </c>
      <c r="I568" s="158">
        <v>0</v>
      </c>
      <c r="J568" s="398">
        <v>0</v>
      </c>
      <c r="K568" s="158">
        <v>0</v>
      </c>
      <c r="L568" s="92">
        <v>28366235.699999999</v>
      </c>
      <c r="M568" s="158">
        <v>0</v>
      </c>
      <c r="N568" s="92">
        <v>38741201.399999999</v>
      </c>
      <c r="O568" s="79">
        <v>0</v>
      </c>
      <c r="P568" s="79">
        <v>0</v>
      </c>
      <c r="Q568" s="92">
        <v>0</v>
      </c>
      <c r="R568" s="92">
        <f>607037.44+829061.71</f>
        <v>1436099.1499999999</v>
      </c>
      <c r="S568" s="158">
        <v>0</v>
      </c>
      <c r="T568" s="79">
        <v>0</v>
      </c>
      <c r="U568" s="350"/>
      <c r="V568" s="350"/>
      <c r="W568" s="350"/>
      <c r="X568" s="350"/>
      <c r="Y568" s="350"/>
      <c r="Z568" s="350"/>
      <c r="AA568" s="350"/>
      <c r="AB568" s="350"/>
      <c r="AC568" s="350"/>
      <c r="AD568" s="350"/>
      <c r="AE568" s="350"/>
      <c r="AF568" s="350"/>
      <c r="AG568" s="350"/>
      <c r="AH568" s="350"/>
      <c r="AI568" s="350"/>
    </row>
    <row r="569" s="350" customFormat="1" ht="22.5" customHeight="1">
      <c r="A569" s="33">
        <v>111</v>
      </c>
      <c r="B569" s="42" t="s">
        <v>218</v>
      </c>
      <c r="C569" s="79">
        <f t="shared" si="254"/>
        <v>59464145.879999995</v>
      </c>
      <c r="D569" s="79">
        <f t="shared" si="255"/>
        <v>0</v>
      </c>
      <c r="E569" s="92">
        <v>0</v>
      </c>
      <c r="F569" s="79">
        <v>0</v>
      </c>
      <c r="G569" s="79">
        <v>0</v>
      </c>
      <c r="H569" s="92">
        <v>0</v>
      </c>
      <c r="I569" s="79">
        <v>0</v>
      </c>
      <c r="J569" s="398">
        <v>0</v>
      </c>
      <c r="K569" s="79">
        <v>0</v>
      </c>
      <c r="L569" s="92">
        <v>25408451.600000001</v>
      </c>
      <c r="M569" s="79">
        <v>0</v>
      </c>
      <c r="N569" s="92">
        <v>32809823.199999999</v>
      </c>
      <c r="O569" s="79">
        <v>0</v>
      </c>
      <c r="P569" s="79">
        <v>0</v>
      </c>
      <c r="Q569" s="92">
        <v>0</v>
      </c>
      <c r="R569" s="92">
        <f>543740.86+702130.22</f>
        <v>1245871.0800000001</v>
      </c>
      <c r="S569" s="79">
        <v>0</v>
      </c>
      <c r="T569" s="79">
        <v>0</v>
      </c>
      <c r="U569" s="350"/>
      <c r="V569" s="350"/>
      <c r="W569" s="350"/>
      <c r="X569" s="350"/>
      <c r="Y569" s="350"/>
      <c r="Z569" s="350"/>
      <c r="AA569" s="350"/>
      <c r="AB569" s="350"/>
      <c r="AC569" s="350"/>
      <c r="AD569" s="350"/>
      <c r="AE569" s="350"/>
      <c r="AF569" s="350"/>
      <c r="AG569" s="350"/>
      <c r="AH569" s="350"/>
      <c r="AI569" s="350"/>
    </row>
    <row r="570" ht="22.5" customHeight="1">
      <c r="A570" s="33">
        <v>112</v>
      </c>
      <c r="B570" s="436" t="s">
        <v>1216</v>
      </c>
      <c r="C570" s="158">
        <f t="shared" si="254"/>
        <v>9885297.6699999999</v>
      </c>
      <c r="D570" s="79">
        <f t="shared" si="255"/>
        <v>9335143.5999999996</v>
      </c>
      <c r="E570" s="418">
        <v>0</v>
      </c>
      <c r="F570" s="419">
        <v>9335143.5999999996</v>
      </c>
      <c r="G570" s="416">
        <v>0</v>
      </c>
      <c r="H570" s="418">
        <v>0</v>
      </c>
      <c r="I570" s="419">
        <v>0</v>
      </c>
      <c r="J570" s="417">
        <v>0</v>
      </c>
      <c r="K570" s="419">
        <v>0</v>
      </c>
      <c r="L570" s="418">
        <v>0</v>
      </c>
      <c r="M570" s="419">
        <v>0</v>
      </c>
      <c r="N570" s="418">
        <v>0</v>
      </c>
      <c r="O570" s="419">
        <v>0</v>
      </c>
      <c r="P570" s="416">
        <v>350382</v>
      </c>
      <c r="Q570" s="418">
        <v>0</v>
      </c>
      <c r="R570" s="418">
        <v>199772.07000000001</v>
      </c>
      <c r="S570" s="419">
        <v>0</v>
      </c>
      <c r="T570" s="416">
        <v>0</v>
      </c>
      <c r="U570" s="110"/>
      <c r="V570" s="110"/>
      <c r="W570" s="110"/>
      <c r="X570" s="110"/>
      <c r="Y570" s="110"/>
      <c r="Z570" s="110"/>
      <c r="AA570" s="110"/>
      <c r="AB570" s="110"/>
      <c r="AC570" s="110"/>
      <c r="AD570" s="110"/>
      <c r="AE570" s="110"/>
    </row>
    <row r="571" s="350" customFormat="1" ht="22.5" customHeight="1">
      <c r="A571" s="33">
        <v>113</v>
      </c>
      <c r="B571" s="42" t="s">
        <v>220</v>
      </c>
      <c r="C571" s="79">
        <f t="shared" si="254"/>
        <v>45303431.559999995</v>
      </c>
      <c r="D571" s="79">
        <f t="shared" si="255"/>
        <v>0</v>
      </c>
      <c r="E571" s="92">
        <v>0</v>
      </c>
      <c r="F571" s="79">
        <v>0</v>
      </c>
      <c r="G571" s="79">
        <v>0</v>
      </c>
      <c r="H571" s="92">
        <v>0</v>
      </c>
      <c r="I571" s="79">
        <v>0</v>
      </c>
      <c r="J571" s="398">
        <v>0</v>
      </c>
      <c r="K571" s="79">
        <v>0</v>
      </c>
      <c r="L571" s="92">
        <v>18748490.199999999</v>
      </c>
      <c r="M571" s="79">
        <v>0</v>
      </c>
      <c r="N571" s="92">
        <v>25605760.399999999</v>
      </c>
      <c r="O571" s="79">
        <v>0</v>
      </c>
      <c r="P571" s="79">
        <v>0</v>
      </c>
      <c r="Q571" s="92">
        <v>0</v>
      </c>
      <c r="R571" s="92">
        <f>401217.69+547963.27</f>
        <v>949180.95999999996</v>
      </c>
      <c r="S571" s="79">
        <v>0</v>
      </c>
      <c r="T571" s="79">
        <v>0</v>
      </c>
      <c r="U571" s="350"/>
      <c r="V571" s="350"/>
      <c r="W571" s="350"/>
      <c r="X571" s="350"/>
      <c r="Y571" s="350"/>
      <c r="Z571" s="350"/>
      <c r="AA571" s="350"/>
      <c r="AB571" s="350"/>
      <c r="AC571" s="350"/>
      <c r="AD571" s="350"/>
      <c r="AE571" s="350"/>
    </row>
    <row r="572" s="399" customFormat="1" ht="22.5" customHeight="1">
      <c r="A572" s="33">
        <v>114</v>
      </c>
      <c r="B572" s="52" t="s">
        <v>624</v>
      </c>
      <c r="C572" s="158">
        <f t="shared" si="254"/>
        <v>1308220.2100000002</v>
      </c>
      <c r="D572" s="79">
        <f t="shared" si="255"/>
        <v>0</v>
      </c>
      <c r="E572" s="92">
        <v>0</v>
      </c>
      <c r="F572" s="158">
        <v>0</v>
      </c>
      <c r="G572" s="79">
        <v>0</v>
      </c>
      <c r="H572" s="92">
        <v>0</v>
      </c>
      <c r="I572" s="158">
        <v>0</v>
      </c>
      <c r="J572" s="398">
        <v>0</v>
      </c>
      <c r="K572" s="158">
        <v>0</v>
      </c>
      <c r="L572" s="79">
        <v>0</v>
      </c>
      <c r="M572" s="158">
        <v>0</v>
      </c>
      <c r="N572" s="79">
        <v>1280810.8600000001</v>
      </c>
      <c r="O572" s="158">
        <v>0</v>
      </c>
      <c r="P572" s="79">
        <v>0</v>
      </c>
      <c r="Q572" s="158">
        <v>0</v>
      </c>
      <c r="R572" s="79">
        <v>27409.349999999999</v>
      </c>
      <c r="S572" s="158">
        <v>0</v>
      </c>
      <c r="T572" s="79">
        <v>0</v>
      </c>
      <c r="U572" s="110"/>
      <c r="V572" s="110"/>
      <c r="W572" s="110"/>
      <c r="X572" s="110"/>
      <c r="Y572" s="110"/>
      <c r="Z572" s="110"/>
      <c r="AA572" s="110"/>
      <c r="AB572" s="110"/>
      <c r="AC572" s="110"/>
      <c r="AD572" s="110"/>
      <c r="AE572" s="110"/>
      <c r="AF572" s="110"/>
      <c r="AG572" s="110"/>
      <c r="AH572" s="110"/>
      <c r="AI572" s="110"/>
    </row>
    <row r="573" s="350" customFormat="1" ht="22.5" customHeight="1">
      <c r="A573" s="33">
        <v>115</v>
      </c>
      <c r="B573" s="42" t="s">
        <v>233</v>
      </c>
      <c r="C573" s="79">
        <f t="shared" si="254"/>
        <v>6429549.1100000003</v>
      </c>
      <c r="D573" s="79">
        <f t="shared" si="255"/>
        <v>6429549.1100000003</v>
      </c>
      <c r="E573" s="92">
        <v>0</v>
      </c>
      <c r="F573" s="79">
        <v>6429549.1100000003</v>
      </c>
      <c r="G573" s="79">
        <v>0</v>
      </c>
      <c r="H573" s="92">
        <v>0</v>
      </c>
      <c r="I573" s="92">
        <v>0</v>
      </c>
      <c r="J573" s="398">
        <v>0</v>
      </c>
      <c r="K573" s="79">
        <v>0</v>
      </c>
      <c r="L573" s="79">
        <v>0</v>
      </c>
      <c r="M573" s="79">
        <v>0</v>
      </c>
      <c r="N573" s="79">
        <v>0</v>
      </c>
      <c r="O573" s="79">
        <v>0</v>
      </c>
      <c r="P573" s="79">
        <v>0</v>
      </c>
      <c r="Q573" s="79">
        <v>0</v>
      </c>
      <c r="R573" s="79">
        <v>0</v>
      </c>
      <c r="S573" s="92">
        <v>0</v>
      </c>
      <c r="T573" s="79">
        <v>0</v>
      </c>
      <c r="U573" s="350"/>
      <c r="V573" s="350"/>
      <c r="W573" s="350"/>
      <c r="X573" s="350"/>
      <c r="Y573" s="350"/>
      <c r="Z573" s="350"/>
      <c r="AA573" s="350"/>
      <c r="AB573" s="350"/>
      <c r="AC573" s="350"/>
      <c r="AD573" s="350"/>
      <c r="AE573" s="350"/>
    </row>
    <row r="574" s="350" customFormat="1" ht="22.5" customHeight="1">
      <c r="A574" s="33">
        <v>116</v>
      </c>
      <c r="B574" s="42" t="s">
        <v>235</v>
      </c>
      <c r="C574" s="79">
        <f t="shared" si="254"/>
        <v>12827901.35</v>
      </c>
      <c r="D574" s="79">
        <f t="shared" si="255"/>
        <v>0</v>
      </c>
      <c r="E574" s="92">
        <v>0</v>
      </c>
      <c r="F574" s="79">
        <v>0</v>
      </c>
      <c r="G574" s="79">
        <v>0</v>
      </c>
      <c r="H574" s="92">
        <v>0</v>
      </c>
      <c r="I574" s="92">
        <v>0</v>
      </c>
      <c r="J574" s="398">
        <v>0</v>
      </c>
      <c r="K574" s="79">
        <v>0</v>
      </c>
      <c r="L574" s="92">
        <v>12827901.35</v>
      </c>
      <c r="M574" s="79">
        <v>0</v>
      </c>
      <c r="N574" s="79">
        <v>0</v>
      </c>
      <c r="O574" s="79">
        <v>0</v>
      </c>
      <c r="P574" s="92">
        <v>0</v>
      </c>
      <c r="Q574" s="79">
        <v>0</v>
      </c>
      <c r="R574" s="79">
        <v>0</v>
      </c>
      <c r="S574" s="79">
        <v>0</v>
      </c>
      <c r="T574" s="79">
        <v>0</v>
      </c>
      <c r="U574" s="350"/>
      <c r="V574" s="350"/>
      <c r="W574" s="350"/>
      <c r="X574" s="350"/>
      <c r="Y574" s="350"/>
      <c r="Z574" s="350"/>
      <c r="AA574" s="350"/>
      <c r="AB574" s="350"/>
      <c r="AC574" s="350"/>
      <c r="AD574" s="350"/>
      <c r="AE574" s="350"/>
      <c r="AF574" s="350"/>
      <c r="AG574" s="350"/>
      <c r="AH574" s="350"/>
      <c r="AI574" s="350"/>
      <c r="AJ574" s="350"/>
      <c r="AK574" s="350"/>
    </row>
    <row r="575" s="350" customFormat="1" ht="22.5" customHeight="1">
      <c r="A575" s="33">
        <v>117</v>
      </c>
      <c r="B575" s="42" t="s">
        <v>1217</v>
      </c>
      <c r="C575" s="79">
        <f t="shared" si="254"/>
        <v>159073.20000000001</v>
      </c>
      <c r="D575" s="79">
        <f t="shared" si="255"/>
        <v>0</v>
      </c>
      <c r="E575" s="92">
        <v>0</v>
      </c>
      <c r="F575" s="79">
        <v>0</v>
      </c>
      <c r="G575" s="79">
        <v>0</v>
      </c>
      <c r="H575" s="92">
        <v>0</v>
      </c>
      <c r="I575" s="92">
        <v>0</v>
      </c>
      <c r="J575" s="398">
        <v>0</v>
      </c>
      <c r="K575" s="79">
        <v>0</v>
      </c>
      <c r="L575" s="79">
        <v>0</v>
      </c>
      <c r="M575" s="79">
        <v>0</v>
      </c>
      <c r="N575" s="79">
        <v>0</v>
      </c>
      <c r="O575" s="79">
        <v>0</v>
      </c>
      <c r="P575" s="92">
        <v>159073.20000000001</v>
      </c>
      <c r="Q575" s="79">
        <v>0</v>
      </c>
      <c r="R575" s="79">
        <v>0</v>
      </c>
      <c r="S575" s="79">
        <v>0</v>
      </c>
      <c r="T575" s="79">
        <v>0</v>
      </c>
      <c r="U575" s="350"/>
      <c r="V575" s="350"/>
      <c r="W575" s="350"/>
      <c r="X575" s="350"/>
      <c r="Y575" s="350"/>
      <c r="Z575" s="350"/>
      <c r="AA575" s="350"/>
      <c r="AB575" s="350"/>
      <c r="AC575" s="350"/>
      <c r="AD575" s="350"/>
      <c r="AE575" s="350"/>
    </row>
    <row r="576" s="437" customFormat="1" ht="22.5" customHeight="1">
      <c r="A576" s="33">
        <v>118</v>
      </c>
      <c r="B576" s="42" t="s">
        <v>1218</v>
      </c>
      <c r="C576" s="79">
        <f t="shared" si="254"/>
        <v>871099.53000000003</v>
      </c>
      <c r="D576" s="158">
        <f t="shared" si="255"/>
        <v>592819.20000000007</v>
      </c>
      <c r="E576" s="92">
        <v>0</v>
      </c>
      <c r="F576" s="158">
        <v>0</v>
      </c>
      <c r="G576" s="79">
        <v>0</v>
      </c>
      <c r="H576" s="92">
        <v>0</v>
      </c>
      <c r="I576" s="92">
        <v>592819.20000000007</v>
      </c>
      <c r="J576" s="398">
        <v>0</v>
      </c>
      <c r="K576" s="79">
        <v>0</v>
      </c>
      <c r="L576" s="79">
        <v>0</v>
      </c>
      <c r="M576" s="79">
        <v>0</v>
      </c>
      <c r="N576" s="79">
        <v>0</v>
      </c>
      <c r="O576" s="158">
        <v>0</v>
      </c>
      <c r="P576" s="92">
        <v>265594</v>
      </c>
      <c r="Q576" s="79">
        <v>0</v>
      </c>
      <c r="R576" s="79">
        <v>12686.33</v>
      </c>
      <c r="S576" s="79">
        <v>0</v>
      </c>
      <c r="T576" s="79">
        <v>0</v>
      </c>
      <c r="U576" s="110"/>
      <c r="V576" s="110"/>
      <c r="W576" s="110"/>
      <c r="X576" s="110"/>
      <c r="Y576" s="110"/>
      <c r="Z576" s="110"/>
      <c r="AA576" s="110"/>
      <c r="AB576" s="110"/>
      <c r="AC576" s="110"/>
      <c r="AD576" s="110"/>
      <c r="AE576" s="110"/>
    </row>
    <row r="577" s="350" customFormat="1" ht="22.5" customHeight="1">
      <c r="A577" s="33">
        <v>119</v>
      </c>
      <c r="B577" s="42" t="s">
        <v>238</v>
      </c>
      <c r="C577" s="79">
        <f t="shared" si="254"/>
        <v>5294633.6300000008</v>
      </c>
      <c r="D577" s="79">
        <f t="shared" si="255"/>
        <v>0</v>
      </c>
      <c r="E577" s="92">
        <v>0</v>
      </c>
      <c r="F577" s="92">
        <v>0</v>
      </c>
      <c r="G577" s="92">
        <v>0</v>
      </c>
      <c r="H577" s="92">
        <v>0</v>
      </c>
      <c r="I577" s="92">
        <v>0</v>
      </c>
      <c r="J577" s="398">
        <v>0</v>
      </c>
      <c r="K577" s="79">
        <v>0</v>
      </c>
      <c r="L577" s="92">
        <v>5183702.4000000004</v>
      </c>
      <c r="M577" s="79">
        <v>0</v>
      </c>
      <c r="N577" s="79">
        <v>0</v>
      </c>
      <c r="O577" s="79">
        <v>0</v>
      </c>
      <c r="P577" s="92">
        <v>0</v>
      </c>
      <c r="Q577" s="79">
        <v>0</v>
      </c>
      <c r="R577" s="79">
        <v>110931.23</v>
      </c>
      <c r="S577" s="79">
        <v>0</v>
      </c>
      <c r="T577" s="79">
        <v>0</v>
      </c>
      <c r="U577" s="350"/>
      <c r="V577" s="350"/>
      <c r="W577" s="350"/>
      <c r="X577" s="350"/>
      <c r="Y577" s="350"/>
      <c r="Z577" s="350"/>
      <c r="AA577" s="350"/>
      <c r="AB577" s="350"/>
      <c r="AC577" s="350"/>
      <c r="AD577" s="350"/>
      <c r="AE577" s="350"/>
      <c r="AF577" s="350"/>
      <c r="AG577" s="350"/>
      <c r="AH577" s="350"/>
      <c r="AI577" s="350"/>
      <c r="AJ577" s="350"/>
      <c r="AK577" s="350"/>
    </row>
    <row r="578" s="399" customFormat="1" ht="22.5" customHeight="1">
      <c r="A578" s="33">
        <v>120</v>
      </c>
      <c r="B578" s="42" t="s">
        <v>1219</v>
      </c>
      <c r="C578" s="400">
        <f t="shared" si="254"/>
        <v>350382</v>
      </c>
      <c r="D578" s="158">
        <f t="shared" si="255"/>
        <v>0</v>
      </c>
      <c r="E578" s="92">
        <v>0</v>
      </c>
      <c r="F578" s="92">
        <v>0</v>
      </c>
      <c r="G578" s="92">
        <v>0</v>
      </c>
      <c r="H578" s="92">
        <v>0</v>
      </c>
      <c r="I578" s="400">
        <v>0</v>
      </c>
      <c r="J578" s="345">
        <v>0</v>
      </c>
      <c r="K578" s="400">
        <v>0</v>
      </c>
      <c r="L578" s="92">
        <v>0</v>
      </c>
      <c r="M578" s="400">
        <v>0</v>
      </c>
      <c r="N578" s="92">
        <v>0</v>
      </c>
      <c r="O578" s="400">
        <v>0</v>
      </c>
      <c r="P578" s="92">
        <v>350382</v>
      </c>
      <c r="Q578" s="400">
        <v>0</v>
      </c>
      <c r="R578" s="158">
        <v>0</v>
      </c>
      <c r="S578" s="400">
        <v>0</v>
      </c>
      <c r="T578" s="79">
        <v>0</v>
      </c>
      <c r="U578" s="110"/>
      <c r="V578" s="110"/>
      <c r="W578" s="110"/>
      <c r="X578" s="110"/>
      <c r="Y578" s="110"/>
      <c r="Z578" s="110"/>
      <c r="AA578" s="110"/>
      <c r="AB578" s="110"/>
      <c r="AC578" s="110"/>
      <c r="AD578" s="110"/>
      <c r="AE578" s="110"/>
      <c r="AF578" s="399"/>
      <c r="AG578" s="399"/>
      <c r="AH578" s="399"/>
      <c r="AI578" s="399"/>
    </row>
    <row r="579" s="350" customFormat="1" ht="24.75" customHeight="1">
      <c r="A579" s="33">
        <v>121</v>
      </c>
      <c r="B579" s="42" t="s">
        <v>240</v>
      </c>
      <c r="C579" s="79">
        <f t="shared" si="254"/>
        <v>6755181.2199999997</v>
      </c>
      <c r="D579" s="79">
        <f t="shared" si="255"/>
        <v>0</v>
      </c>
      <c r="E579" s="92">
        <v>0</v>
      </c>
      <c r="F579" s="79">
        <v>0</v>
      </c>
      <c r="G579" s="79">
        <v>0</v>
      </c>
      <c r="H579" s="92">
        <v>0</v>
      </c>
      <c r="I579" s="79">
        <v>0</v>
      </c>
      <c r="J579" s="398">
        <v>0</v>
      </c>
      <c r="K579" s="79">
        <v>0</v>
      </c>
      <c r="L579" s="92">
        <v>6593875.79</v>
      </c>
      <c r="M579" s="79">
        <v>0</v>
      </c>
      <c r="N579" s="79">
        <v>0</v>
      </c>
      <c r="O579" s="79">
        <v>0</v>
      </c>
      <c r="P579" s="92">
        <v>0</v>
      </c>
      <c r="Q579" s="79">
        <v>0</v>
      </c>
      <c r="R579" s="79">
        <v>161305.42999999999</v>
      </c>
      <c r="S579" s="79">
        <v>0</v>
      </c>
      <c r="T579" s="79">
        <v>0</v>
      </c>
      <c r="U579" s="350"/>
      <c r="V579" s="350"/>
      <c r="W579" s="350"/>
      <c r="X579" s="350"/>
      <c r="Y579" s="350"/>
      <c r="Z579" s="350"/>
      <c r="AA579" s="350"/>
      <c r="AB579" s="350"/>
      <c r="AC579" s="350"/>
      <c r="AD579" s="350"/>
      <c r="AE579" s="350"/>
      <c r="AF579" s="350"/>
      <c r="AG579" s="350"/>
      <c r="AH579" s="350"/>
      <c r="AI579" s="350"/>
    </row>
    <row r="580" s="350" customFormat="1" ht="24.75" customHeight="1">
      <c r="A580" s="33">
        <v>122</v>
      </c>
      <c r="B580" s="52" t="s">
        <v>628</v>
      </c>
      <c r="C580" s="158">
        <f t="shared" si="254"/>
        <v>4886132.3700000001</v>
      </c>
      <c r="D580" s="79">
        <f t="shared" si="255"/>
        <v>0</v>
      </c>
      <c r="E580" s="92">
        <v>0</v>
      </c>
      <c r="F580" s="158">
        <v>0</v>
      </c>
      <c r="G580" s="79">
        <v>0</v>
      </c>
      <c r="H580" s="92">
        <v>0</v>
      </c>
      <c r="I580" s="92">
        <v>0</v>
      </c>
      <c r="J580" s="345">
        <v>0</v>
      </c>
      <c r="K580" s="79">
        <v>0</v>
      </c>
      <c r="L580" s="158">
        <v>4783759.9100000001</v>
      </c>
      <c r="M580" s="79">
        <v>0</v>
      </c>
      <c r="N580" s="158">
        <v>0</v>
      </c>
      <c r="O580" s="79">
        <v>0</v>
      </c>
      <c r="P580" s="92">
        <v>0</v>
      </c>
      <c r="Q580" s="158">
        <v>0</v>
      </c>
      <c r="R580" s="79">
        <v>102372.46000000001</v>
      </c>
      <c r="S580" s="158">
        <v>0</v>
      </c>
      <c r="T580" s="79">
        <v>0</v>
      </c>
      <c r="U580" s="110"/>
      <c r="V580" s="110"/>
      <c r="W580" s="110"/>
      <c r="X580" s="110"/>
      <c r="Y580" s="110"/>
      <c r="Z580" s="110"/>
      <c r="AA580" s="110"/>
      <c r="AB580" s="110"/>
      <c r="AC580" s="110"/>
      <c r="AD580" s="110"/>
      <c r="AE580" s="110"/>
      <c r="AF580" s="110"/>
      <c r="AG580" s="110"/>
      <c r="AH580" s="110"/>
      <c r="AI580" s="110"/>
    </row>
    <row r="581" s="350" customFormat="1" ht="24.75" customHeight="1">
      <c r="A581" s="33">
        <v>123</v>
      </c>
      <c r="B581" s="42" t="s">
        <v>243</v>
      </c>
      <c r="C581" s="79">
        <f t="shared" si="254"/>
        <v>16126293.210000001</v>
      </c>
      <c r="D581" s="79">
        <f t="shared" si="255"/>
        <v>0</v>
      </c>
      <c r="E581" s="92">
        <v>0</v>
      </c>
      <c r="F581" s="79">
        <v>0</v>
      </c>
      <c r="G581" s="79">
        <v>0</v>
      </c>
      <c r="H581" s="92">
        <v>0</v>
      </c>
      <c r="I581" s="79">
        <v>0</v>
      </c>
      <c r="J581" s="398">
        <v>3</v>
      </c>
      <c r="K581" s="79">
        <v>15788421</v>
      </c>
      <c r="L581" s="92">
        <v>0</v>
      </c>
      <c r="M581" s="79">
        <v>0</v>
      </c>
      <c r="N581" s="79">
        <v>0</v>
      </c>
      <c r="O581" s="79">
        <v>0</v>
      </c>
      <c r="P581" s="92">
        <v>0</v>
      </c>
      <c r="Q581" s="79">
        <v>0</v>
      </c>
      <c r="R581" s="79">
        <v>337872.21000000002</v>
      </c>
      <c r="S581" s="79">
        <v>0</v>
      </c>
      <c r="T581" s="79">
        <v>0</v>
      </c>
      <c r="U581" s="350"/>
      <c r="V581" s="350"/>
      <c r="W581" s="350"/>
      <c r="X581" s="350"/>
      <c r="Y581" s="350"/>
      <c r="Z581" s="350"/>
      <c r="AA581" s="350"/>
      <c r="AB581" s="350"/>
      <c r="AC581" s="350"/>
      <c r="AD581" s="350"/>
      <c r="AE581" s="350"/>
    </row>
    <row r="582" s="350" customFormat="1" ht="22.5" customHeight="1">
      <c r="A582" s="33">
        <v>124</v>
      </c>
      <c r="B582" s="42" t="s">
        <v>246</v>
      </c>
      <c r="C582" s="79">
        <f t="shared" si="254"/>
        <v>18034758.48</v>
      </c>
      <c r="D582" s="79">
        <f t="shared" si="255"/>
        <v>0</v>
      </c>
      <c r="E582" s="92">
        <v>0</v>
      </c>
      <c r="F582" s="92">
        <v>0</v>
      </c>
      <c r="G582" s="79">
        <v>0</v>
      </c>
      <c r="H582" s="92">
        <v>0</v>
      </c>
      <c r="I582" s="79">
        <v>0</v>
      </c>
      <c r="J582" s="398">
        <v>0</v>
      </c>
      <c r="K582" s="79">
        <v>0</v>
      </c>
      <c r="L582" s="92">
        <v>17656900.800000001</v>
      </c>
      <c r="M582" s="79">
        <v>0</v>
      </c>
      <c r="N582" s="79">
        <v>0</v>
      </c>
      <c r="O582" s="79">
        <v>0</v>
      </c>
      <c r="P582" s="92">
        <v>0</v>
      </c>
      <c r="Q582" s="79">
        <v>0</v>
      </c>
      <c r="R582" s="79">
        <v>377857.67999999999</v>
      </c>
      <c r="S582" s="79">
        <v>0</v>
      </c>
      <c r="T582" s="79">
        <v>0</v>
      </c>
      <c r="U582" s="350"/>
      <c r="V582" s="350"/>
      <c r="W582" s="350"/>
      <c r="X582" s="350"/>
      <c r="Y582" s="350"/>
      <c r="Z582" s="350"/>
      <c r="AA582" s="350"/>
      <c r="AB582" s="350"/>
      <c r="AC582" s="350"/>
      <c r="AD582" s="350"/>
      <c r="AE582" s="350"/>
    </row>
    <row r="583" s="350" customFormat="1" ht="22.5" customHeight="1">
      <c r="A583" s="33">
        <v>125</v>
      </c>
      <c r="B583" s="42" t="s">
        <v>1220</v>
      </c>
      <c r="C583" s="79">
        <f t="shared" si="254"/>
        <v>265594</v>
      </c>
      <c r="D583" s="79">
        <f t="shared" si="255"/>
        <v>0</v>
      </c>
      <c r="E583" s="92">
        <v>0</v>
      </c>
      <c r="F583" s="92">
        <v>0</v>
      </c>
      <c r="G583" s="79">
        <v>0</v>
      </c>
      <c r="H583" s="92">
        <v>0</v>
      </c>
      <c r="I583" s="79">
        <v>0</v>
      </c>
      <c r="J583" s="398">
        <v>0</v>
      </c>
      <c r="K583" s="79">
        <v>0</v>
      </c>
      <c r="L583" s="92">
        <v>0</v>
      </c>
      <c r="M583" s="79">
        <v>0</v>
      </c>
      <c r="N583" s="79">
        <v>0</v>
      </c>
      <c r="O583" s="79">
        <v>0</v>
      </c>
      <c r="P583" s="92">
        <v>265594</v>
      </c>
      <c r="Q583" s="79">
        <v>0</v>
      </c>
      <c r="R583" s="79">
        <v>0</v>
      </c>
      <c r="S583" s="79">
        <v>0</v>
      </c>
      <c r="T583" s="79">
        <v>0</v>
      </c>
      <c r="U583" s="350"/>
      <c r="V583" s="350"/>
      <c r="W583" s="350"/>
      <c r="X583" s="350"/>
      <c r="Y583" s="350"/>
      <c r="Z583" s="350"/>
      <c r="AA583" s="350"/>
      <c r="AB583" s="350"/>
      <c r="AC583" s="350"/>
      <c r="AD583" s="350"/>
      <c r="AE583" s="350"/>
    </row>
    <row r="584" s="350" customFormat="1" ht="22.5" customHeight="1">
      <c r="A584" s="33">
        <v>126</v>
      </c>
      <c r="B584" s="42" t="s">
        <v>1221</v>
      </c>
      <c r="C584" s="79">
        <f t="shared" si="254"/>
        <v>23768737.870000001</v>
      </c>
      <c r="D584" s="79">
        <f t="shared" si="255"/>
        <v>0</v>
      </c>
      <c r="E584" s="92">
        <v>0</v>
      </c>
      <c r="F584" s="92">
        <v>0</v>
      </c>
      <c r="G584" s="79">
        <v>0</v>
      </c>
      <c r="H584" s="92">
        <v>0</v>
      </c>
      <c r="I584" s="79">
        <v>0</v>
      </c>
      <c r="J584" s="398">
        <v>0</v>
      </c>
      <c r="K584" s="79">
        <v>0</v>
      </c>
      <c r="L584" s="92">
        <v>22584662.100000001</v>
      </c>
      <c r="M584" s="79">
        <v>0</v>
      </c>
      <c r="N584" s="79">
        <v>0</v>
      </c>
      <c r="O584" s="79">
        <v>0</v>
      </c>
      <c r="P584" s="92">
        <f>350382+350382</f>
        <v>700764</v>
      </c>
      <c r="Q584" s="79">
        <v>0</v>
      </c>
      <c r="R584" s="79">
        <v>483311.77000000002</v>
      </c>
      <c r="S584" s="79">
        <v>0</v>
      </c>
      <c r="T584" s="79">
        <v>0</v>
      </c>
      <c r="U584" s="399"/>
      <c r="V584" s="399"/>
      <c r="W584" s="399"/>
      <c r="X584" s="399"/>
      <c r="Y584" s="399"/>
      <c r="Z584" s="399"/>
      <c r="AA584" s="399"/>
      <c r="AB584" s="399"/>
      <c r="AC584" s="399"/>
      <c r="AD584" s="399"/>
      <c r="AE584" s="399"/>
      <c r="AF584" s="350"/>
      <c r="AG584" s="350"/>
      <c r="AH584" s="350"/>
      <c r="AI584" s="350"/>
    </row>
    <row r="585" s="350" customFormat="1" ht="22.5" customHeight="1">
      <c r="A585" s="33">
        <v>127</v>
      </c>
      <c r="B585" s="42" t="s">
        <v>248</v>
      </c>
      <c r="C585" s="158">
        <f t="shared" si="254"/>
        <v>21835761.299999997</v>
      </c>
      <c r="D585" s="79">
        <f t="shared" si="255"/>
        <v>0</v>
      </c>
      <c r="E585" s="92">
        <v>0</v>
      </c>
      <c r="F585" s="158">
        <v>0</v>
      </c>
      <c r="G585" s="79">
        <v>0</v>
      </c>
      <c r="H585" s="92">
        <v>0</v>
      </c>
      <c r="I585" s="158">
        <v>0</v>
      </c>
      <c r="J585" s="398">
        <v>0</v>
      </c>
      <c r="K585" s="158">
        <v>0</v>
      </c>
      <c r="L585" s="92">
        <v>21378266.399999999</v>
      </c>
      <c r="M585" s="158">
        <v>0</v>
      </c>
      <c r="N585" s="79">
        <v>0</v>
      </c>
      <c r="O585" s="158">
        <v>0</v>
      </c>
      <c r="P585" s="92">
        <v>0</v>
      </c>
      <c r="Q585" s="158">
        <v>0</v>
      </c>
      <c r="R585" s="79">
        <v>457494.90000000002</v>
      </c>
      <c r="S585" s="158">
        <v>0</v>
      </c>
      <c r="T585" s="79">
        <v>0</v>
      </c>
      <c r="U585" s="110"/>
      <c r="V585" s="110"/>
      <c r="W585" s="110"/>
      <c r="X585" s="110"/>
      <c r="Y585" s="110"/>
      <c r="Z585" s="110"/>
      <c r="AA585" s="110"/>
      <c r="AB585" s="110"/>
      <c r="AC585" s="110"/>
      <c r="AD585" s="110"/>
      <c r="AE585" s="110"/>
      <c r="AF585" s="110"/>
      <c r="AG585" s="110"/>
      <c r="AH585" s="110"/>
      <c r="AI585" s="110"/>
    </row>
    <row r="586" s="60" customFormat="1" ht="22.5" customHeight="1">
      <c r="A586" s="33">
        <v>128</v>
      </c>
      <c r="B586" s="42" t="s">
        <v>1222</v>
      </c>
      <c r="C586" s="79">
        <f t="shared" si="254"/>
        <v>25367756.629999995</v>
      </c>
      <c r="D586" s="79">
        <f t="shared" si="255"/>
        <v>24150178.799999997</v>
      </c>
      <c r="E586" s="92">
        <v>10866517.199999999</v>
      </c>
      <c r="F586" s="79">
        <v>13283661.6</v>
      </c>
      <c r="G586" s="79">
        <v>0</v>
      </c>
      <c r="H586" s="92">
        <v>0</v>
      </c>
      <c r="I586" s="79">
        <v>0</v>
      </c>
      <c r="J586" s="398">
        <v>0</v>
      </c>
      <c r="K586" s="79">
        <v>0</v>
      </c>
      <c r="L586" s="79">
        <v>0</v>
      </c>
      <c r="M586" s="79">
        <v>0</v>
      </c>
      <c r="N586" s="92">
        <v>0</v>
      </c>
      <c r="O586" s="79">
        <v>0</v>
      </c>
      <c r="P586" s="92">
        <f>350382+350382</f>
        <v>700764</v>
      </c>
      <c r="Q586" s="79">
        <v>0</v>
      </c>
      <c r="R586" s="79">
        <f>284270.36+232543.47</f>
        <v>516813.82999999996</v>
      </c>
      <c r="S586" s="79">
        <v>0</v>
      </c>
      <c r="T586" s="79">
        <v>0</v>
      </c>
      <c r="U586" s="60"/>
      <c r="V586" s="60"/>
      <c r="W586" s="60"/>
      <c r="X586" s="60"/>
      <c r="Y586" s="60"/>
      <c r="Z586" s="60"/>
      <c r="AA586" s="60"/>
      <c r="AB586" s="60"/>
      <c r="AC586" s="60"/>
      <c r="AD586" s="60"/>
      <c r="AE586" s="60"/>
    </row>
    <row r="587" s="60" customFormat="1" ht="24.75" customHeight="1">
      <c r="A587" s="33">
        <v>129</v>
      </c>
      <c r="B587" s="42" t="s">
        <v>249</v>
      </c>
      <c r="C587" s="79">
        <f t="shared" ref="C587:C629" si="256">D587+K587+L587+M587+N587+O587+P587+Q587+R587+S587+T587</f>
        <v>13119684.439999999</v>
      </c>
      <c r="D587" s="79">
        <f t="shared" ref="D587:D629" si="257">SUM(E587:I587)</f>
        <v>0</v>
      </c>
      <c r="E587" s="92">
        <v>0</v>
      </c>
      <c r="F587" s="79">
        <v>0</v>
      </c>
      <c r="G587" s="79">
        <v>0</v>
      </c>
      <c r="H587" s="92">
        <v>0</v>
      </c>
      <c r="I587" s="79">
        <v>0</v>
      </c>
      <c r="J587" s="398">
        <v>0</v>
      </c>
      <c r="K587" s="79">
        <v>0</v>
      </c>
      <c r="L587" s="79">
        <v>0</v>
      </c>
      <c r="M587" s="79">
        <v>0</v>
      </c>
      <c r="N587" s="92">
        <v>12844805.6</v>
      </c>
      <c r="O587" s="79">
        <v>0</v>
      </c>
      <c r="P587" s="92">
        <v>0</v>
      </c>
      <c r="Q587" s="79">
        <v>0</v>
      </c>
      <c r="R587" s="79">
        <v>274878.84000000003</v>
      </c>
      <c r="S587" s="79">
        <v>0</v>
      </c>
      <c r="T587" s="79">
        <v>0</v>
      </c>
      <c r="U587" s="60"/>
      <c r="V587" s="60"/>
      <c r="W587" s="60"/>
      <c r="X587" s="60"/>
      <c r="Y587" s="60"/>
      <c r="Z587" s="60"/>
      <c r="AA587" s="60"/>
      <c r="AB587" s="60"/>
      <c r="AC587" s="60"/>
      <c r="AD587" s="60"/>
      <c r="AE587" s="60"/>
    </row>
    <row r="588" s="60" customFormat="1" ht="24.75" customHeight="1">
      <c r="A588" s="33">
        <v>130</v>
      </c>
      <c r="B588" s="42" t="s">
        <v>253</v>
      </c>
      <c r="C588" s="79">
        <f t="shared" si="256"/>
        <v>8575163.8000000007</v>
      </c>
      <c r="D588" s="79">
        <f t="shared" si="257"/>
        <v>0</v>
      </c>
      <c r="E588" s="92">
        <v>0</v>
      </c>
      <c r="F588" s="79">
        <v>0</v>
      </c>
      <c r="G588" s="79">
        <v>0</v>
      </c>
      <c r="H588" s="92">
        <v>0</v>
      </c>
      <c r="I588" s="79">
        <v>0</v>
      </c>
      <c r="J588" s="398">
        <v>0</v>
      </c>
      <c r="K588" s="79">
        <v>0</v>
      </c>
      <c r="L588" s="92">
        <v>0</v>
      </c>
      <c r="M588" s="79">
        <v>0</v>
      </c>
      <c r="N588" s="92">
        <v>8575163.8000000007</v>
      </c>
      <c r="O588" s="79">
        <v>0</v>
      </c>
      <c r="P588" s="79">
        <v>0</v>
      </c>
      <c r="Q588" s="79">
        <v>0</v>
      </c>
      <c r="R588" s="79">
        <v>0</v>
      </c>
      <c r="S588" s="79">
        <v>0</v>
      </c>
      <c r="T588" s="79">
        <v>0</v>
      </c>
      <c r="U588" s="60"/>
      <c r="V588" s="60"/>
      <c r="W588" s="60"/>
      <c r="X588" s="60"/>
      <c r="Y588" s="60"/>
      <c r="Z588" s="60"/>
      <c r="AA588" s="60"/>
      <c r="AB588" s="60"/>
      <c r="AC588" s="60"/>
      <c r="AD588" s="60"/>
      <c r="AE588" s="60"/>
    </row>
    <row r="589" s="54" customFormat="1" ht="22.5" customHeight="1">
      <c r="A589" s="33">
        <v>131</v>
      </c>
      <c r="B589" s="42" t="s">
        <v>255</v>
      </c>
      <c r="C589" s="79">
        <f t="shared" si="256"/>
        <v>14643675.439999999</v>
      </c>
      <c r="D589" s="79">
        <f t="shared" si="257"/>
        <v>0</v>
      </c>
      <c r="E589" s="92">
        <v>0</v>
      </c>
      <c r="F589" s="79">
        <v>0</v>
      </c>
      <c r="G589" s="79">
        <v>0</v>
      </c>
      <c r="H589" s="92">
        <v>0</v>
      </c>
      <c r="I589" s="92">
        <v>0</v>
      </c>
      <c r="J589" s="398">
        <v>0</v>
      </c>
      <c r="K589" s="79">
        <v>0</v>
      </c>
      <c r="L589" s="92">
        <v>14336866.5</v>
      </c>
      <c r="M589" s="79">
        <v>0</v>
      </c>
      <c r="N589" s="92">
        <v>0</v>
      </c>
      <c r="O589" s="79">
        <v>0</v>
      </c>
      <c r="P589" s="92">
        <v>0</v>
      </c>
      <c r="Q589" s="79">
        <v>0</v>
      </c>
      <c r="R589" s="79">
        <v>306808.94</v>
      </c>
      <c r="S589" s="79">
        <v>0</v>
      </c>
      <c r="T589" s="79">
        <v>0</v>
      </c>
      <c r="U589" s="54"/>
      <c r="V589" s="54"/>
      <c r="W589" s="54"/>
      <c r="X589" s="54"/>
      <c r="Y589" s="54"/>
      <c r="Z589" s="54"/>
      <c r="AA589" s="54"/>
      <c r="AB589" s="54"/>
      <c r="AC589" s="54"/>
      <c r="AD589" s="54"/>
      <c r="AE589" s="54"/>
      <c r="AF589" s="54"/>
      <c r="AG589" s="54"/>
      <c r="AH589" s="54"/>
      <c r="AI589" s="54"/>
    </row>
    <row r="590" s="54" customFormat="1" ht="22.5" customHeight="1">
      <c r="A590" s="33">
        <v>132</v>
      </c>
      <c r="B590" s="42" t="s">
        <v>256</v>
      </c>
      <c r="C590" s="79">
        <f t="shared" si="256"/>
        <v>8311834.1399999997</v>
      </c>
      <c r="D590" s="79">
        <f t="shared" si="257"/>
        <v>0</v>
      </c>
      <c r="E590" s="92">
        <v>0</v>
      </c>
      <c r="F590" s="79">
        <v>0</v>
      </c>
      <c r="G590" s="79">
        <v>0</v>
      </c>
      <c r="H590" s="92">
        <v>0</v>
      </c>
      <c r="I590" s="79">
        <v>0</v>
      </c>
      <c r="J590" s="398">
        <v>0</v>
      </c>
      <c r="K590" s="79">
        <v>0</v>
      </c>
      <c r="L590" s="92">
        <v>8050242.0800000001</v>
      </c>
      <c r="M590" s="79">
        <v>0</v>
      </c>
      <c r="N590" s="79">
        <v>0</v>
      </c>
      <c r="O590" s="79">
        <v>0</v>
      </c>
      <c r="P590" s="79">
        <v>0</v>
      </c>
      <c r="Q590" s="79">
        <v>0</v>
      </c>
      <c r="R590" s="79">
        <v>261592.06</v>
      </c>
      <c r="S590" s="79">
        <v>0</v>
      </c>
      <c r="T590" s="79">
        <v>0</v>
      </c>
      <c r="U590" s="54"/>
      <c r="V590" s="54"/>
      <c r="W590" s="54"/>
      <c r="X590" s="54"/>
      <c r="Y590" s="54"/>
      <c r="Z590" s="54"/>
      <c r="AA590" s="54"/>
      <c r="AB590" s="54"/>
      <c r="AC590" s="54"/>
      <c r="AD590" s="54"/>
      <c r="AE590" s="54"/>
      <c r="AF590" s="54"/>
      <c r="AG590" s="54"/>
      <c r="AH590" s="54"/>
      <c r="AI590" s="54"/>
    </row>
    <row r="591" s="54" customFormat="1" ht="22.5" customHeight="1">
      <c r="A591" s="33">
        <v>133</v>
      </c>
      <c r="B591" s="42" t="s">
        <v>1223</v>
      </c>
      <c r="C591" s="79">
        <f t="shared" si="256"/>
        <v>3729108.6899999999</v>
      </c>
      <c r="D591" s="79">
        <f t="shared" si="257"/>
        <v>3130920</v>
      </c>
      <c r="E591" s="92">
        <v>0</v>
      </c>
      <c r="F591" s="92">
        <v>1631448</v>
      </c>
      <c r="G591" s="92">
        <v>523972.80000000005</v>
      </c>
      <c r="H591" s="92">
        <v>328536</v>
      </c>
      <c r="I591" s="92">
        <v>646963.20000000007</v>
      </c>
      <c r="J591" s="398">
        <v>0</v>
      </c>
      <c r="K591" s="79">
        <v>0</v>
      </c>
      <c r="L591" s="79">
        <v>0</v>
      </c>
      <c r="M591" s="79">
        <v>0</v>
      </c>
      <c r="N591" s="79">
        <v>0</v>
      </c>
      <c r="O591" s="79">
        <v>0</v>
      </c>
      <c r="P591" s="92">
        <f>265594+265594</f>
        <v>531188</v>
      </c>
      <c r="Q591" s="79">
        <v>0</v>
      </c>
      <c r="R591" s="79">
        <f>13845.01+11212.02+7030.67+34912.99</f>
        <v>67000.690000000002</v>
      </c>
      <c r="S591" s="79">
        <v>0</v>
      </c>
      <c r="T591" s="79">
        <v>0</v>
      </c>
      <c r="U591" s="54"/>
      <c r="V591" s="54"/>
      <c r="W591" s="54"/>
      <c r="X591" s="54"/>
      <c r="Y591" s="54"/>
      <c r="Z591" s="54"/>
      <c r="AA591" s="54"/>
      <c r="AB591" s="54"/>
      <c r="AC591" s="54"/>
      <c r="AD591" s="54"/>
      <c r="AE591" s="54"/>
      <c r="AF591" s="54"/>
      <c r="AG591" s="54"/>
      <c r="AH591" s="54"/>
      <c r="AI591" s="54"/>
    </row>
    <row r="592" s="54" customFormat="1" ht="22.5" customHeight="1">
      <c r="A592" s="33">
        <v>134</v>
      </c>
      <c r="B592" s="53" t="s">
        <v>260</v>
      </c>
      <c r="C592" s="158">
        <f t="shared" si="256"/>
        <v>15385557.889999999</v>
      </c>
      <c r="D592" s="79">
        <f t="shared" si="257"/>
        <v>0</v>
      </c>
      <c r="E592" s="92">
        <v>0</v>
      </c>
      <c r="F592" s="158">
        <v>0</v>
      </c>
      <c r="G592" s="79">
        <v>0</v>
      </c>
      <c r="H592" s="92">
        <v>0</v>
      </c>
      <c r="I592" s="158">
        <v>0</v>
      </c>
      <c r="J592" s="398">
        <v>0</v>
      </c>
      <c r="K592" s="158">
        <v>0</v>
      </c>
      <c r="L592" s="92">
        <v>15063205.299999999</v>
      </c>
      <c r="M592" s="158">
        <v>0</v>
      </c>
      <c r="N592" s="79">
        <v>0</v>
      </c>
      <c r="O592" s="158">
        <v>0</v>
      </c>
      <c r="P592" s="92">
        <v>0</v>
      </c>
      <c r="Q592" s="158">
        <v>0</v>
      </c>
      <c r="R592" s="79">
        <v>322352.59000000003</v>
      </c>
      <c r="S592" s="79">
        <v>0</v>
      </c>
      <c r="T592" s="79">
        <v>0</v>
      </c>
      <c r="U592" s="110"/>
      <c r="V592" s="110"/>
      <c r="W592" s="110"/>
      <c r="X592" s="110"/>
      <c r="Y592" s="110"/>
      <c r="Z592" s="110"/>
      <c r="AA592" s="110"/>
      <c r="AB592" s="110"/>
      <c r="AC592" s="110"/>
      <c r="AD592" s="110"/>
      <c r="AE592" s="110"/>
      <c r="AF592" s="110"/>
      <c r="AG592" s="110"/>
      <c r="AH592" s="110"/>
      <c r="AI592" s="110"/>
    </row>
    <row r="593" s="438" customFormat="1" ht="22.5" customHeight="1">
      <c r="A593" s="33">
        <v>135</v>
      </c>
      <c r="B593" s="53" t="s">
        <v>262</v>
      </c>
      <c r="C593" s="79">
        <f t="shared" si="256"/>
        <v>16048707.51</v>
      </c>
      <c r="D593" s="79">
        <f t="shared" si="257"/>
        <v>0</v>
      </c>
      <c r="E593" s="92">
        <v>0</v>
      </c>
      <c r="F593" s="79">
        <v>0</v>
      </c>
      <c r="G593" s="79">
        <v>0</v>
      </c>
      <c r="H593" s="92">
        <v>0</v>
      </c>
      <c r="I593" s="79">
        <v>0</v>
      </c>
      <c r="J593" s="398">
        <v>0</v>
      </c>
      <c r="K593" s="79">
        <v>0</v>
      </c>
      <c r="L593" s="92">
        <v>0</v>
      </c>
      <c r="M593" s="79">
        <v>0</v>
      </c>
      <c r="N593" s="79">
        <v>0</v>
      </c>
      <c r="O593" s="79">
        <v>0</v>
      </c>
      <c r="P593" s="92">
        <v>0</v>
      </c>
      <c r="Q593" s="79">
        <v>0</v>
      </c>
      <c r="R593" s="79">
        <v>336246.65999999997</v>
      </c>
      <c r="S593" s="79">
        <v>15712460.85</v>
      </c>
      <c r="T593" s="79">
        <v>0</v>
      </c>
      <c r="U593" s="438"/>
      <c r="V593" s="438"/>
      <c r="W593" s="438"/>
      <c r="X593" s="438"/>
      <c r="Y593" s="438"/>
      <c r="Z593" s="438"/>
      <c r="AA593" s="438"/>
      <c r="AB593" s="438"/>
      <c r="AC593" s="438"/>
      <c r="AD593" s="438"/>
      <c r="AE593" s="438"/>
      <c r="AF593" s="438"/>
      <c r="AG593" s="438"/>
      <c r="AH593" s="438"/>
      <c r="AI593" s="438"/>
    </row>
    <row r="594" s="31" customFormat="1" ht="22.199999999999999" customHeight="1">
      <c r="A594" s="33">
        <v>136</v>
      </c>
      <c r="B594" s="42" t="s">
        <v>267</v>
      </c>
      <c r="C594" s="79">
        <f t="shared" si="256"/>
        <v>19654123.420000002</v>
      </c>
      <c r="D594" s="79">
        <f t="shared" si="257"/>
        <v>0</v>
      </c>
      <c r="E594" s="92">
        <v>0</v>
      </c>
      <c r="F594" s="79">
        <v>0</v>
      </c>
      <c r="G594" s="79">
        <v>0</v>
      </c>
      <c r="H594" s="92">
        <v>0</v>
      </c>
      <c r="I594" s="79">
        <v>0</v>
      </c>
      <c r="J594" s="398">
        <v>0</v>
      </c>
      <c r="K594" s="79">
        <v>0</v>
      </c>
      <c r="L594" s="79">
        <v>0</v>
      </c>
      <c r="M594" s="79">
        <v>0</v>
      </c>
      <c r="N594" s="92">
        <v>19242337.400000002</v>
      </c>
      <c r="O594" s="79">
        <v>0</v>
      </c>
      <c r="P594" s="92">
        <v>0</v>
      </c>
      <c r="Q594" s="79">
        <v>0</v>
      </c>
      <c r="R594" s="79">
        <v>411786.02000000002</v>
      </c>
      <c r="S594" s="79">
        <v>0</v>
      </c>
      <c r="T594" s="79">
        <v>0</v>
      </c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</row>
    <row r="595" s="60" customFormat="1" ht="22.199999999999999" customHeight="1">
      <c r="A595" s="33">
        <v>137</v>
      </c>
      <c r="B595" s="42" t="s">
        <v>270</v>
      </c>
      <c r="C595" s="79">
        <f t="shared" si="256"/>
        <v>6512253.1500000004</v>
      </c>
      <c r="D595" s="79">
        <f t="shared" si="257"/>
        <v>6512253.1500000004</v>
      </c>
      <c r="E595" s="92">
        <v>0</v>
      </c>
      <c r="F595" s="92">
        <v>6512253.1500000004</v>
      </c>
      <c r="G595" s="79">
        <v>0</v>
      </c>
      <c r="H595" s="92">
        <v>0</v>
      </c>
      <c r="I595" s="79">
        <v>0</v>
      </c>
      <c r="J595" s="398">
        <v>0</v>
      </c>
      <c r="K595" s="79">
        <v>0</v>
      </c>
      <c r="L595" s="79">
        <v>0</v>
      </c>
      <c r="M595" s="79">
        <v>0</v>
      </c>
      <c r="N595" s="92">
        <v>0</v>
      </c>
      <c r="O595" s="79">
        <v>0</v>
      </c>
      <c r="P595" s="92">
        <v>0</v>
      </c>
      <c r="Q595" s="79">
        <v>0</v>
      </c>
      <c r="R595" s="79">
        <v>0</v>
      </c>
      <c r="S595" s="79">
        <v>0</v>
      </c>
      <c r="T595" s="79">
        <v>0</v>
      </c>
      <c r="U595" s="60"/>
      <c r="V595" s="60"/>
      <c r="W595" s="60"/>
      <c r="X595" s="60"/>
      <c r="Y595" s="60"/>
      <c r="Z595" s="60"/>
      <c r="AA595" s="60"/>
      <c r="AB595" s="60"/>
      <c r="AC595" s="60"/>
      <c r="AD595" s="60"/>
      <c r="AE595" s="60"/>
    </row>
    <row r="596" s="60" customFormat="1" ht="22.199999999999999" customHeight="1">
      <c r="A596" s="33">
        <v>138</v>
      </c>
      <c r="B596" s="42" t="s">
        <v>1224</v>
      </c>
      <c r="C596" s="79">
        <f t="shared" si="256"/>
        <v>38192079.560000002</v>
      </c>
      <c r="D596" s="79">
        <f t="shared" si="257"/>
        <v>8353623.5999999996</v>
      </c>
      <c r="E596" s="92">
        <v>8353623.5999999996</v>
      </c>
      <c r="F596" s="92">
        <v>0</v>
      </c>
      <c r="G596" s="79">
        <v>0</v>
      </c>
      <c r="H596" s="92">
        <v>0</v>
      </c>
      <c r="I596" s="79">
        <v>0</v>
      </c>
      <c r="J596" s="398">
        <v>0</v>
      </c>
      <c r="K596" s="79">
        <v>0</v>
      </c>
      <c r="L596" s="79">
        <v>28352187.600000001</v>
      </c>
      <c r="M596" s="79">
        <v>0</v>
      </c>
      <c r="N596" s="92">
        <v>0</v>
      </c>
      <c r="O596" s="79">
        <v>0</v>
      </c>
      <c r="P596" s="92">
        <f>350382+350382</f>
        <v>700764</v>
      </c>
      <c r="Q596" s="79">
        <v>0</v>
      </c>
      <c r="R596" s="79">
        <f>606736.81+178767.55</f>
        <v>785504.3600000001</v>
      </c>
      <c r="S596" s="79">
        <v>0</v>
      </c>
      <c r="T596" s="79">
        <v>0</v>
      </c>
      <c r="U596" s="59"/>
      <c r="V596" s="59"/>
      <c r="W596" s="59"/>
      <c r="X596" s="59"/>
      <c r="Y596" s="59"/>
      <c r="Z596" s="59"/>
      <c r="AA596" s="59"/>
      <c r="AB596" s="59"/>
      <c r="AC596" s="59"/>
      <c r="AD596" s="59"/>
      <c r="AE596" s="59"/>
    </row>
    <row r="597" s="60" customFormat="1" ht="22.199999999999999" customHeight="1">
      <c r="A597" s="33">
        <v>139</v>
      </c>
      <c r="B597" s="42" t="s">
        <v>1225</v>
      </c>
      <c r="C597" s="79">
        <f t="shared" si="256"/>
        <v>36611545.720000006</v>
      </c>
      <c r="D597" s="79">
        <f t="shared" si="257"/>
        <v>0</v>
      </c>
      <c r="E597" s="92">
        <v>0</v>
      </c>
      <c r="F597" s="92">
        <v>0</v>
      </c>
      <c r="G597" s="79">
        <v>0</v>
      </c>
      <c r="H597" s="92">
        <v>0</v>
      </c>
      <c r="I597" s="79">
        <v>0</v>
      </c>
      <c r="J597" s="398">
        <v>0</v>
      </c>
      <c r="K597" s="79">
        <v>0</v>
      </c>
      <c r="L597" s="79">
        <v>34815351.200000003</v>
      </c>
      <c r="M597" s="79">
        <v>0</v>
      </c>
      <c r="N597" s="92">
        <v>0</v>
      </c>
      <c r="O597" s="79">
        <v>0</v>
      </c>
      <c r="P597" s="92">
        <f>350382+350382+350382</f>
        <v>1051146</v>
      </c>
      <c r="Q597" s="79">
        <v>0</v>
      </c>
      <c r="R597" s="79">
        <v>745048.52000000002</v>
      </c>
      <c r="S597" s="79">
        <v>0</v>
      </c>
      <c r="T597" s="79">
        <v>0</v>
      </c>
      <c r="U597" s="59"/>
      <c r="V597" s="59"/>
      <c r="W597" s="59"/>
      <c r="X597" s="59"/>
      <c r="Y597" s="59"/>
      <c r="Z597" s="59"/>
      <c r="AA597" s="59"/>
      <c r="AB597" s="59"/>
      <c r="AC597" s="59"/>
      <c r="AD597" s="59"/>
      <c r="AE597" s="59"/>
    </row>
    <row r="598" s="60" customFormat="1" ht="22.199999999999999" customHeight="1">
      <c r="A598" s="33">
        <v>140</v>
      </c>
      <c r="B598" s="42" t="s">
        <v>273</v>
      </c>
      <c r="C598" s="79">
        <f t="shared" si="256"/>
        <v>11028620.4</v>
      </c>
      <c r="D598" s="79">
        <f t="shared" si="257"/>
        <v>0</v>
      </c>
      <c r="E598" s="92">
        <v>0</v>
      </c>
      <c r="F598" s="79">
        <v>0</v>
      </c>
      <c r="G598" s="92">
        <v>0</v>
      </c>
      <c r="H598" s="92">
        <v>0</v>
      </c>
      <c r="I598" s="79">
        <v>0</v>
      </c>
      <c r="J598" s="398">
        <v>0</v>
      </c>
      <c r="K598" s="79">
        <v>0</v>
      </c>
      <c r="L598" s="79">
        <v>0</v>
      </c>
      <c r="M598" s="79">
        <v>0</v>
      </c>
      <c r="N598" s="79">
        <v>11028620.4</v>
      </c>
      <c r="O598" s="79">
        <v>0</v>
      </c>
      <c r="P598" s="79">
        <v>0</v>
      </c>
      <c r="Q598" s="79">
        <v>0</v>
      </c>
      <c r="R598" s="79">
        <v>0</v>
      </c>
      <c r="S598" s="79">
        <v>0</v>
      </c>
      <c r="T598" s="79">
        <v>0</v>
      </c>
      <c r="U598" s="60"/>
      <c r="V598" s="60"/>
      <c r="W598" s="60"/>
      <c r="X598" s="60"/>
      <c r="Y598" s="60"/>
      <c r="Z598" s="60"/>
      <c r="AA598" s="60"/>
      <c r="AB598" s="60"/>
      <c r="AC598" s="60"/>
      <c r="AD598" s="60"/>
      <c r="AE598" s="60"/>
    </row>
    <row r="599" s="350" customFormat="1" ht="22.199999999999999" customHeight="1">
      <c r="A599" s="33">
        <v>141</v>
      </c>
      <c r="B599" s="42" t="s">
        <v>274</v>
      </c>
      <c r="C599" s="79">
        <f t="shared" si="256"/>
        <v>5352624.2300000004</v>
      </c>
      <c r="D599" s="79">
        <f t="shared" si="257"/>
        <v>0</v>
      </c>
      <c r="E599" s="92">
        <v>0</v>
      </c>
      <c r="F599" s="79">
        <v>0</v>
      </c>
      <c r="G599" s="79">
        <v>0</v>
      </c>
      <c r="H599" s="92">
        <v>0</v>
      </c>
      <c r="I599" s="79">
        <v>0</v>
      </c>
      <c r="J599" s="398">
        <v>0</v>
      </c>
      <c r="K599" s="79">
        <v>0</v>
      </c>
      <c r="L599" s="92">
        <v>5240478</v>
      </c>
      <c r="M599" s="79">
        <v>0</v>
      </c>
      <c r="N599" s="79">
        <v>0</v>
      </c>
      <c r="O599" s="79">
        <v>0</v>
      </c>
      <c r="P599" s="92">
        <v>0</v>
      </c>
      <c r="Q599" s="79">
        <v>0</v>
      </c>
      <c r="R599" s="79">
        <v>112146.23</v>
      </c>
      <c r="S599" s="79">
        <v>0</v>
      </c>
      <c r="T599" s="79">
        <v>0</v>
      </c>
      <c r="U599" s="350"/>
      <c r="V599" s="350"/>
      <c r="W599" s="350"/>
      <c r="X599" s="350"/>
      <c r="Y599" s="350"/>
      <c r="Z599" s="350"/>
      <c r="AA599" s="350"/>
      <c r="AB599" s="350"/>
      <c r="AC599" s="350"/>
      <c r="AD599" s="350"/>
      <c r="AE599" s="350"/>
    </row>
    <row r="600" s="350" customFormat="1" ht="22.5" customHeight="1">
      <c r="A600" s="33">
        <v>142</v>
      </c>
      <c r="B600" s="42" t="s">
        <v>1226</v>
      </c>
      <c r="C600" s="79">
        <f t="shared" si="256"/>
        <v>1007730.5399999999</v>
      </c>
      <c r="D600" s="79">
        <f t="shared" si="257"/>
        <v>466558.20000000001</v>
      </c>
      <c r="E600" s="92">
        <v>0</v>
      </c>
      <c r="F600" s="92">
        <v>0</v>
      </c>
      <c r="G600" s="79">
        <v>0</v>
      </c>
      <c r="H600" s="92">
        <v>157131</v>
      </c>
      <c r="I600" s="92">
        <v>309427.20000000001</v>
      </c>
      <c r="J600" s="398">
        <v>0</v>
      </c>
      <c r="K600" s="79">
        <v>0</v>
      </c>
      <c r="L600" s="79">
        <v>0</v>
      </c>
      <c r="M600" s="79">
        <v>0</v>
      </c>
      <c r="N600" s="79">
        <v>0</v>
      </c>
      <c r="O600" s="79">
        <v>0</v>
      </c>
      <c r="P600" s="92">
        <f>265594+265594</f>
        <v>531188</v>
      </c>
      <c r="Q600" s="79">
        <v>0</v>
      </c>
      <c r="R600" s="79">
        <f>6621.74+3362.6</f>
        <v>9984.3400000000001</v>
      </c>
      <c r="S600" s="79">
        <v>0</v>
      </c>
      <c r="T600" s="79">
        <v>0</v>
      </c>
      <c r="U600" s="350"/>
      <c r="V600" s="350"/>
      <c r="W600" s="350"/>
      <c r="X600" s="350"/>
      <c r="Y600" s="350"/>
      <c r="Z600" s="350"/>
      <c r="AA600" s="350"/>
      <c r="AB600" s="350"/>
      <c r="AC600" s="350"/>
      <c r="AD600" s="350"/>
      <c r="AE600" s="350"/>
    </row>
    <row r="601" s="350" customFormat="1" ht="22.5" customHeight="1">
      <c r="A601" s="33">
        <v>143</v>
      </c>
      <c r="B601" s="42" t="s">
        <v>276</v>
      </c>
      <c r="C601" s="79">
        <f t="shared" si="256"/>
        <v>8053367.71</v>
      </c>
      <c r="D601" s="79">
        <f t="shared" si="257"/>
        <v>8053367.71</v>
      </c>
      <c r="E601" s="92">
        <v>0</v>
      </c>
      <c r="F601" s="92">
        <v>8053367.71</v>
      </c>
      <c r="G601" s="79">
        <v>0</v>
      </c>
      <c r="H601" s="92">
        <v>0</v>
      </c>
      <c r="I601" s="79">
        <v>0</v>
      </c>
      <c r="J601" s="398">
        <v>0</v>
      </c>
      <c r="K601" s="79">
        <v>0</v>
      </c>
      <c r="L601" s="79">
        <v>0</v>
      </c>
      <c r="M601" s="79">
        <v>0</v>
      </c>
      <c r="N601" s="79">
        <v>0</v>
      </c>
      <c r="O601" s="79">
        <v>0</v>
      </c>
      <c r="P601" s="92">
        <v>0</v>
      </c>
      <c r="Q601" s="79">
        <v>0</v>
      </c>
      <c r="R601" s="79">
        <v>0</v>
      </c>
      <c r="S601" s="79">
        <v>0</v>
      </c>
      <c r="T601" s="79">
        <v>0</v>
      </c>
      <c r="U601" s="350"/>
      <c r="V601" s="350"/>
      <c r="W601" s="350"/>
      <c r="X601" s="350"/>
      <c r="Y601" s="350"/>
      <c r="Z601" s="350"/>
      <c r="AA601" s="350"/>
      <c r="AB601" s="350"/>
      <c r="AC601" s="350"/>
      <c r="AD601" s="350"/>
      <c r="AE601" s="350"/>
    </row>
    <row r="602" s="350" customFormat="1" ht="22.5" customHeight="1">
      <c r="A602" s="33">
        <v>144</v>
      </c>
      <c r="B602" s="42" t="s">
        <v>1227</v>
      </c>
      <c r="C602" s="79">
        <f t="shared" si="256"/>
        <v>16715728.210000001</v>
      </c>
      <c r="D602" s="79">
        <f t="shared" si="257"/>
        <v>0</v>
      </c>
      <c r="E602" s="92">
        <v>0</v>
      </c>
      <c r="F602" s="92">
        <v>0</v>
      </c>
      <c r="G602" s="79">
        <v>0</v>
      </c>
      <c r="H602" s="92">
        <v>0</v>
      </c>
      <c r="I602" s="79">
        <v>0</v>
      </c>
      <c r="J602" s="398">
        <v>3</v>
      </c>
      <c r="K602" s="79">
        <v>15788421</v>
      </c>
      <c r="L602" s="79">
        <v>0</v>
      </c>
      <c r="M602" s="79">
        <v>0</v>
      </c>
      <c r="N602" s="79">
        <v>0</v>
      </c>
      <c r="O602" s="79">
        <v>0</v>
      </c>
      <c r="P602" s="92">
        <v>589435</v>
      </c>
      <c r="Q602" s="79">
        <v>0</v>
      </c>
      <c r="R602" s="79">
        <f>112624.07*3</f>
        <v>337872.21000000002</v>
      </c>
      <c r="S602" s="79">
        <v>0</v>
      </c>
      <c r="T602" s="79">
        <v>0</v>
      </c>
      <c r="U602" s="399"/>
      <c r="V602" s="399"/>
      <c r="W602" s="399"/>
      <c r="X602" s="399"/>
      <c r="Y602" s="399"/>
      <c r="Z602" s="399"/>
      <c r="AA602" s="399"/>
      <c r="AB602" s="399"/>
      <c r="AC602" s="399"/>
      <c r="AD602" s="399"/>
      <c r="AE602" s="399"/>
    </row>
    <row r="603" s="350" customFormat="1" ht="22.5" customHeight="1">
      <c r="A603" s="33">
        <v>145</v>
      </c>
      <c r="B603" s="42" t="s">
        <v>1228</v>
      </c>
      <c r="C603" s="79">
        <f t="shared" si="256"/>
        <v>5964866.0700000003</v>
      </c>
      <c r="D603" s="79">
        <f t="shared" si="257"/>
        <v>0</v>
      </c>
      <c r="E603" s="92">
        <v>0</v>
      </c>
      <c r="F603" s="92">
        <v>0</v>
      </c>
      <c r="G603" s="79">
        <v>0</v>
      </c>
      <c r="H603" s="92">
        <v>0</v>
      </c>
      <c r="I603" s="79">
        <v>0</v>
      </c>
      <c r="J603" s="398">
        <v>1</v>
      </c>
      <c r="K603" s="79">
        <v>5262807</v>
      </c>
      <c r="L603" s="79">
        <v>0</v>
      </c>
      <c r="M603" s="79">
        <v>0</v>
      </c>
      <c r="N603" s="79">
        <v>0</v>
      </c>
      <c r="O603" s="79">
        <v>0</v>
      </c>
      <c r="P603" s="92">
        <v>589435</v>
      </c>
      <c r="Q603" s="79">
        <v>0</v>
      </c>
      <c r="R603" s="79">
        <v>112624.07000000001</v>
      </c>
      <c r="S603" s="79">
        <v>0</v>
      </c>
      <c r="T603" s="79">
        <v>0</v>
      </c>
      <c r="U603" s="399"/>
      <c r="V603" s="399"/>
      <c r="W603" s="399"/>
      <c r="X603" s="399"/>
      <c r="Y603" s="399"/>
      <c r="Z603" s="399"/>
      <c r="AA603" s="399"/>
      <c r="AB603" s="399"/>
      <c r="AC603" s="399"/>
      <c r="AD603" s="399"/>
      <c r="AE603" s="399"/>
    </row>
    <row r="604" s="60" customFormat="1" ht="24.600000000000001" customHeight="1">
      <c r="A604" s="33">
        <v>146</v>
      </c>
      <c r="B604" s="42" t="s">
        <v>278</v>
      </c>
      <c r="C604" s="79">
        <f t="shared" si="256"/>
        <v>142389394.52000001</v>
      </c>
      <c r="D604" s="79">
        <f t="shared" si="257"/>
        <v>0</v>
      </c>
      <c r="E604" s="92">
        <v>0</v>
      </c>
      <c r="F604" s="79">
        <v>0</v>
      </c>
      <c r="G604" s="79">
        <v>0</v>
      </c>
      <c r="H604" s="92">
        <v>0</v>
      </c>
      <c r="I604" s="79">
        <v>0</v>
      </c>
      <c r="J604" s="398">
        <v>0</v>
      </c>
      <c r="K604" s="92">
        <v>0</v>
      </c>
      <c r="L604" s="79">
        <v>0</v>
      </c>
      <c r="M604" s="79">
        <v>0</v>
      </c>
      <c r="N604" s="79">
        <v>0</v>
      </c>
      <c r="O604" s="79">
        <v>0</v>
      </c>
      <c r="P604" s="79">
        <v>0</v>
      </c>
      <c r="Q604" s="79">
        <v>0</v>
      </c>
      <c r="R604" s="79">
        <v>2983290.6200000001</v>
      </c>
      <c r="S604" s="79">
        <v>139406103.90000001</v>
      </c>
      <c r="T604" s="79">
        <v>0</v>
      </c>
      <c r="U604" s="60"/>
      <c r="V604" s="60"/>
      <c r="W604" s="60"/>
      <c r="X604" s="60"/>
      <c r="Y604" s="60"/>
      <c r="Z604" s="60"/>
      <c r="AA604" s="60"/>
      <c r="AB604" s="60"/>
      <c r="AC604" s="60"/>
      <c r="AD604" s="60"/>
      <c r="AE604" s="60"/>
    </row>
    <row r="605" s="60" customFormat="1" ht="24.600000000000001" customHeight="1">
      <c r="A605" s="33">
        <v>147</v>
      </c>
      <c r="B605" s="42" t="s">
        <v>279</v>
      </c>
      <c r="C605" s="79">
        <f t="shared" si="256"/>
        <v>3649798.7000000002</v>
      </c>
      <c r="D605" s="79">
        <f t="shared" si="257"/>
        <v>3649798.7000000002</v>
      </c>
      <c r="E605" s="92">
        <v>0</v>
      </c>
      <c r="F605" s="92">
        <v>3649798.7000000002</v>
      </c>
      <c r="G605" s="92">
        <v>0</v>
      </c>
      <c r="H605" s="92">
        <v>0</v>
      </c>
      <c r="I605" s="92">
        <v>0</v>
      </c>
      <c r="J605" s="398">
        <v>0</v>
      </c>
      <c r="K605" s="79">
        <v>0</v>
      </c>
      <c r="L605" s="79">
        <v>0</v>
      </c>
      <c r="M605" s="79">
        <v>0</v>
      </c>
      <c r="N605" s="79">
        <v>0</v>
      </c>
      <c r="O605" s="79">
        <v>0</v>
      </c>
      <c r="P605" s="92">
        <v>0</v>
      </c>
      <c r="Q605" s="79">
        <v>0</v>
      </c>
      <c r="R605" s="79">
        <v>0</v>
      </c>
      <c r="S605" s="79">
        <v>0</v>
      </c>
      <c r="T605" s="416">
        <v>0</v>
      </c>
      <c r="U605" s="60"/>
      <c r="V605" s="60"/>
      <c r="W605" s="60"/>
      <c r="X605" s="60"/>
      <c r="Y605" s="60"/>
      <c r="Z605" s="60"/>
      <c r="AA605" s="60"/>
      <c r="AB605" s="60"/>
      <c r="AC605" s="60"/>
      <c r="AD605" s="60"/>
      <c r="AE605" s="60"/>
    </row>
    <row r="606" s="60" customFormat="1" ht="24.600000000000001" customHeight="1">
      <c r="A606" s="33">
        <v>148</v>
      </c>
      <c r="B606" s="42" t="s">
        <v>1229</v>
      </c>
      <c r="C606" s="79">
        <f t="shared" si="256"/>
        <v>16382330.870000001</v>
      </c>
      <c r="D606" s="79">
        <f t="shared" si="257"/>
        <v>0</v>
      </c>
      <c r="E606" s="92">
        <v>0</v>
      </c>
      <c r="F606" s="92">
        <v>0</v>
      </c>
      <c r="G606" s="92">
        <v>0</v>
      </c>
      <c r="H606" s="92">
        <v>0</v>
      </c>
      <c r="I606" s="92">
        <v>0</v>
      </c>
      <c r="J606" s="398">
        <v>0</v>
      </c>
      <c r="K606" s="79">
        <v>0</v>
      </c>
      <c r="L606" s="79">
        <v>15353012.4</v>
      </c>
      <c r="M606" s="79">
        <v>0</v>
      </c>
      <c r="N606" s="79">
        <v>0</v>
      </c>
      <c r="O606" s="79">
        <v>0</v>
      </c>
      <c r="P606" s="92">
        <f>350382+350382</f>
        <v>700764</v>
      </c>
      <c r="Q606" s="79">
        <v>0</v>
      </c>
      <c r="R606" s="79">
        <v>328554.46999999997</v>
      </c>
      <c r="S606" s="79">
        <v>0</v>
      </c>
      <c r="T606" s="416">
        <v>0</v>
      </c>
      <c r="U606" s="59"/>
      <c r="V606" s="59"/>
      <c r="W606" s="59"/>
      <c r="X606" s="59"/>
      <c r="Y606" s="59"/>
      <c r="Z606" s="59"/>
      <c r="AA606" s="59"/>
      <c r="AB606" s="59"/>
      <c r="AC606" s="59"/>
      <c r="AD606" s="59"/>
      <c r="AE606" s="59"/>
    </row>
    <row r="607" s="60" customFormat="1" ht="24.600000000000001" customHeight="1">
      <c r="A607" s="33">
        <v>149</v>
      </c>
      <c r="B607" s="42" t="s">
        <v>1230</v>
      </c>
      <c r="C607" s="79">
        <f t="shared" si="256"/>
        <v>8911648.7200000007</v>
      </c>
      <c r="D607" s="79">
        <f t="shared" si="257"/>
        <v>8249298.1200000001</v>
      </c>
      <c r="E607" s="92">
        <v>0</v>
      </c>
      <c r="F607" s="92">
        <v>6468661.5</v>
      </c>
      <c r="G607" s="92">
        <v>775786.90000000002</v>
      </c>
      <c r="H607" s="92">
        <v>1004849.7200000001</v>
      </c>
      <c r="I607" s="92">
        <v>0</v>
      </c>
      <c r="J607" s="398">
        <v>0</v>
      </c>
      <c r="K607" s="79">
        <v>0</v>
      </c>
      <c r="L607" s="79">
        <v>0</v>
      </c>
      <c r="M607" s="79">
        <v>0</v>
      </c>
      <c r="N607" s="79">
        <v>0</v>
      </c>
      <c r="O607" s="79">
        <v>0</v>
      </c>
      <c r="P607" s="92">
        <v>350382</v>
      </c>
      <c r="Q607" s="79">
        <v>0</v>
      </c>
      <c r="R607" s="79">
        <f>85905.98+21503.78+204558.84</f>
        <v>311968.59999999998</v>
      </c>
      <c r="S607" s="79">
        <v>0</v>
      </c>
      <c r="T607" s="79">
        <v>0</v>
      </c>
      <c r="U607" s="60"/>
      <c r="V607" s="60"/>
      <c r="W607" s="60"/>
      <c r="X607" s="60"/>
      <c r="Y607" s="60"/>
      <c r="Z607" s="60"/>
      <c r="AA607" s="60"/>
      <c r="AB607" s="60"/>
      <c r="AC607" s="60"/>
      <c r="AD607" s="60"/>
      <c r="AE607" s="60"/>
    </row>
    <row r="608" s="60" customFormat="1" ht="24.600000000000001" customHeight="1">
      <c r="A608" s="33">
        <v>150</v>
      </c>
      <c r="B608" s="42" t="s">
        <v>1231</v>
      </c>
      <c r="C608" s="79">
        <f t="shared" si="256"/>
        <v>6284318.4000000004</v>
      </c>
      <c r="D608" s="79">
        <f t="shared" si="257"/>
        <v>5933936.4000000004</v>
      </c>
      <c r="E608" s="92">
        <v>5933936.4000000004</v>
      </c>
      <c r="F608" s="92">
        <v>0</v>
      </c>
      <c r="G608" s="92">
        <v>0</v>
      </c>
      <c r="H608" s="92">
        <v>0</v>
      </c>
      <c r="I608" s="92">
        <v>0</v>
      </c>
      <c r="J608" s="398">
        <v>0</v>
      </c>
      <c r="K608" s="79">
        <v>0</v>
      </c>
      <c r="L608" s="79">
        <v>0</v>
      </c>
      <c r="M608" s="79">
        <v>0</v>
      </c>
      <c r="N608" s="79">
        <v>0</v>
      </c>
      <c r="O608" s="79">
        <v>0</v>
      </c>
      <c r="P608" s="92">
        <v>350382</v>
      </c>
      <c r="Q608" s="79">
        <v>0</v>
      </c>
      <c r="R608" s="79">
        <v>0</v>
      </c>
      <c r="S608" s="79">
        <v>0</v>
      </c>
      <c r="T608" s="79">
        <v>0</v>
      </c>
      <c r="U608" s="59"/>
      <c r="V608" s="59"/>
      <c r="W608" s="59"/>
      <c r="X608" s="59"/>
      <c r="Y608" s="59"/>
      <c r="Z608" s="59"/>
      <c r="AA608" s="59"/>
      <c r="AB608" s="59"/>
      <c r="AC608" s="59"/>
      <c r="AD608" s="59"/>
      <c r="AE608" s="59"/>
    </row>
    <row r="609" s="60" customFormat="1" ht="24.600000000000001" customHeight="1">
      <c r="A609" s="33">
        <v>151</v>
      </c>
      <c r="B609" s="42" t="s">
        <v>1232</v>
      </c>
      <c r="C609" s="79">
        <f t="shared" si="256"/>
        <v>350382</v>
      </c>
      <c r="D609" s="79">
        <f t="shared" si="257"/>
        <v>0</v>
      </c>
      <c r="E609" s="92">
        <v>0</v>
      </c>
      <c r="F609" s="92">
        <v>0</v>
      </c>
      <c r="G609" s="92">
        <v>0</v>
      </c>
      <c r="H609" s="92">
        <v>0</v>
      </c>
      <c r="I609" s="92">
        <v>0</v>
      </c>
      <c r="J609" s="398">
        <v>0</v>
      </c>
      <c r="K609" s="79">
        <v>0</v>
      </c>
      <c r="L609" s="79">
        <v>0</v>
      </c>
      <c r="M609" s="79">
        <v>0</v>
      </c>
      <c r="N609" s="79">
        <v>0</v>
      </c>
      <c r="O609" s="79">
        <v>0</v>
      </c>
      <c r="P609" s="92">
        <v>350382</v>
      </c>
      <c r="Q609" s="79">
        <v>0</v>
      </c>
      <c r="R609" s="79">
        <v>0</v>
      </c>
      <c r="S609" s="79">
        <v>0</v>
      </c>
      <c r="T609" s="79">
        <v>0</v>
      </c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</row>
    <row r="610" s="60" customFormat="1" ht="24.600000000000001" customHeight="1">
      <c r="A610" s="33">
        <v>152</v>
      </c>
      <c r="B610" s="42" t="s">
        <v>283</v>
      </c>
      <c r="C610" s="79">
        <f t="shared" si="256"/>
        <v>19470694.279999997</v>
      </c>
      <c r="D610" s="79">
        <f t="shared" si="257"/>
        <v>0</v>
      </c>
      <c r="E610" s="92">
        <v>0</v>
      </c>
      <c r="F610" s="79">
        <v>0</v>
      </c>
      <c r="G610" s="79">
        <v>0</v>
      </c>
      <c r="H610" s="92">
        <v>0</v>
      </c>
      <c r="I610" s="79">
        <v>0</v>
      </c>
      <c r="J610" s="398">
        <v>0</v>
      </c>
      <c r="K610" s="79">
        <v>0</v>
      </c>
      <c r="L610" s="79">
        <v>19062751.399999999</v>
      </c>
      <c r="M610" s="79">
        <v>0</v>
      </c>
      <c r="N610" s="92">
        <v>0</v>
      </c>
      <c r="O610" s="79">
        <v>0</v>
      </c>
      <c r="P610" s="79">
        <v>0</v>
      </c>
      <c r="Q610" s="79">
        <v>0</v>
      </c>
      <c r="R610" s="79">
        <v>407942.88</v>
      </c>
      <c r="S610" s="79">
        <v>0</v>
      </c>
      <c r="T610" s="79">
        <v>0</v>
      </c>
      <c r="U610" s="60"/>
      <c r="V610" s="60"/>
      <c r="W610" s="60"/>
      <c r="X610" s="60"/>
      <c r="Y610" s="60"/>
      <c r="Z610" s="60"/>
      <c r="AA610" s="60"/>
      <c r="AB610" s="60"/>
      <c r="AC610" s="60"/>
      <c r="AD610" s="60"/>
      <c r="AE610" s="60"/>
    </row>
    <row r="611" s="60" customFormat="1" ht="24.600000000000001" customHeight="1">
      <c r="A611" s="33">
        <v>153</v>
      </c>
      <c r="B611" s="42" t="s">
        <v>1233</v>
      </c>
      <c r="C611" s="79">
        <f t="shared" si="256"/>
        <v>23984959.150000002</v>
      </c>
      <c r="D611" s="79">
        <f t="shared" si="257"/>
        <v>3551157.6000000006</v>
      </c>
      <c r="E611" s="92">
        <v>0</v>
      </c>
      <c r="F611" s="79">
        <v>0</v>
      </c>
      <c r="G611" s="92">
        <v>2840204.3000000003</v>
      </c>
      <c r="H611" s="92">
        <v>710953.30000000005</v>
      </c>
      <c r="I611" s="79">
        <v>0</v>
      </c>
      <c r="J611" s="398">
        <v>0</v>
      </c>
      <c r="K611" s="79">
        <v>0</v>
      </c>
      <c r="L611" s="92">
        <v>18777106.699999999</v>
      </c>
      <c r="M611" s="79">
        <v>0</v>
      </c>
      <c r="N611" s="79">
        <v>0</v>
      </c>
      <c r="O611" s="79">
        <v>0</v>
      </c>
      <c r="P611" s="92">
        <f>589435+589435</f>
        <v>1178870</v>
      </c>
      <c r="Q611" s="79">
        <v>0</v>
      </c>
      <c r="R611" s="79">
        <f>401830.08+60780.37+15214.4</f>
        <v>477824.85000000003</v>
      </c>
      <c r="S611" s="79">
        <v>0</v>
      </c>
      <c r="T611" s="79">
        <v>0</v>
      </c>
      <c r="U611" s="60"/>
      <c r="V611" s="60"/>
      <c r="W611" s="60"/>
      <c r="X611" s="60"/>
      <c r="Y611" s="60"/>
      <c r="Z611" s="60"/>
      <c r="AA611" s="60"/>
      <c r="AB611" s="60"/>
      <c r="AC611" s="60"/>
      <c r="AD611" s="60"/>
      <c r="AE611" s="60"/>
    </row>
    <row r="612" s="60" customFormat="1" ht="24.600000000000001" customHeight="1">
      <c r="A612" s="33">
        <v>154</v>
      </c>
      <c r="B612" s="42" t="s">
        <v>1234</v>
      </c>
      <c r="C612" s="79">
        <f t="shared" si="256"/>
        <v>19347777.290000003</v>
      </c>
      <c r="D612" s="79">
        <f t="shared" si="257"/>
        <v>3916968.2999999998</v>
      </c>
      <c r="E612" s="92">
        <v>3916968.2999999998</v>
      </c>
      <c r="F612" s="79">
        <v>0</v>
      </c>
      <c r="G612" s="92">
        <v>0</v>
      </c>
      <c r="H612" s="92">
        <v>0</v>
      </c>
      <c r="I612" s="79">
        <v>0</v>
      </c>
      <c r="J612" s="398">
        <v>0</v>
      </c>
      <c r="K612" s="79">
        <v>0</v>
      </c>
      <c r="L612" s="92">
        <v>13294185.300000001</v>
      </c>
      <c r="M612" s="79">
        <v>0</v>
      </c>
      <c r="N612" s="79">
        <v>0</v>
      </c>
      <c r="O612" s="79">
        <v>0</v>
      </c>
      <c r="P612" s="92">
        <f>589435+589435+589435</f>
        <v>1768305</v>
      </c>
      <c r="Q612" s="79">
        <v>0</v>
      </c>
      <c r="R612" s="79">
        <f>284495.57+83823.12</f>
        <v>368318.69</v>
      </c>
      <c r="S612" s="79">
        <v>0</v>
      </c>
      <c r="T612" s="79">
        <v>0</v>
      </c>
      <c r="U612" s="59"/>
      <c r="V612" s="59"/>
      <c r="W612" s="59"/>
      <c r="X612" s="59"/>
      <c r="Y612" s="59"/>
      <c r="Z612" s="59"/>
      <c r="AA612" s="59"/>
      <c r="AB612" s="59"/>
      <c r="AC612" s="59"/>
      <c r="AD612" s="59"/>
      <c r="AE612" s="59"/>
    </row>
    <row r="613" s="60" customFormat="1" ht="24.600000000000001" customHeight="1">
      <c r="A613" s="33">
        <v>155</v>
      </c>
      <c r="B613" s="42" t="s">
        <v>1235</v>
      </c>
      <c r="C613" s="158">
        <f t="shared" si="256"/>
        <v>4739524.4699999988</v>
      </c>
      <c r="D613" s="79">
        <f t="shared" si="257"/>
        <v>469337.40000000002</v>
      </c>
      <c r="E613" s="92">
        <v>469337.40000000002</v>
      </c>
      <c r="F613" s="158">
        <v>0</v>
      </c>
      <c r="G613" s="92">
        <v>0</v>
      </c>
      <c r="H613" s="92">
        <v>0</v>
      </c>
      <c r="I613" s="158">
        <v>0</v>
      </c>
      <c r="J613" s="398">
        <v>0</v>
      </c>
      <c r="K613" s="158">
        <v>0</v>
      </c>
      <c r="L613" s="92">
        <v>3130768.7999999998</v>
      </c>
      <c r="M613" s="158">
        <v>0</v>
      </c>
      <c r="N613" s="79">
        <v>0</v>
      </c>
      <c r="O613" s="158">
        <v>0</v>
      </c>
      <c r="P613" s="92">
        <f>265594+265594+265594+265594</f>
        <v>1062376</v>
      </c>
      <c r="Q613" s="158">
        <v>0</v>
      </c>
      <c r="R613" s="79">
        <f>66998.45+10043.82</f>
        <v>77042.26999999999</v>
      </c>
      <c r="S613" s="158">
        <v>0</v>
      </c>
      <c r="T613" s="79">
        <v>0</v>
      </c>
      <c r="U613" s="59"/>
      <c r="V613" s="59"/>
      <c r="W613" s="59"/>
      <c r="X613" s="59"/>
      <c r="Y613" s="59"/>
      <c r="Z613" s="59"/>
      <c r="AA613" s="59"/>
      <c r="AB613" s="59"/>
      <c r="AC613" s="59"/>
      <c r="AD613" s="59"/>
      <c r="AE613" s="59"/>
    </row>
    <row r="614" s="60" customFormat="1" ht="24.600000000000001" customHeight="1">
      <c r="A614" s="33">
        <v>156</v>
      </c>
      <c r="B614" s="42" t="s">
        <v>1236</v>
      </c>
      <c r="C614" s="79">
        <f t="shared" si="256"/>
        <v>10661627.030000001</v>
      </c>
      <c r="D614" s="79">
        <f t="shared" si="257"/>
        <v>0</v>
      </c>
      <c r="E614" s="92">
        <v>0</v>
      </c>
      <c r="F614" s="79">
        <v>0</v>
      </c>
      <c r="G614" s="92">
        <v>0</v>
      </c>
      <c r="H614" s="92">
        <v>0</v>
      </c>
      <c r="I614" s="79">
        <v>0</v>
      </c>
      <c r="J614" s="398">
        <v>0</v>
      </c>
      <c r="K614" s="79">
        <v>0</v>
      </c>
      <c r="L614" s="92">
        <v>9658160.4000000004</v>
      </c>
      <c r="M614" s="79">
        <v>0</v>
      </c>
      <c r="N614" s="79">
        <v>0</v>
      </c>
      <c r="O614" s="79">
        <v>0</v>
      </c>
      <c r="P614" s="92">
        <f>265594+265594+265594</f>
        <v>796782</v>
      </c>
      <c r="Q614" s="79">
        <v>0</v>
      </c>
      <c r="R614" s="79">
        <f>206684.63</f>
        <v>206684.63</v>
      </c>
      <c r="S614" s="79">
        <v>0</v>
      </c>
      <c r="T614" s="79">
        <v>0</v>
      </c>
      <c r="U614" s="59"/>
      <c r="V614" s="59"/>
      <c r="W614" s="59"/>
      <c r="X614" s="59"/>
      <c r="Y614" s="59"/>
      <c r="Z614" s="59"/>
      <c r="AA614" s="59"/>
      <c r="AB614" s="59"/>
      <c r="AC614" s="59"/>
      <c r="AD614" s="59"/>
      <c r="AE614" s="59"/>
    </row>
    <row r="615" s="60" customFormat="1" ht="24.600000000000001" customHeight="1">
      <c r="A615" s="33">
        <v>157</v>
      </c>
      <c r="B615" s="42" t="s">
        <v>287</v>
      </c>
      <c r="C615" s="79">
        <f t="shared" si="256"/>
        <v>7619386.1600000001</v>
      </c>
      <c r="D615" s="79">
        <f t="shared" si="257"/>
        <v>7619386.1600000001</v>
      </c>
      <c r="E615" s="92">
        <v>0</v>
      </c>
      <c r="F615" s="92">
        <v>5087301.6299999999</v>
      </c>
      <c r="G615" s="92">
        <v>2532084.5299999998</v>
      </c>
      <c r="H615" s="92">
        <v>0</v>
      </c>
      <c r="I615" s="79">
        <v>0</v>
      </c>
      <c r="J615" s="398">
        <v>0</v>
      </c>
      <c r="K615" s="79">
        <v>0</v>
      </c>
      <c r="L615" s="92">
        <v>0</v>
      </c>
      <c r="M615" s="79">
        <v>0</v>
      </c>
      <c r="N615" s="79">
        <v>0</v>
      </c>
      <c r="O615" s="79">
        <v>0</v>
      </c>
      <c r="P615" s="92">
        <v>0</v>
      </c>
      <c r="Q615" s="79">
        <v>0</v>
      </c>
      <c r="R615" s="79">
        <v>0</v>
      </c>
      <c r="S615" s="79">
        <v>0</v>
      </c>
      <c r="T615" s="79">
        <v>0</v>
      </c>
      <c r="U615" s="60"/>
      <c r="V615" s="60"/>
      <c r="W615" s="60"/>
      <c r="X615" s="60"/>
      <c r="Y615" s="60"/>
      <c r="Z615" s="60"/>
      <c r="AA615" s="60"/>
      <c r="AB615" s="60"/>
      <c r="AC615" s="60"/>
      <c r="AD615" s="60"/>
      <c r="AE615" s="60"/>
    </row>
    <row r="616" s="60" customFormat="1" ht="24.600000000000001" customHeight="1">
      <c r="A616" s="33">
        <v>158</v>
      </c>
      <c r="B616" s="53" t="s">
        <v>1237</v>
      </c>
      <c r="C616" s="158">
        <f t="shared" si="256"/>
        <v>8689878.9399999995</v>
      </c>
      <c r="D616" s="79">
        <f t="shared" si="257"/>
        <v>0</v>
      </c>
      <c r="E616" s="92">
        <v>0</v>
      </c>
      <c r="F616" s="92">
        <v>0</v>
      </c>
      <c r="G616" s="92">
        <v>0</v>
      </c>
      <c r="H616" s="92">
        <v>0</v>
      </c>
      <c r="I616" s="92">
        <v>0</v>
      </c>
      <c r="J616" s="345">
        <v>0</v>
      </c>
      <c r="K616" s="79">
        <v>0</v>
      </c>
      <c r="L616" s="158">
        <v>8247782.4000000004</v>
      </c>
      <c r="M616" s="79">
        <v>0</v>
      </c>
      <c r="N616" s="158">
        <v>0</v>
      </c>
      <c r="O616" s="79">
        <v>0</v>
      </c>
      <c r="P616" s="92">
        <v>265594</v>
      </c>
      <c r="Q616" s="158">
        <v>0</v>
      </c>
      <c r="R616" s="79">
        <v>176502.54000000001</v>
      </c>
      <c r="S616" s="158">
        <v>0</v>
      </c>
      <c r="T616" s="79">
        <v>0</v>
      </c>
      <c r="U616" s="59"/>
      <c r="V616" s="59"/>
      <c r="W616" s="59"/>
      <c r="X616" s="59"/>
      <c r="Y616" s="59"/>
      <c r="Z616" s="59"/>
      <c r="AA616" s="59"/>
      <c r="AB616" s="59"/>
      <c r="AC616" s="59"/>
      <c r="AD616" s="59"/>
      <c r="AE616" s="59"/>
      <c r="AF616" s="59"/>
      <c r="AG616" s="59"/>
      <c r="AH616" s="59"/>
      <c r="AI616" s="59"/>
    </row>
    <row r="617" s="60" customFormat="1" ht="24.600000000000001" customHeight="1">
      <c r="A617" s="33">
        <v>159</v>
      </c>
      <c r="B617" s="53" t="s">
        <v>1238</v>
      </c>
      <c r="C617" s="79">
        <f t="shared" si="256"/>
        <v>1000722.5700000001</v>
      </c>
      <c r="D617" s="79">
        <f t="shared" si="257"/>
        <v>459697.04999999999</v>
      </c>
      <c r="E617" s="92">
        <v>0</v>
      </c>
      <c r="F617" s="92">
        <v>0</v>
      </c>
      <c r="G617" s="92">
        <v>0</v>
      </c>
      <c r="H617" s="92">
        <v>154820.25</v>
      </c>
      <c r="I617" s="92">
        <v>304876.79999999999</v>
      </c>
      <c r="J617" s="398">
        <v>0</v>
      </c>
      <c r="K617" s="79">
        <v>0</v>
      </c>
      <c r="L617" s="79">
        <v>0</v>
      </c>
      <c r="M617" s="79">
        <v>0</v>
      </c>
      <c r="N617" s="79">
        <v>0</v>
      </c>
      <c r="O617" s="79">
        <v>0</v>
      </c>
      <c r="P617" s="92">
        <f t="shared" ref="P617:P618" si="258">265594+265594</f>
        <v>531188</v>
      </c>
      <c r="Q617" s="79">
        <v>0</v>
      </c>
      <c r="R617" s="79">
        <v>9837.5200000000004</v>
      </c>
      <c r="S617" s="79">
        <v>0</v>
      </c>
      <c r="T617" s="79">
        <v>0</v>
      </c>
      <c r="U617" s="60"/>
      <c r="V617" s="60"/>
      <c r="W617" s="60"/>
      <c r="X617" s="60"/>
      <c r="Y617" s="60"/>
      <c r="Z617" s="60"/>
      <c r="AA617" s="60"/>
      <c r="AB617" s="60"/>
      <c r="AC617" s="60"/>
      <c r="AD617" s="60"/>
      <c r="AE617" s="60"/>
      <c r="AF617" s="60"/>
      <c r="AG617" s="60"/>
      <c r="AH617" s="60"/>
      <c r="AI617" s="60"/>
    </row>
    <row r="618" s="60" customFormat="1" ht="24.600000000000001" customHeight="1">
      <c r="A618" s="33">
        <v>160</v>
      </c>
      <c r="B618" s="42" t="s">
        <v>1239</v>
      </c>
      <c r="C618" s="158">
        <f t="shared" si="256"/>
        <v>1876305.8199999998</v>
      </c>
      <c r="D618" s="79">
        <f t="shared" si="257"/>
        <v>1316935.3999999999</v>
      </c>
      <c r="E618" s="92">
        <v>0</v>
      </c>
      <c r="F618" s="92">
        <v>824148.5</v>
      </c>
      <c r="G618" s="158">
        <v>0</v>
      </c>
      <c r="H618" s="92">
        <v>165964.5</v>
      </c>
      <c r="I618" s="92">
        <v>326822.39999999997</v>
      </c>
      <c r="J618" s="345">
        <v>0</v>
      </c>
      <c r="K618" s="79">
        <v>0</v>
      </c>
      <c r="L618" s="158">
        <v>0</v>
      </c>
      <c r="M618" s="79">
        <v>0</v>
      </c>
      <c r="N618" s="158">
        <v>0</v>
      </c>
      <c r="O618" s="79">
        <v>0</v>
      </c>
      <c r="P618" s="92">
        <f t="shared" si="258"/>
        <v>531188</v>
      </c>
      <c r="Q618" s="158">
        <v>0</v>
      </c>
      <c r="R618" s="79">
        <f>6994+3551.64+17636.78</f>
        <v>28182.419999999998</v>
      </c>
      <c r="S618" s="158">
        <v>0</v>
      </c>
      <c r="T618" s="79">
        <v>0</v>
      </c>
      <c r="U618" s="110"/>
      <c r="V618" s="110"/>
      <c r="W618" s="110"/>
      <c r="X618" s="110"/>
      <c r="Y618" s="110"/>
      <c r="Z618" s="110"/>
      <c r="AA618" s="110"/>
      <c r="AB618" s="110"/>
      <c r="AC618" s="110"/>
      <c r="AD618" s="110"/>
      <c r="AE618" s="110"/>
      <c r="AF618" s="60"/>
      <c r="AG618" s="60"/>
      <c r="AH618" s="60"/>
      <c r="AI618" s="60"/>
    </row>
    <row r="619" s="60" customFormat="1" ht="24.600000000000001" customHeight="1">
      <c r="A619" s="33">
        <v>161</v>
      </c>
      <c r="B619" s="42" t="s">
        <v>291</v>
      </c>
      <c r="C619" s="79">
        <f t="shared" si="256"/>
        <v>7814923.4199999999</v>
      </c>
      <c r="D619" s="79">
        <f t="shared" si="257"/>
        <v>0</v>
      </c>
      <c r="E619" s="92">
        <v>0</v>
      </c>
      <c r="F619" s="79">
        <v>0</v>
      </c>
      <c r="G619" s="79">
        <v>0</v>
      </c>
      <c r="H619" s="92">
        <v>0</v>
      </c>
      <c r="I619" s="79">
        <v>0</v>
      </c>
      <c r="J619" s="398">
        <v>0</v>
      </c>
      <c r="K619" s="79">
        <v>0</v>
      </c>
      <c r="L619" s="92">
        <v>7651188</v>
      </c>
      <c r="M619" s="79">
        <v>0</v>
      </c>
      <c r="N619" s="79">
        <v>0</v>
      </c>
      <c r="O619" s="79">
        <v>0</v>
      </c>
      <c r="P619" s="92">
        <v>0</v>
      </c>
      <c r="Q619" s="79">
        <v>0</v>
      </c>
      <c r="R619" s="79">
        <v>163735.42000000001</v>
      </c>
      <c r="S619" s="79">
        <v>0</v>
      </c>
      <c r="T619" s="79">
        <v>0</v>
      </c>
      <c r="U619" s="60"/>
      <c r="V619" s="60"/>
      <c r="W619" s="60"/>
      <c r="X619" s="60"/>
      <c r="Y619" s="60"/>
      <c r="Z619" s="60"/>
      <c r="AA619" s="60"/>
      <c r="AB619" s="60"/>
      <c r="AC619" s="60"/>
      <c r="AD619" s="60"/>
      <c r="AE619" s="60"/>
      <c r="AF619" s="60"/>
      <c r="AG619" s="60"/>
      <c r="AH619" s="60"/>
      <c r="AI619" s="60"/>
    </row>
    <row r="620" s="60" customFormat="1" ht="24.600000000000001" customHeight="1">
      <c r="A620" s="33">
        <v>162</v>
      </c>
      <c r="B620" s="42" t="s">
        <v>1240</v>
      </c>
      <c r="C620" s="79">
        <f t="shared" si="256"/>
        <v>21741159.280000001</v>
      </c>
      <c r="D620" s="79">
        <f t="shared" si="257"/>
        <v>0</v>
      </c>
      <c r="E620" s="92">
        <v>0</v>
      </c>
      <c r="F620" s="79">
        <v>0</v>
      </c>
      <c r="G620" s="79">
        <v>0</v>
      </c>
      <c r="H620" s="92">
        <v>0</v>
      </c>
      <c r="I620" s="79">
        <v>0</v>
      </c>
      <c r="J620" s="398">
        <v>4</v>
      </c>
      <c r="K620" s="92">
        <v>21051228</v>
      </c>
      <c r="L620" s="79">
        <v>0</v>
      </c>
      <c r="M620" s="79">
        <v>0</v>
      </c>
      <c r="N620" s="79">
        <v>0</v>
      </c>
      <c r="O620" s="79">
        <v>0</v>
      </c>
      <c r="P620" s="79">
        <v>239435</v>
      </c>
      <c r="Q620" s="79">
        <v>0</v>
      </c>
      <c r="R620" s="79">
        <v>450496.28000000003</v>
      </c>
      <c r="S620" s="79">
        <v>0</v>
      </c>
      <c r="T620" s="79">
        <v>0</v>
      </c>
      <c r="U620" s="60"/>
      <c r="V620" s="60"/>
      <c r="W620" s="60"/>
      <c r="X620" s="60"/>
      <c r="Y620" s="60"/>
      <c r="Z620" s="60"/>
      <c r="AA620" s="60"/>
      <c r="AB620" s="60"/>
      <c r="AC620" s="60"/>
      <c r="AD620" s="60"/>
      <c r="AE620" s="60"/>
      <c r="AF620" s="60"/>
      <c r="AG620" s="60"/>
      <c r="AH620" s="60"/>
      <c r="AI620" s="60"/>
    </row>
    <row r="621" s="60" customFormat="1" ht="24.600000000000001" customHeight="1">
      <c r="A621" s="33">
        <v>163</v>
      </c>
      <c r="B621" s="42" t="s">
        <v>1241</v>
      </c>
      <c r="C621" s="158">
        <f t="shared" si="256"/>
        <v>589435</v>
      </c>
      <c r="D621" s="79">
        <f t="shared" si="257"/>
        <v>0</v>
      </c>
      <c r="E621" s="92">
        <v>0</v>
      </c>
      <c r="F621" s="158">
        <v>0</v>
      </c>
      <c r="G621" s="79">
        <v>0</v>
      </c>
      <c r="H621" s="92">
        <v>0</v>
      </c>
      <c r="I621" s="158">
        <v>0</v>
      </c>
      <c r="J621" s="398">
        <v>0</v>
      </c>
      <c r="K621" s="92">
        <v>0</v>
      </c>
      <c r="L621" s="158">
        <v>0</v>
      </c>
      <c r="M621" s="79">
        <v>0</v>
      </c>
      <c r="N621" s="158">
        <v>0</v>
      </c>
      <c r="O621" s="79">
        <v>0</v>
      </c>
      <c r="P621" s="158">
        <v>589435</v>
      </c>
      <c r="Q621" s="79">
        <v>0</v>
      </c>
      <c r="R621" s="158">
        <v>0</v>
      </c>
      <c r="S621" s="79">
        <v>0</v>
      </c>
      <c r="T621" s="79">
        <v>0</v>
      </c>
      <c r="U621" s="59"/>
      <c r="V621" s="59"/>
      <c r="W621" s="59"/>
      <c r="X621" s="59"/>
      <c r="Y621" s="59"/>
      <c r="Z621" s="59"/>
      <c r="AA621" s="59"/>
      <c r="AB621" s="59"/>
      <c r="AC621" s="59"/>
      <c r="AD621" s="59"/>
      <c r="AE621" s="59"/>
      <c r="AF621" s="59"/>
      <c r="AG621" s="59"/>
      <c r="AH621" s="59"/>
      <c r="AI621" s="59"/>
    </row>
    <row r="622" s="60" customFormat="1" ht="24.600000000000001" customHeight="1">
      <c r="A622" s="33">
        <v>164</v>
      </c>
      <c r="B622" s="52" t="s">
        <v>1242</v>
      </c>
      <c r="C622" s="79">
        <f t="shared" si="256"/>
        <v>1751910</v>
      </c>
      <c r="D622" s="158">
        <f t="shared" si="257"/>
        <v>0</v>
      </c>
      <c r="E622" s="92">
        <v>0</v>
      </c>
      <c r="F622" s="92">
        <v>0</v>
      </c>
      <c r="G622" s="158">
        <v>0</v>
      </c>
      <c r="H622" s="92">
        <v>0</v>
      </c>
      <c r="I622" s="79">
        <v>0</v>
      </c>
      <c r="J622" s="345">
        <v>0</v>
      </c>
      <c r="K622" s="79">
        <v>0</v>
      </c>
      <c r="L622" s="79">
        <v>0</v>
      </c>
      <c r="M622" s="79">
        <v>0</v>
      </c>
      <c r="N622" s="92">
        <v>0</v>
      </c>
      <c r="O622" s="79">
        <v>0</v>
      </c>
      <c r="P622" s="92">
        <f>350382+350382+350382+350382+350382</f>
        <v>1751910</v>
      </c>
      <c r="Q622" s="79">
        <v>0</v>
      </c>
      <c r="R622" s="79">
        <v>0</v>
      </c>
      <c r="S622" s="158">
        <v>0</v>
      </c>
      <c r="T622" s="79">
        <v>0</v>
      </c>
      <c r="U622" s="110"/>
      <c r="V622" s="110"/>
      <c r="W622" s="110"/>
      <c r="X622" s="110"/>
      <c r="Y622" s="110"/>
      <c r="Z622" s="110"/>
      <c r="AA622" s="110"/>
      <c r="AB622" s="110"/>
      <c r="AC622" s="110"/>
      <c r="AD622" s="110"/>
      <c r="AE622" s="110"/>
      <c r="AF622" s="110"/>
      <c r="AG622" s="110"/>
      <c r="AH622" s="110"/>
      <c r="AI622" s="110"/>
    </row>
    <row r="623" s="54" customFormat="1" ht="22.5" customHeight="1">
      <c r="A623" s="33">
        <v>165</v>
      </c>
      <c r="B623" s="52" t="s">
        <v>644</v>
      </c>
      <c r="C623" s="79">
        <f t="shared" si="256"/>
        <v>2777418.3599999999</v>
      </c>
      <c r="D623" s="79">
        <f t="shared" si="257"/>
        <v>0</v>
      </c>
      <c r="E623" s="92">
        <v>0</v>
      </c>
      <c r="F623" s="92">
        <v>0</v>
      </c>
      <c r="G623" s="79">
        <v>0</v>
      </c>
      <c r="H623" s="92">
        <v>0</v>
      </c>
      <c r="I623" s="79">
        <v>0</v>
      </c>
      <c r="J623" s="398">
        <v>0</v>
      </c>
      <c r="K623" s="79">
        <v>0</v>
      </c>
      <c r="L623" s="79">
        <v>0</v>
      </c>
      <c r="M623" s="79">
        <v>0</v>
      </c>
      <c r="N623" s="92">
        <v>2716097.04</v>
      </c>
      <c r="O623" s="79">
        <v>0</v>
      </c>
      <c r="P623" s="92">
        <v>0</v>
      </c>
      <c r="Q623" s="79">
        <v>0</v>
      </c>
      <c r="R623" s="79">
        <v>61321.32</v>
      </c>
      <c r="S623" s="79">
        <v>0</v>
      </c>
      <c r="T623" s="79">
        <v>0</v>
      </c>
      <c r="U623" s="54"/>
      <c r="V623" s="54"/>
      <c r="W623" s="54"/>
      <c r="X623" s="54"/>
      <c r="Y623" s="54"/>
      <c r="Z623" s="54"/>
      <c r="AA623" s="54"/>
      <c r="AB623" s="54"/>
      <c r="AC623" s="54"/>
      <c r="AD623" s="54"/>
      <c r="AE623" s="54"/>
      <c r="AF623" s="54"/>
      <c r="AG623" s="54"/>
      <c r="AH623" s="54"/>
      <c r="AI623" s="54"/>
    </row>
    <row r="624" s="54" customFormat="1" ht="22.5" customHeight="1">
      <c r="A624" s="33">
        <v>166</v>
      </c>
      <c r="B624" s="42" t="s">
        <v>1243</v>
      </c>
      <c r="C624" s="79">
        <f t="shared" si="256"/>
        <v>16715728.210000001</v>
      </c>
      <c r="D624" s="79">
        <f t="shared" si="257"/>
        <v>0</v>
      </c>
      <c r="E624" s="92">
        <v>0</v>
      </c>
      <c r="F624" s="92">
        <v>0</v>
      </c>
      <c r="G624" s="79">
        <v>0</v>
      </c>
      <c r="H624" s="92">
        <v>0</v>
      </c>
      <c r="I624" s="79">
        <v>0</v>
      </c>
      <c r="J624" s="398">
        <v>3</v>
      </c>
      <c r="K624" s="79">
        <v>15788421</v>
      </c>
      <c r="L624" s="79">
        <v>0</v>
      </c>
      <c r="M624" s="79">
        <v>0</v>
      </c>
      <c r="N624" s="92">
        <v>0</v>
      </c>
      <c r="O624" s="79">
        <v>0</v>
      </c>
      <c r="P624" s="92">
        <v>589435</v>
      </c>
      <c r="Q624" s="79">
        <v>0</v>
      </c>
      <c r="R624" s="79">
        <v>337872.21000000002</v>
      </c>
      <c r="S624" s="79">
        <v>0</v>
      </c>
      <c r="T624" s="79">
        <v>0</v>
      </c>
      <c r="U624" s="54"/>
      <c r="V624" s="54"/>
      <c r="W624" s="54"/>
      <c r="X624" s="54"/>
      <c r="Y624" s="54"/>
      <c r="Z624" s="54"/>
      <c r="AA624" s="54"/>
      <c r="AB624" s="54"/>
      <c r="AC624" s="54"/>
      <c r="AD624" s="54"/>
      <c r="AE624" s="54"/>
      <c r="AF624" s="54"/>
      <c r="AG624" s="54"/>
      <c r="AH624" s="54"/>
      <c r="AI624" s="54"/>
    </row>
    <row r="625" s="54" customFormat="1" ht="22.5" customHeight="1">
      <c r="A625" s="33">
        <v>167</v>
      </c>
      <c r="B625" s="42" t="s">
        <v>296</v>
      </c>
      <c r="C625" s="79">
        <f t="shared" si="256"/>
        <v>6308502.6400000006</v>
      </c>
      <c r="D625" s="79">
        <f t="shared" si="257"/>
        <v>6176329.2000000002</v>
      </c>
      <c r="E625" s="92">
        <v>0</v>
      </c>
      <c r="F625" s="92">
        <v>6176329.2000000002</v>
      </c>
      <c r="G625" s="79">
        <v>0</v>
      </c>
      <c r="H625" s="92">
        <v>0</v>
      </c>
      <c r="I625" s="79">
        <v>0</v>
      </c>
      <c r="J625" s="398">
        <v>0</v>
      </c>
      <c r="K625" s="79">
        <v>0</v>
      </c>
      <c r="L625" s="79">
        <v>0</v>
      </c>
      <c r="M625" s="79">
        <v>0</v>
      </c>
      <c r="N625" s="92">
        <v>0</v>
      </c>
      <c r="O625" s="79">
        <v>0</v>
      </c>
      <c r="P625" s="92">
        <v>0</v>
      </c>
      <c r="Q625" s="79">
        <v>0</v>
      </c>
      <c r="R625" s="79">
        <v>132173.44</v>
      </c>
      <c r="S625" s="79">
        <v>0</v>
      </c>
      <c r="T625" s="79">
        <v>0</v>
      </c>
      <c r="U625" s="54"/>
      <c r="V625" s="54"/>
      <c r="W625" s="54"/>
      <c r="X625" s="54"/>
      <c r="Y625" s="54"/>
      <c r="Z625" s="54"/>
      <c r="AA625" s="54"/>
      <c r="AB625" s="54"/>
      <c r="AC625" s="54"/>
      <c r="AD625" s="54"/>
      <c r="AE625" s="54"/>
    </row>
    <row r="626" s="54" customFormat="1" ht="22.5" customHeight="1">
      <c r="A626" s="33">
        <v>168</v>
      </c>
      <c r="B626" s="42" t="s">
        <v>1244</v>
      </c>
      <c r="C626" s="158">
        <f t="shared" si="256"/>
        <v>27466590.350000001</v>
      </c>
      <c r="D626" s="79">
        <f t="shared" si="257"/>
        <v>0</v>
      </c>
      <c r="E626" s="92">
        <v>0</v>
      </c>
      <c r="F626" s="92">
        <v>0</v>
      </c>
      <c r="G626" s="158">
        <v>0</v>
      </c>
      <c r="H626" s="92">
        <v>0</v>
      </c>
      <c r="I626" s="158">
        <v>0</v>
      </c>
      <c r="J626" s="398">
        <v>5</v>
      </c>
      <c r="K626" s="158">
        <f>5262807+5262807+5262807+5262807+5262807</f>
        <v>26314035</v>
      </c>
      <c r="L626" s="79">
        <v>0</v>
      </c>
      <c r="M626" s="158">
        <v>0</v>
      </c>
      <c r="N626" s="92">
        <v>0</v>
      </c>
      <c r="O626" s="158">
        <v>0</v>
      </c>
      <c r="P626" s="92">
        <v>589435</v>
      </c>
      <c r="Q626" s="158">
        <v>0</v>
      </c>
      <c r="R626" s="79">
        <f>112624.07+112624.07+112624.07+112624.07+112624.07</f>
        <v>563120.35000000009</v>
      </c>
      <c r="S626" s="158">
        <v>0</v>
      </c>
      <c r="T626" s="79">
        <v>0</v>
      </c>
      <c r="U626" s="110"/>
      <c r="V626" s="110"/>
      <c r="W626" s="110"/>
      <c r="X626" s="110"/>
      <c r="Y626" s="110"/>
      <c r="Z626" s="110"/>
      <c r="AA626" s="110"/>
      <c r="AB626" s="110"/>
      <c r="AC626" s="110"/>
      <c r="AD626" s="110"/>
      <c r="AE626" s="110"/>
    </row>
    <row r="627" s="54" customFormat="1" ht="22.5" customHeight="1">
      <c r="A627" s="33">
        <v>169</v>
      </c>
      <c r="B627" s="42" t="s">
        <v>298</v>
      </c>
      <c r="C627" s="79">
        <f t="shared" si="256"/>
        <v>13863086.73</v>
      </c>
      <c r="D627" s="158">
        <f t="shared" si="257"/>
        <v>13572632.4</v>
      </c>
      <c r="E627" s="92">
        <v>0</v>
      </c>
      <c r="F627" s="92">
        <v>13572632.4</v>
      </c>
      <c r="G627" s="92">
        <v>0</v>
      </c>
      <c r="H627" s="92">
        <v>0</v>
      </c>
      <c r="I627" s="79">
        <v>0</v>
      </c>
      <c r="J627" s="398">
        <v>0</v>
      </c>
      <c r="K627" s="79">
        <v>0</v>
      </c>
      <c r="L627" s="79">
        <v>0</v>
      </c>
      <c r="M627" s="79">
        <v>0</v>
      </c>
      <c r="N627" s="79">
        <v>0</v>
      </c>
      <c r="O627" s="79">
        <v>0</v>
      </c>
      <c r="P627" s="92">
        <v>0</v>
      </c>
      <c r="Q627" s="79">
        <v>0</v>
      </c>
      <c r="R627" s="79">
        <v>290454.33000000002</v>
      </c>
      <c r="S627" s="79">
        <v>0</v>
      </c>
      <c r="T627" s="79">
        <v>0</v>
      </c>
      <c r="U627" s="110"/>
      <c r="V627" s="110"/>
      <c r="W627" s="110"/>
      <c r="X627" s="110"/>
      <c r="Y627" s="110"/>
      <c r="Z627" s="110"/>
      <c r="AA627" s="110"/>
      <c r="AB627" s="110"/>
      <c r="AC627" s="110"/>
      <c r="AD627" s="110"/>
      <c r="AE627" s="110"/>
      <c r="AF627" s="110"/>
      <c r="AG627" s="110"/>
      <c r="AH627" s="110"/>
      <c r="AI627" s="110"/>
    </row>
    <row r="628" s="54" customFormat="1" ht="22.5" customHeight="1">
      <c r="A628" s="33">
        <v>170</v>
      </c>
      <c r="B628" s="42" t="s">
        <v>1245</v>
      </c>
      <c r="C628" s="400">
        <f t="shared" si="256"/>
        <v>17769739.419999998</v>
      </c>
      <c r="D628" s="79">
        <f t="shared" si="257"/>
        <v>0</v>
      </c>
      <c r="E628" s="92">
        <v>0</v>
      </c>
      <c r="F628" s="92">
        <v>0</v>
      </c>
      <c r="G628" s="400">
        <v>0</v>
      </c>
      <c r="H628" s="92">
        <v>0</v>
      </c>
      <c r="I628" s="400">
        <v>0</v>
      </c>
      <c r="J628" s="345">
        <v>5</v>
      </c>
      <c r="K628" s="400">
        <v>17054393.399999999</v>
      </c>
      <c r="L628" s="158">
        <v>0</v>
      </c>
      <c r="M628" s="400">
        <v>0</v>
      </c>
      <c r="N628" s="92">
        <v>0</v>
      </c>
      <c r="O628" s="400">
        <v>0</v>
      </c>
      <c r="P628" s="92">
        <v>350382</v>
      </c>
      <c r="Q628" s="400">
        <v>0</v>
      </c>
      <c r="R628" s="158">
        <v>364964.02000000002</v>
      </c>
      <c r="S628" s="400">
        <v>0</v>
      </c>
      <c r="T628" s="79">
        <v>0</v>
      </c>
      <c r="U628" s="110"/>
      <c r="V628" s="110"/>
      <c r="W628" s="110"/>
      <c r="X628" s="110"/>
      <c r="Y628" s="110"/>
      <c r="Z628" s="110"/>
      <c r="AA628" s="110"/>
      <c r="AB628" s="110"/>
      <c r="AC628" s="110"/>
      <c r="AD628" s="110"/>
      <c r="AE628" s="110"/>
      <c r="AF628" s="110"/>
      <c r="AG628" s="110"/>
      <c r="AH628" s="110"/>
      <c r="AI628" s="110"/>
    </row>
    <row r="629" s="54" customFormat="1" ht="22.5" customHeight="1">
      <c r="A629" s="33">
        <v>171</v>
      </c>
      <c r="B629" s="42" t="s">
        <v>302</v>
      </c>
      <c r="C629" s="79">
        <f t="shared" si="256"/>
        <v>4261657.0999999996</v>
      </c>
      <c r="D629" s="79">
        <f t="shared" si="257"/>
        <v>4261657.0999999996</v>
      </c>
      <c r="E629" s="92">
        <v>0</v>
      </c>
      <c r="F629" s="92">
        <v>4261657.0999999996</v>
      </c>
      <c r="G629" s="92">
        <v>0</v>
      </c>
      <c r="H629" s="92">
        <v>0</v>
      </c>
      <c r="I629" s="92">
        <v>0</v>
      </c>
      <c r="J629" s="398">
        <v>0</v>
      </c>
      <c r="K629" s="79">
        <v>0</v>
      </c>
      <c r="L629" s="79">
        <v>0</v>
      </c>
      <c r="M629" s="92">
        <v>0</v>
      </c>
      <c r="N629" s="92">
        <v>0</v>
      </c>
      <c r="O629" s="79">
        <v>0</v>
      </c>
      <c r="P629" s="92">
        <v>0</v>
      </c>
      <c r="Q629" s="79">
        <v>0</v>
      </c>
      <c r="R629" s="79">
        <v>0</v>
      </c>
      <c r="S629" s="79">
        <v>0</v>
      </c>
      <c r="T629" s="79">
        <v>0</v>
      </c>
      <c r="U629" s="54"/>
      <c r="V629" s="54"/>
      <c r="W629" s="54"/>
      <c r="X629" s="54"/>
      <c r="Y629" s="54"/>
      <c r="Z629" s="54"/>
      <c r="AA629" s="54"/>
      <c r="AB629" s="54"/>
      <c r="AC629" s="54"/>
      <c r="AD629" s="54"/>
      <c r="AE629" s="54"/>
      <c r="AF629" s="54"/>
      <c r="AG629" s="54"/>
      <c r="AH629" s="54"/>
      <c r="AI629" s="54"/>
    </row>
    <row r="630" s="54" customFormat="1" ht="22.5" customHeight="1">
      <c r="A630" s="61" t="s">
        <v>303</v>
      </c>
      <c r="B630" s="61"/>
      <c r="C630" s="154">
        <f>C631</f>
        <v>4801450.8500000006</v>
      </c>
      <c r="D630" s="154">
        <f>D631</f>
        <v>0</v>
      </c>
      <c r="E630" s="154">
        <f>E631</f>
        <v>0</v>
      </c>
      <c r="F630" s="154">
        <f>F631</f>
        <v>0</v>
      </c>
      <c r="G630" s="154">
        <f>G631</f>
        <v>0</v>
      </c>
      <c r="H630" s="154">
        <f>H631</f>
        <v>0</v>
      </c>
      <c r="I630" s="154">
        <f>I631</f>
        <v>0</v>
      </c>
      <c r="J630" s="155">
        <f>J631</f>
        <v>0</v>
      </c>
      <c r="K630" s="154">
        <f>K631</f>
        <v>0</v>
      </c>
      <c r="L630" s="154">
        <f>L631</f>
        <v>0</v>
      </c>
      <c r="M630" s="154">
        <f>M631</f>
        <v>0</v>
      </c>
      <c r="N630" s="154">
        <f>N631</f>
        <v>4630462.8700000001</v>
      </c>
      <c r="O630" s="154">
        <f>O631</f>
        <v>0</v>
      </c>
      <c r="P630" s="154">
        <f>P631</f>
        <v>0</v>
      </c>
      <c r="Q630" s="154">
        <f>Q631</f>
        <v>0</v>
      </c>
      <c r="R630" s="154">
        <f>R631</f>
        <v>170987.98000000001</v>
      </c>
      <c r="S630" s="154">
        <f>S631</f>
        <v>0</v>
      </c>
      <c r="T630" s="154">
        <f>T631</f>
        <v>0</v>
      </c>
      <c r="U630" s="60"/>
      <c r="V630" s="60"/>
      <c r="W630" s="60"/>
      <c r="X630" s="60"/>
      <c r="Y630" s="60"/>
      <c r="Z630" s="60"/>
      <c r="AA630" s="60"/>
      <c r="AB630" s="60"/>
      <c r="AC630" s="60"/>
      <c r="AD630" s="60"/>
      <c r="AE630" s="60"/>
      <c r="AF630" s="60"/>
      <c r="AG630" s="60"/>
      <c r="AH630" s="60"/>
      <c r="AI630" s="60"/>
    </row>
    <row r="631" s="54" customFormat="1" ht="22.5" customHeight="1">
      <c r="A631" s="33">
        <v>1</v>
      </c>
      <c r="B631" s="52" t="s">
        <v>647</v>
      </c>
      <c r="C631" s="79">
        <f>D631+K631+L631+M631+N631+O631+P631+Q631+R631+S631+T631</f>
        <v>4801450.8500000006</v>
      </c>
      <c r="D631" s="79">
        <f>SUM(E631:I631)</f>
        <v>0</v>
      </c>
      <c r="E631" s="79">
        <v>0</v>
      </c>
      <c r="F631" s="79">
        <v>0</v>
      </c>
      <c r="G631" s="79">
        <v>0</v>
      </c>
      <c r="H631" s="79">
        <v>0</v>
      </c>
      <c r="I631" s="79">
        <v>0</v>
      </c>
      <c r="J631" s="398">
        <v>0</v>
      </c>
      <c r="K631" s="79">
        <v>0</v>
      </c>
      <c r="L631" s="79">
        <v>0</v>
      </c>
      <c r="M631" s="79">
        <v>0</v>
      </c>
      <c r="N631" s="79">
        <v>4630462.8700000001</v>
      </c>
      <c r="O631" s="79">
        <v>0</v>
      </c>
      <c r="P631" s="79">
        <v>0</v>
      </c>
      <c r="Q631" s="79">
        <v>0</v>
      </c>
      <c r="R631" s="79">
        <v>170987.98000000001</v>
      </c>
      <c r="S631" s="79">
        <v>0</v>
      </c>
      <c r="T631" s="79">
        <v>0</v>
      </c>
      <c r="U631" s="60"/>
      <c r="V631" s="60"/>
      <c r="W631" s="60"/>
      <c r="X631" s="60"/>
      <c r="Y631" s="60"/>
      <c r="Z631" s="60"/>
      <c r="AA631" s="60"/>
      <c r="AB631" s="60"/>
      <c r="AC631" s="60"/>
      <c r="AD631" s="60"/>
      <c r="AE631" s="60"/>
      <c r="AF631" s="60"/>
      <c r="AG631" s="60"/>
      <c r="AH631" s="60"/>
      <c r="AI631" s="60"/>
    </row>
    <row r="632" s="350" customFormat="1" ht="22.5" customHeight="1">
      <c r="A632" s="25" t="s">
        <v>308</v>
      </c>
      <c r="B632" s="25"/>
      <c r="C632" s="154">
        <f>SUM(C633:C635)</f>
        <v>26413494.32</v>
      </c>
      <c r="D632" s="154">
        <f>SUM(D633:D635)</f>
        <v>18716223.149999999</v>
      </c>
      <c r="E632" s="154">
        <f>SUM(E633:E635)</f>
        <v>6543763.7999999998</v>
      </c>
      <c r="F632" s="154">
        <f>SUM(F633:F635)</f>
        <v>4316627.9400000004</v>
      </c>
      <c r="G632" s="154">
        <f>SUM(G633:G635)</f>
        <v>6754828.8700000001</v>
      </c>
      <c r="H632" s="154">
        <f>SUM(H633:H635)</f>
        <v>0</v>
      </c>
      <c r="I632" s="154">
        <f>SUM(I633:I635)</f>
        <v>1101002.54</v>
      </c>
      <c r="J632" s="155">
        <f>SUM(J633:J635)</f>
        <v>0</v>
      </c>
      <c r="K632" s="154">
        <f>SUM(K633:K635)</f>
        <v>0</v>
      </c>
      <c r="L632" s="154">
        <f>SUM(L633:L635)</f>
        <v>0</v>
      </c>
      <c r="M632" s="154">
        <f>SUM(M633:M635)</f>
        <v>0</v>
      </c>
      <c r="N632" s="154">
        <f>SUM(N633:N635)</f>
        <v>6106709.4000000004</v>
      </c>
      <c r="O632" s="154">
        <f>SUM(O633:O635)</f>
        <v>0</v>
      </c>
      <c r="P632" s="154">
        <f>SUM(P633:P635)</f>
        <v>1051146</v>
      </c>
      <c r="Q632" s="154">
        <f>SUM(Q633:Q635)</f>
        <v>0</v>
      </c>
      <c r="R632" s="154">
        <f>SUM(R633:R635)</f>
        <v>539415.7699999999</v>
      </c>
      <c r="S632" s="154">
        <f>SUM(S633:S635)</f>
        <v>0</v>
      </c>
      <c r="T632" s="154">
        <f>SUM(T633:T635)</f>
        <v>0</v>
      </c>
      <c r="U632" s="350"/>
      <c r="V632" s="350"/>
      <c r="W632" s="350"/>
      <c r="X632" s="350"/>
      <c r="Y632" s="350"/>
      <c r="Z632" s="350"/>
      <c r="AA632" s="350"/>
      <c r="AB632" s="350"/>
      <c r="AC632" s="350"/>
      <c r="AD632" s="350"/>
      <c r="AE632" s="350"/>
      <c r="AF632" s="350"/>
      <c r="AG632" s="350"/>
      <c r="AH632" s="350"/>
      <c r="AI632" s="350"/>
    </row>
    <row r="633" s="54" customFormat="1" ht="22.5" customHeight="1">
      <c r="A633" s="33">
        <v>1</v>
      </c>
      <c r="B633" s="50" t="s">
        <v>1246</v>
      </c>
      <c r="C633" s="79">
        <f t="shared" ref="C633:C635" si="259">D633+K633+L633+M633+N633+O633+P633+Q633+R633+S633+T633</f>
        <v>16260493.48</v>
      </c>
      <c r="D633" s="79">
        <f t="shared" ref="D633:D635" si="260">SUM(E633:I633)</f>
        <v>12814583.57</v>
      </c>
      <c r="E633" s="92">
        <v>6543763.7999999998</v>
      </c>
      <c r="F633" s="92">
        <v>4316627.9400000004</v>
      </c>
      <c r="G633" s="92">
        <v>1954191.8300000001</v>
      </c>
      <c r="H633" s="92">
        <v>0</v>
      </c>
      <c r="I633" s="92">
        <v>0</v>
      </c>
      <c r="J633" s="398">
        <v>0</v>
      </c>
      <c r="K633" s="79">
        <v>0</v>
      </c>
      <c r="L633" s="79">
        <v>0</v>
      </c>
      <c r="M633" s="79">
        <v>0</v>
      </c>
      <c r="N633" s="79">
        <v>2755131</v>
      </c>
      <c r="O633" s="79">
        <v>0</v>
      </c>
      <c r="P633" s="92">
        <v>350382</v>
      </c>
      <c r="Q633" s="79">
        <v>0</v>
      </c>
      <c r="R633" s="79">
        <f>41819.71+99580.85+140036.55+58959.8</f>
        <v>340396.90999999997</v>
      </c>
      <c r="S633" s="79">
        <v>0</v>
      </c>
      <c r="T633" s="79">
        <v>0</v>
      </c>
      <c r="U633" s="54"/>
      <c r="V633" s="54"/>
      <c r="W633" s="54"/>
      <c r="X633" s="54"/>
      <c r="Y633" s="54"/>
      <c r="Z633" s="54"/>
      <c r="AA633" s="54"/>
      <c r="AB633" s="54"/>
      <c r="AC633" s="54"/>
      <c r="AD633" s="54"/>
      <c r="AE633" s="54"/>
      <c r="AF633" s="54"/>
      <c r="AG633" s="54"/>
      <c r="AH633" s="54"/>
      <c r="AI633" s="54"/>
    </row>
    <row r="634" s="54" customFormat="1" ht="22.5" customHeight="1">
      <c r="A634" s="33">
        <v>2</v>
      </c>
      <c r="B634" s="50" t="s">
        <v>312</v>
      </c>
      <c r="C634" s="79">
        <f t="shared" si="259"/>
        <v>5500095.0100000007</v>
      </c>
      <c r="D634" s="79">
        <f t="shared" si="260"/>
        <v>2032301.5800000001</v>
      </c>
      <c r="E634" s="92">
        <v>0</v>
      </c>
      <c r="F634" s="79">
        <v>0</v>
      </c>
      <c r="G634" s="92">
        <v>2032301.5800000001</v>
      </c>
      <c r="H634" s="92">
        <v>0</v>
      </c>
      <c r="I634" s="92">
        <v>0</v>
      </c>
      <c r="J634" s="398">
        <v>0</v>
      </c>
      <c r="K634" s="79">
        <v>0</v>
      </c>
      <c r="L634" s="79">
        <v>0</v>
      </c>
      <c r="M634" s="79">
        <v>0</v>
      </c>
      <c r="N634" s="79">
        <v>3351578.3999999999</v>
      </c>
      <c r="O634" s="79">
        <v>0</v>
      </c>
      <c r="P634" s="92">
        <v>0</v>
      </c>
      <c r="Q634" s="79">
        <v>0</v>
      </c>
      <c r="R634" s="79">
        <f>44491.25+71723.78</f>
        <v>116215.03</v>
      </c>
      <c r="S634" s="79">
        <v>0</v>
      </c>
      <c r="T634" s="79">
        <v>0</v>
      </c>
      <c r="U634" s="54"/>
      <c r="V634" s="54"/>
      <c r="W634" s="54"/>
      <c r="X634" s="54"/>
      <c r="Y634" s="54"/>
      <c r="Z634" s="54"/>
      <c r="AA634" s="54"/>
      <c r="AB634" s="54"/>
      <c r="AC634" s="54"/>
      <c r="AD634" s="54"/>
      <c r="AE634" s="54"/>
      <c r="AF634" s="54"/>
      <c r="AG634" s="54"/>
      <c r="AH634" s="54"/>
      <c r="AI634" s="54"/>
    </row>
    <row r="635" s="54" customFormat="1" ht="22.5" customHeight="1">
      <c r="A635" s="33">
        <v>3</v>
      </c>
      <c r="B635" s="50" t="s">
        <v>1247</v>
      </c>
      <c r="C635" s="79">
        <f t="shared" si="259"/>
        <v>4652905.8300000001</v>
      </c>
      <c r="D635" s="79">
        <f t="shared" si="260"/>
        <v>3869338</v>
      </c>
      <c r="E635" s="92">
        <v>0</v>
      </c>
      <c r="F635" s="79">
        <v>0</v>
      </c>
      <c r="G635" s="92">
        <v>2768335.46</v>
      </c>
      <c r="H635" s="92">
        <v>0</v>
      </c>
      <c r="I635" s="92">
        <v>1101002.54</v>
      </c>
      <c r="J635" s="398">
        <v>0</v>
      </c>
      <c r="K635" s="92">
        <v>0</v>
      </c>
      <c r="L635" s="79">
        <v>0</v>
      </c>
      <c r="M635" s="79">
        <v>0</v>
      </c>
      <c r="N635" s="79">
        <v>0</v>
      </c>
      <c r="O635" s="92">
        <v>0</v>
      </c>
      <c r="P635" s="79">
        <f>350382+350382</f>
        <v>700764</v>
      </c>
      <c r="Q635" s="92">
        <v>0</v>
      </c>
      <c r="R635" s="79">
        <f>59242.38+23561.45</f>
        <v>82803.830000000002</v>
      </c>
      <c r="S635" s="92">
        <v>0</v>
      </c>
      <c r="T635" s="79">
        <v>0</v>
      </c>
      <c r="U635" s="54"/>
      <c r="V635" s="54"/>
      <c r="W635" s="54"/>
      <c r="X635" s="54"/>
      <c r="Y635" s="54"/>
      <c r="Z635" s="54"/>
      <c r="AA635" s="54"/>
      <c r="AB635" s="54"/>
      <c r="AC635" s="54"/>
      <c r="AD635" s="54"/>
      <c r="AE635" s="54"/>
    </row>
    <row r="636" s="413" customFormat="1" ht="27.75" customHeight="1">
      <c r="A636" s="439" t="s">
        <v>317</v>
      </c>
      <c r="B636" s="439"/>
      <c r="C636" s="154">
        <f>SUM(C637:C644)</f>
        <v>32293446.030000001</v>
      </c>
      <c r="D636" s="154">
        <f>SUM(D637:D644)</f>
        <v>6369385.2599999998</v>
      </c>
      <c r="E636" s="154">
        <f>SUM(E637:E644)</f>
        <v>1486100</v>
      </c>
      <c r="F636" s="154">
        <f>SUM(F637:F644)</f>
        <v>3625819.6600000001</v>
      </c>
      <c r="G636" s="154">
        <f>SUM(G637:G644)</f>
        <v>0</v>
      </c>
      <c r="H636" s="154">
        <f>SUM(H637:H644)</f>
        <v>0</v>
      </c>
      <c r="I636" s="154">
        <f>SUM(I637:I644)</f>
        <v>1257465.6000000001</v>
      </c>
      <c r="J636" s="155">
        <f>SUM(J637:J644)</f>
        <v>0</v>
      </c>
      <c r="K636" s="154">
        <f>SUM(K637:K644)</f>
        <v>0</v>
      </c>
      <c r="L636" s="154">
        <f>SUM(L637:L644)</f>
        <v>22881377.880000003</v>
      </c>
      <c r="M636" s="154">
        <f>SUM(M637:M644)</f>
        <v>0</v>
      </c>
      <c r="N636" s="154">
        <f>SUM(N637:N644)</f>
        <v>0</v>
      </c>
      <c r="O636" s="154">
        <f>SUM(O637:O644)</f>
        <v>0</v>
      </c>
      <c r="P636" s="154">
        <f>SUM(P637:P644)</f>
        <v>2390346</v>
      </c>
      <c r="Q636" s="154">
        <f>SUM(Q637:Q644)</f>
        <v>0</v>
      </c>
      <c r="R636" s="154">
        <f>SUM(R637:R644)</f>
        <v>652336.89000000001</v>
      </c>
      <c r="S636" s="154">
        <f>SUM(S637:S644)</f>
        <v>0</v>
      </c>
      <c r="T636" s="154">
        <f>SUM(T637:T644)</f>
        <v>0</v>
      </c>
      <c r="U636" s="413"/>
      <c r="V636" s="413"/>
      <c r="W636" s="413"/>
      <c r="X636" s="413"/>
      <c r="Y636" s="413"/>
      <c r="Z636" s="413"/>
      <c r="AA636" s="413"/>
      <c r="AB636" s="413"/>
      <c r="AC636" s="413"/>
      <c r="AD636" s="413"/>
      <c r="AE636" s="413"/>
      <c r="AF636" s="413"/>
      <c r="AG636" s="413"/>
      <c r="AH636" s="413"/>
      <c r="AI636" s="413"/>
    </row>
    <row r="637" s="440" customFormat="1" ht="27.75" customHeight="1">
      <c r="A637" s="414">
        <v>1</v>
      </c>
      <c r="B637" s="50" t="s">
        <v>1248</v>
      </c>
      <c r="C637" s="79">
        <f t="shared" ref="C637:C644" si="261">D637+K637+L637+M637+N637+O637+P637+Q637+R637+S637+T637</f>
        <v>1062376</v>
      </c>
      <c r="D637" s="79">
        <f t="shared" ref="D637:D644" si="262">SUM(E637:I637)</f>
        <v>0</v>
      </c>
      <c r="E637" s="79">
        <v>0</v>
      </c>
      <c r="F637" s="79">
        <v>0</v>
      </c>
      <c r="G637" s="79">
        <v>0</v>
      </c>
      <c r="H637" s="79">
        <v>0</v>
      </c>
      <c r="I637" s="79">
        <v>0</v>
      </c>
      <c r="J637" s="398">
        <v>0</v>
      </c>
      <c r="K637" s="79">
        <v>0</v>
      </c>
      <c r="L637" s="79">
        <v>0</v>
      </c>
      <c r="M637" s="79">
        <v>0</v>
      </c>
      <c r="N637" s="79">
        <v>0</v>
      </c>
      <c r="O637" s="79">
        <v>0</v>
      </c>
      <c r="P637" s="79">
        <v>1062376</v>
      </c>
      <c r="Q637" s="79">
        <v>0</v>
      </c>
      <c r="R637" s="79">
        <v>0</v>
      </c>
      <c r="S637" s="79">
        <v>0</v>
      </c>
      <c r="T637" s="79">
        <v>0</v>
      </c>
      <c r="U637" s="440"/>
      <c r="V637" s="440"/>
      <c r="W637" s="440"/>
      <c r="X637" s="440"/>
      <c r="Y637" s="440"/>
      <c r="Z637" s="440"/>
      <c r="AA637" s="440"/>
      <c r="AB637" s="440"/>
      <c r="AC637" s="440"/>
      <c r="AD637" s="440"/>
      <c r="AE637" s="440"/>
      <c r="AF637" s="440"/>
      <c r="AG637" s="440"/>
      <c r="AH637" s="440"/>
      <c r="AI637" s="440"/>
    </row>
    <row r="638" s="440" customFormat="1" ht="22.5" customHeight="1">
      <c r="A638" s="414">
        <v>2</v>
      </c>
      <c r="B638" s="50" t="s">
        <v>1249</v>
      </c>
      <c r="C638" s="79">
        <f t="shared" si="261"/>
        <v>1783496.54</v>
      </c>
      <c r="D638" s="79">
        <f t="shared" si="262"/>
        <v>1486100</v>
      </c>
      <c r="E638" s="79">
        <v>1486100</v>
      </c>
      <c r="F638" s="79">
        <v>0</v>
      </c>
      <c r="G638" s="79">
        <v>0</v>
      </c>
      <c r="H638" s="79">
        <v>0</v>
      </c>
      <c r="I638" s="79">
        <v>0</v>
      </c>
      <c r="J638" s="398">
        <v>0</v>
      </c>
      <c r="K638" s="79">
        <v>0</v>
      </c>
      <c r="L638" s="79">
        <v>0</v>
      </c>
      <c r="M638" s="79">
        <v>0</v>
      </c>
      <c r="N638" s="79">
        <v>0</v>
      </c>
      <c r="O638" s="79">
        <v>0</v>
      </c>
      <c r="P638" s="79">
        <v>265594</v>
      </c>
      <c r="Q638" s="79">
        <v>0</v>
      </c>
      <c r="R638" s="79">
        <v>31802.540000000001</v>
      </c>
      <c r="S638" s="79">
        <v>0</v>
      </c>
      <c r="T638" s="79">
        <v>0</v>
      </c>
      <c r="U638" s="440"/>
      <c r="V638" s="440"/>
      <c r="W638" s="440"/>
      <c r="X638" s="440"/>
      <c r="Y638" s="440"/>
      <c r="Z638" s="440"/>
      <c r="AA638" s="440"/>
      <c r="AB638" s="440"/>
      <c r="AC638" s="440"/>
      <c r="AD638" s="440"/>
      <c r="AE638" s="440"/>
      <c r="AF638" s="440"/>
      <c r="AG638" s="440"/>
      <c r="AH638" s="440"/>
      <c r="AI638" s="440"/>
    </row>
    <row r="639" s="440" customFormat="1" ht="21" customHeight="1">
      <c r="A639" s="414">
        <v>3</v>
      </c>
      <c r="B639" s="50" t="s">
        <v>1250</v>
      </c>
      <c r="C639" s="158">
        <f t="shared" si="261"/>
        <v>1549969.3600000001</v>
      </c>
      <c r="D639" s="79">
        <f t="shared" si="262"/>
        <v>1257465.6000000001</v>
      </c>
      <c r="E639" s="158">
        <v>0</v>
      </c>
      <c r="F639" s="92">
        <v>0</v>
      </c>
      <c r="G639" s="158">
        <v>0</v>
      </c>
      <c r="H639" s="79">
        <v>0</v>
      </c>
      <c r="I639" s="158">
        <v>1257465.6000000001</v>
      </c>
      <c r="J639" s="398">
        <v>0</v>
      </c>
      <c r="K639" s="158">
        <v>0</v>
      </c>
      <c r="L639" s="92">
        <v>0</v>
      </c>
      <c r="M639" s="158">
        <v>0</v>
      </c>
      <c r="N639" s="92">
        <v>0</v>
      </c>
      <c r="O639" s="158">
        <v>0</v>
      </c>
      <c r="P639" s="92">
        <v>265594</v>
      </c>
      <c r="Q639" s="158">
        <v>0</v>
      </c>
      <c r="R639" s="56">
        <v>26909.759999999998</v>
      </c>
      <c r="S639" s="158">
        <v>0</v>
      </c>
      <c r="T639" s="79">
        <v>0</v>
      </c>
      <c r="U639" s="110"/>
      <c r="V639" s="110"/>
      <c r="W639" s="110"/>
      <c r="X639" s="110"/>
      <c r="Y639" s="110"/>
      <c r="Z639" s="110"/>
      <c r="AA639" s="110"/>
      <c r="AB639" s="110"/>
      <c r="AC639" s="110"/>
      <c r="AD639" s="110"/>
      <c r="AE639" s="110"/>
      <c r="AF639" s="440"/>
      <c r="AG639" s="440"/>
      <c r="AH639" s="440"/>
      <c r="AI639" s="440"/>
    </row>
    <row r="640" s="350" customFormat="1" ht="22.5" customHeight="1">
      <c r="A640" s="414">
        <v>4</v>
      </c>
      <c r="B640" s="50" t="s">
        <v>321</v>
      </c>
      <c r="C640" s="79">
        <f t="shared" si="261"/>
        <v>2167883.4500000002</v>
      </c>
      <c r="D640" s="79">
        <f t="shared" si="262"/>
        <v>2122537.6000000001</v>
      </c>
      <c r="E640" s="79">
        <v>0</v>
      </c>
      <c r="F640" s="79">
        <v>2122537.6000000001</v>
      </c>
      <c r="G640" s="79">
        <v>0</v>
      </c>
      <c r="H640" s="79">
        <v>0</v>
      </c>
      <c r="I640" s="92">
        <v>0</v>
      </c>
      <c r="J640" s="398">
        <v>0</v>
      </c>
      <c r="K640" s="79">
        <v>0</v>
      </c>
      <c r="L640" s="79">
        <v>0</v>
      </c>
      <c r="M640" s="79">
        <v>0</v>
      </c>
      <c r="N640" s="79">
        <v>0</v>
      </c>
      <c r="O640" s="79">
        <v>0</v>
      </c>
      <c r="P640" s="92">
        <v>0</v>
      </c>
      <c r="Q640" s="79">
        <v>0</v>
      </c>
      <c r="R640" s="56">
        <v>45345.849999999999</v>
      </c>
      <c r="S640" s="79">
        <v>0</v>
      </c>
      <c r="T640" s="79">
        <v>0</v>
      </c>
      <c r="U640" s="350"/>
      <c r="V640" s="350"/>
      <c r="W640" s="350"/>
      <c r="X640" s="350"/>
      <c r="Y640" s="350"/>
      <c r="Z640" s="350"/>
      <c r="AA640" s="350"/>
      <c r="AB640" s="350"/>
      <c r="AC640" s="350"/>
      <c r="AD640" s="350"/>
      <c r="AE640" s="350"/>
      <c r="AF640" s="350"/>
      <c r="AG640" s="350"/>
      <c r="AH640" s="350"/>
      <c r="AI640" s="350"/>
    </row>
    <row r="641" s="399" customFormat="1" ht="22.5" customHeight="1">
      <c r="A641" s="414">
        <v>5</v>
      </c>
      <c r="B641" s="50" t="s">
        <v>1251</v>
      </c>
      <c r="C641" s="79">
        <f t="shared" si="261"/>
        <v>9045370.5099999998</v>
      </c>
      <c r="D641" s="79">
        <f t="shared" si="262"/>
        <v>0</v>
      </c>
      <c r="E641" s="79">
        <v>0</v>
      </c>
      <c r="F641" s="79">
        <v>0</v>
      </c>
      <c r="G641" s="79">
        <v>0</v>
      </c>
      <c r="H641" s="79">
        <v>0</v>
      </c>
      <c r="I641" s="92">
        <v>0</v>
      </c>
      <c r="J641" s="398">
        <v>0</v>
      </c>
      <c r="K641" s="79">
        <v>0</v>
      </c>
      <c r="L641" s="79">
        <v>8595825.8399999999</v>
      </c>
      <c r="M641" s="79">
        <v>0</v>
      </c>
      <c r="N641" s="79">
        <v>0</v>
      </c>
      <c r="O641" s="79">
        <v>0</v>
      </c>
      <c r="P641" s="92">
        <v>265594</v>
      </c>
      <c r="Q641" s="79">
        <v>0</v>
      </c>
      <c r="R641" s="56">
        <v>183950.67000000001</v>
      </c>
      <c r="S641" s="79">
        <v>0</v>
      </c>
      <c r="T641" s="79">
        <v>0</v>
      </c>
      <c r="U641" s="399"/>
      <c r="V641" s="399"/>
      <c r="W641" s="399"/>
      <c r="X641" s="399"/>
      <c r="Y641" s="399"/>
      <c r="Z641" s="399"/>
      <c r="AA641" s="399"/>
      <c r="AB641" s="399"/>
      <c r="AC641" s="399"/>
      <c r="AD641" s="399"/>
      <c r="AE641" s="399"/>
      <c r="AF641" s="399"/>
      <c r="AG641" s="399"/>
      <c r="AH641" s="399"/>
      <c r="AI641" s="399"/>
    </row>
    <row r="642" s="399" customFormat="1" ht="22.5" customHeight="1">
      <c r="A642" s="414">
        <v>6</v>
      </c>
      <c r="B642" s="50" t="s">
        <v>1252</v>
      </c>
      <c r="C642" s="79">
        <f t="shared" si="261"/>
        <v>9086700.3200000003</v>
      </c>
      <c r="D642" s="79">
        <f t="shared" si="262"/>
        <v>0</v>
      </c>
      <c r="E642" s="79">
        <v>0</v>
      </c>
      <c r="F642" s="79">
        <v>0</v>
      </c>
      <c r="G642" s="79">
        <v>0</v>
      </c>
      <c r="H642" s="79">
        <v>0</v>
      </c>
      <c r="I642" s="92">
        <v>0</v>
      </c>
      <c r="J642" s="398">
        <v>0</v>
      </c>
      <c r="K642" s="79">
        <v>0</v>
      </c>
      <c r="L642" s="79">
        <v>8636289.7200000007</v>
      </c>
      <c r="M642" s="79">
        <v>0</v>
      </c>
      <c r="N642" s="79">
        <v>0</v>
      </c>
      <c r="O642" s="79">
        <v>0</v>
      </c>
      <c r="P642" s="92">
        <v>265594</v>
      </c>
      <c r="Q642" s="79">
        <v>0</v>
      </c>
      <c r="R642" s="56">
        <v>184816.60000000001</v>
      </c>
      <c r="S642" s="79">
        <v>0</v>
      </c>
      <c r="T642" s="79">
        <v>0</v>
      </c>
      <c r="U642" s="399"/>
      <c r="V642" s="399"/>
      <c r="W642" s="399"/>
      <c r="X642" s="399"/>
      <c r="Y642" s="399"/>
      <c r="Z642" s="399"/>
      <c r="AA642" s="399"/>
      <c r="AB642" s="399"/>
      <c r="AC642" s="399"/>
      <c r="AD642" s="399"/>
      <c r="AE642" s="399"/>
      <c r="AF642" s="399"/>
      <c r="AG642" s="399"/>
      <c r="AH642" s="399"/>
      <c r="AI642" s="399"/>
    </row>
    <row r="643" s="399" customFormat="1" ht="22.5" customHeight="1">
      <c r="A643" s="414">
        <v>7</v>
      </c>
      <c r="B643" s="50" t="s">
        <v>1253</v>
      </c>
      <c r="C643" s="79">
        <f t="shared" si="261"/>
        <v>6035750.5300000003</v>
      </c>
      <c r="D643" s="79">
        <f t="shared" si="262"/>
        <v>0</v>
      </c>
      <c r="E643" s="79">
        <v>0</v>
      </c>
      <c r="F643" s="79">
        <v>0</v>
      </c>
      <c r="G643" s="79">
        <v>0</v>
      </c>
      <c r="H643" s="79">
        <v>0</v>
      </c>
      <c r="I643" s="92">
        <v>0</v>
      </c>
      <c r="J643" s="398">
        <v>0</v>
      </c>
      <c r="K643" s="79">
        <v>0</v>
      </c>
      <c r="L643" s="79">
        <v>5649262.3200000003</v>
      </c>
      <c r="M643" s="79">
        <v>0</v>
      </c>
      <c r="N643" s="79">
        <v>0</v>
      </c>
      <c r="O643" s="79">
        <v>0</v>
      </c>
      <c r="P643" s="92">
        <v>265594</v>
      </c>
      <c r="Q643" s="79">
        <v>0</v>
      </c>
      <c r="R643" s="56">
        <v>120894.21000000001</v>
      </c>
      <c r="S643" s="79">
        <v>0</v>
      </c>
      <c r="T643" s="79">
        <v>0</v>
      </c>
      <c r="U643" s="399"/>
      <c r="V643" s="399"/>
      <c r="W643" s="399"/>
      <c r="X643" s="399"/>
      <c r="Y643" s="399"/>
      <c r="Z643" s="399"/>
      <c r="AA643" s="399"/>
      <c r="AB643" s="399"/>
      <c r="AC643" s="399"/>
      <c r="AD643" s="399"/>
      <c r="AE643" s="399"/>
      <c r="AF643" s="399"/>
      <c r="AG643" s="399"/>
      <c r="AH643" s="399"/>
      <c r="AI643" s="399"/>
    </row>
    <row r="644" s="350" customFormat="1" ht="22.5" customHeight="1">
      <c r="A644" s="414">
        <v>8</v>
      </c>
      <c r="B644" s="50" t="s">
        <v>323</v>
      </c>
      <c r="C644" s="79">
        <f t="shared" si="261"/>
        <v>1561899.3200000001</v>
      </c>
      <c r="D644" s="79">
        <f t="shared" si="262"/>
        <v>1503282.0600000001</v>
      </c>
      <c r="E644" s="79">
        <v>0</v>
      </c>
      <c r="F644" s="79">
        <v>1503282.0600000001</v>
      </c>
      <c r="G644" s="79">
        <v>0</v>
      </c>
      <c r="H644" s="79">
        <v>0</v>
      </c>
      <c r="I644" s="79">
        <v>0</v>
      </c>
      <c r="J644" s="398">
        <v>0</v>
      </c>
      <c r="K644" s="79">
        <v>0</v>
      </c>
      <c r="L644" s="79">
        <v>0</v>
      </c>
      <c r="M644" s="79">
        <v>0</v>
      </c>
      <c r="N644" s="79">
        <v>0</v>
      </c>
      <c r="O644" s="79">
        <v>0</v>
      </c>
      <c r="P644" s="79">
        <v>0</v>
      </c>
      <c r="Q644" s="79">
        <v>0</v>
      </c>
      <c r="R644" s="79">
        <v>58617.260000000002</v>
      </c>
      <c r="S644" s="79">
        <v>0</v>
      </c>
      <c r="T644" s="79">
        <v>0</v>
      </c>
      <c r="U644" s="350"/>
      <c r="V644" s="350"/>
      <c r="W644" s="350"/>
      <c r="X644" s="350"/>
      <c r="Y644" s="350"/>
      <c r="Z644" s="350"/>
      <c r="AA644" s="350"/>
      <c r="AB644" s="350"/>
      <c r="AC644" s="350"/>
      <c r="AD644" s="350"/>
      <c r="AE644" s="350"/>
      <c r="AF644" s="350"/>
      <c r="AG644" s="350"/>
      <c r="AH644" s="350"/>
      <c r="AI644" s="350"/>
    </row>
    <row r="645" s="350" customFormat="1" ht="22.5" customHeight="1">
      <c r="A645" s="25" t="s">
        <v>324</v>
      </c>
      <c r="B645" s="25"/>
      <c r="C645" s="154">
        <f>SUM(C646:C659)</f>
        <v>46314136.319999993</v>
      </c>
      <c r="D645" s="154">
        <f>SUM(D646:D659)</f>
        <v>21550269.179999996</v>
      </c>
      <c r="E645" s="154">
        <f>SUM(E646:E659)</f>
        <v>0</v>
      </c>
      <c r="F645" s="154">
        <f>SUM(F646:F659)</f>
        <v>14517524.49</v>
      </c>
      <c r="G645" s="154">
        <f>SUM(G646:G659)</f>
        <v>120168.10000000001</v>
      </c>
      <c r="H645" s="154">
        <f>SUM(H646:H659)</f>
        <v>3240939.23</v>
      </c>
      <c r="I645" s="154">
        <f>SUM(I646:I659)</f>
        <v>3671637.3599999999</v>
      </c>
      <c r="J645" s="155">
        <f>SUM(J646:J659)</f>
        <v>0</v>
      </c>
      <c r="K645" s="154">
        <f>SUM(K646:K659)</f>
        <v>0</v>
      </c>
      <c r="L645" s="154">
        <f>SUM(L646:L659)</f>
        <v>19368147.539999999</v>
      </c>
      <c r="M645" s="154">
        <f>SUM(M646:M659)</f>
        <v>0</v>
      </c>
      <c r="N645" s="154">
        <f>SUM(N646:N659)</f>
        <v>0</v>
      </c>
      <c r="O645" s="154">
        <f>SUM(O646:O659)</f>
        <v>0</v>
      </c>
      <c r="P645" s="154">
        <f>SUM(P646:P659)</f>
        <v>4492638</v>
      </c>
      <c r="Q645" s="154">
        <f>SUM(Q646:Q659)</f>
        <v>0</v>
      </c>
      <c r="R645" s="154">
        <f>SUM(R646:R659)</f>
        <v>903081.59999999998</v>
      </c>
      <c r="S645" s="154">
        <f>SUM(S646:S659)</f>
        <v>0</v>
      </c>
      <c r="T645" s="154">
        <f>SUM(T646:T659)</f>
        <v>0</v>
      </c>
      <c r="U645" s="350"/>
      <c r="V645" s="350"/>
      <c r="W645" s="350"/>
      <c r="X645" s="350"/>
      <c r="Y645" s="350"/>
      <c r="Z645" s="350"/>
      <c r="AA645" s="350"/>
      <c r="AB645" s="350"/>
      <c r="AC645" s="350"/>
      <c r="AD645" s="350"/>
      <c r="AE645" s="350"/>
      <c r="AF645" s="350"/>
      <c r="AG645" s="350"/>
      <c r="AH645" s="350"/>
      <c r="AI645" s="350"/>
    </row>
    <row r="646" s="350" customFormat="1" ht="22.5" customHeight="1">
      <c r="A646" s="33">
        <v>1</v>
      </c>
      <c r="B646" s="52" t="s">
        <v>1254</v>
      </c>
      <c r="C646" s="158">
        <f t="shared" ref="C646:C659" si="263">D646+K646+L646+M646+N646+O646+P646+Q646+R646+S646+T646</f>
        <v>3094197.23</v>
      </c>
      <c r="D646" s="79">
        <f t="shared" ref="D646:D659" si="264">SUM(E646:I646)</f>
        <v>2509310</v>
      </c>
      <c r="E646" s="158">
        <v>0</v>
      </c>
      <c r="F646" s="79">
        <v>2088695</v>
      </c>
      <c r="G646" s="158">
        <v>0</v>
      </c>
      <c r="H646" s="79">
        <v>0</v>
      </c>
      <c r="I646" s="158">
        <v>420615</v>
      </c>
      <c r="J646" s="398">
        <v>0</v>
      </c>
      <c r="K646" s="158">
        <v>0</v>
      </c>
      <c r="L646" s="79">
        <v>0</v>
      </c>
      <c r="M646" s="158">
        <v>0</v>
      </c>
      <c r="N646" s="79">
        <v>0</v>
      </c>
      <c r="O646" s="158">
        <v>0</v>
      </c>
      <c r="P646" s="79">
        <f>265594+265594</f>
        <v>531188</v>
      </c>
      <c r="Q646" s="158">
        <v>0</v>
      </c>
      <c r="R646" s="79">
        <f>9001.16+44698.07</f>
        <v>53699.229999999996</v>
      </c>
      <c r="S646" s="158">
        <v>0</v>
      </c>
      <c r="T646" s="79">
        <v>0</v>
      </c>
      <c r="U646" s="110"/>
      <c r="V646" s="110"/>
      <c r="W646" s="110"/>
      <c r="X646" s="110"/>
      <c r="Y646" s="110"/>
      <c r="Z646" s="110"/>
      <c r="AA646" s="110"/>
      <c r="AB646" s="110"/>
      <c r="AC646" s="110"/>
      <c r="AD646" s="110"/>
      <c r="AE646" s="110"/>
      <c r="AF646" s="350"/>
      <c r="AG646" s="350"/>
      <c r="AH646" s="350"/>
      <c r="AI646" s="350"/>
    </row>
    <row r="647" s="350" customFormat="1" ht="22.5" customHeight="1">
      <c r="A647" s="33">
        <v>2</v>
      </c>
      <c r="B647" s="50" t="s">
        <v>329</v>
      </c>
      <c r="C647" s="79">
        <f t="shared" si="263"/>
        <v>2545081.46</v>
      </c>
      <c r="D647" s="79">
        <f t="shared" si="264"/>
        <v>2499283.0299999998</v>
      </c>
      <c r="E647" s="79">
        <v>0</v>
      </c>
      <c r="F647" s="79">
        <v>2499283.0299999998</v>
      </c>
      <c r="G647" s="79">
        <v>0</v>
      </c>
      <c r="H647" s="79">
        <v>0</v>
      </c>
      <c r="I647" s="79">
        <v>0</v>
      </c>
      <c r="J647" s="398">
        <v>0</v>
      </c>
      <c r="K647" s="79">
        <v>0</v>
      </c>
      <c r="L647" s="79">
        <v>0</v>
      </c>
      <c r="M647" s="79">
        <v>0</v>
      </c>
      <c r="N647" s="79">
        <v>0</v>
      </c>
      <c r="O647" s="79">
        <v>0</v>
      </c>
      <c r="P647" s="79">
        <v>0</v>
      </c>
      <c r="Q647" s="79">
        <v>0</v>
      </c>
      <c r="R647" s="79">
        <v>45798.43</v>
      </c>
      <c r="S647" s="79">
        <v>0</v>
      </c>
      <c r="T647" s="79">
        <v>0</v>
      </c>
      <c r="U647" s="350"/>
      <c r="V647" s="350"/>
      <c r="W647" s="350"/>
      <c r="X647" s="350"/>
      <c r="Y647" s="350"/>
      <c r="Z647" s="350"/>
      <c r="AA647" s="350"/>
      <c r="AB647" s="350"/>
      <c r="AC647" s="350"/>
      <c r="AD647" s="350"/>
      <c r="AE647" s="350"/>
    </row>
    <row r="648" ht="22.5" customHeight="1">
      <c r="A648" s="414">
        <v>3</v>
      </c>
      <c r="B648" s="415" t="s">
        <v>1255</v>
      </c>
      <c r="C648" s="79">
        <f t="shared" si="263"/>
        <v>754058.43000000005</v>
      </c>
      <c r="D648" s="79">
        <f t="shared" si="264"/>
        <v>478230.29999999999</v>
      </c>
      <c r="E648" s="416">
        <v>0</v>
      </c>
      <c r="F648" s="416">
        <v>0</v>
      </c>
      <c r="G648" s="416">
        <v>0</v>
      </c>
      <c r="H648" s="416">
        <v>478230.29999999999</v>
      </c>
      <c r="I648" s="416">
        <v>0</v>
      </c>
      <c r="J648" s="417">
        <v>0</v>
      </c>
      <c r="K648" s="416">
        <v>0</v>
      </c>
      <c r="L648" s="416">
        <v>0</v>
      </c>
      <c r="M648" s="416">
        <v>0</v>
      </c>
      <c r="N648" s="416">
        <v>0</v>
      </c>
      <c r="O648" s="416">
        <v>0</v>
      </c>
      <c r="P648" s="416">
        <v>265594</v>
      </c>
      <c r="Q648" s="416">
        <v>0</v>
      </c>
      <c r="R648" s="416">
        <v>10234.129999999999</v>
      </c>
      <c r="S648" s="416">
        <v>0</v>
      </c>
      <c r="T648" s="416">
        <v>0</v>
      </c>
      <c r="U648" s="399"/>
      <c r="V648" s="399"/>
      <c r="W648" s="399"/>
      <c r="X648" s="399"/>
      <c r="Y648" s="399"/>
      <c r="Z648" s="399"/>
      <c r="AA648" s="399"/>
      <c r="AB648" s="399"/>
      <c r="AC648" s="399"/>
      <c r="AD648" s="399"/>
      <c r="AE648" s="399"/>
      <c r="AF648" s="399"/>
      <c r="AG648" s="399"/>
      <c r="AH648" s="399"/>
      <c r="AI648" s="399"/>
    </row>
    <row r="649" s="437" customFormat="1" ht="22.5" customHeight="1">
      <c r="A649" s="33">
        <v>4</v>
      </c>
      <c r="B649" s="50" t="s">
        <v>656</v>
      </c>
      <c r="C649" s="79">
        <f t="shared" si="263"/>
        <v>898334.45999999985</v>
      </c>
      <c r="D649" s="79">
        <f t="shared" si="264"/>
        <v>879512.8899999999</v>
      </c>
      <c r="E649" s="79">
        <v>0</v>
      </c>
      <c r="F649" s="79">
        <v>0</v>
      </c>
      <c r="G649" s="79">
        <v>0</v>
      </c>
      <c r="H649" s="79">
        <v>291003.70000000001</v>
      </c>
      <c r="I649" s="79">
        <v>588509.18999999994</v>
      </c>
      <c r="J649" s="398">
        <v>0</v>
      </c>
      <c r="K649" s="79">
        <v>0</v>
      </c>
      <c r="L649" s="79">
        <v>0</v>
      </c>
      <c r="M649" s="79">
        <v>0</v>
      </c>
      <c r="N649" s="79">
        <v>0</v>
      </c>
      <c r="O649" s="79">
        <v>0</v>
      </c>
      <c r="P649" s="79">
        <v>0</v>
      </c>
      <c r="Q649" s="79">
        <v>0</v>
      </c>
      <c r="R649" s="79">
        <v>18821.57</v>
      </c>
      <c r="S649" s="79">
        <v>0</v>
      </c>
      <c r="T649" s="79">
        <v>0</v>
      </c>
      <c r="U649" s="399"/>
      <c r="V649" s="399"/>
      <c r="W649" s="399"/>
      <c r="X649" s="399"/>
      <c r="Y649" s="399"/>
      <c r="Z649" s="399"/>
      <c r="AA649" s="399"/>
      <c r="AB649" s="399"/>
      <c r="AC649" s="399"/>
      <c r="AD649" s="399"/>
      <c r="AE649" s="399"/>
      <c r="AF649" s="437"/>
      <c r="AG649" s="437"/>
      <c r="AH649" s="437"/>
      <c r="AI649" s="437"/>
      <c r="AJ649" s="437"/>
      <c r="AK649" s="437"/>
    </row>
    <row r="650" s="437" customFormat="1" ht="22.5" customHeight="1">
      <c r="A650" s="33">
        <v>5</v>
      </c>
      <c r="B650" s="50" t="s">
        <v>1256</v>
      </c>
      <c r="C650" s="158">
        <f t="shared" si="263"/>
        <v>3923788.1899999999</v>
      </c>
      <c r="D650" s="79">
        <f t="shared" si="264"/>
        <v>0</v>
      </c>
      <c r="E650" s="158">
        <v>0</v>
      </c>
      <c r="F650" s="79">
        <v>0</v>
      </c>
      <c r="G650" s="158">
        <v>0</v>
      </c>
      <c r="H650" s="79">
        <v>0</v>
      </c>
      <c r="I650" s="158">
        <v>0</v>
      </c>
      <c r="J650" s="398">
        <v>0</v>
      </c>
      <c r="K650" s="158">
        <v>0</v>
      </c>
      <c r="L650" s="79">
        <v>3581549.04</v>
      </c>
      <c r="M650" s="158">
        <v>0</v>
      </c>
      <c r="N650" s="79">
        <v>0</v>
      </c>
      <c r="O650" s="158">
        <v>0</v>
      </c>
      <c r="P650" s="79">
        <v>265594</v>
      </c>
      <c r="Q650" s="158">
        <v>0</v>
      </c>
      <c r="R650" s="79">
        <v>76645.149999999994</v>
      </c>
      <c r="S650" s="158">
        <v>0</v>
      </c>
      <c r="T650" s="79">
        <v>0</v>
      </c>
      <c r="U650" s="399"/>
      <c r="V650" s="399"/>
      <c r="W650" s="399"/>
      <c r="X650" s="399"/>
      <c r="Y650" s="399"/>
      <c r="Z650" s="399"/>
      <c r="AA650" s="399"/>
      <c r="AB650" s="399"/>
      <c r="AC650" s="399"/>
      <c r="AD650" s="399"/>
      <c r="AE650" s="399"/>
      <c r="AF650" s="399"/>
      <c r="AG650" s="399"/>
      <c r="AH650" s="399"/>
      <c r="AI650" s="399"/>
      <c r="AJ650" s="437"/>
      <c r="AK650" s="437"/>
      <c r="AL650" s="437"/>
      <c r="AM650" s="437"/>
      <c r="AN650" s="437"/>
      <c r="AO650" s="437"/>
    </row>
    <row r="651" s="350" customFormat="1" ht="22.5" customHeight="1">
      <c r="A651" s="414">
        <v>6</v>
      </c>
      <c r="B651" s="50" t="s">
        <v>1257</v>
      </c>
      <c r="C651" s="79">
        <f t="shared" si="263"/>
        <v>10415854.960000001</v>
      </c>
      <c r="D651" s="79">
        <f t="shared" si="264"/>
        <v>9420474.8000000007</v>
      </c>
      <c r="E651" s="79">
        <v>0</v>
      </c>
      <c r="F651" s="79">
        <v>5895407</v>
      </c>
      <c r="G651" s="79">
        <v>0</v>
      </c>
      <c r="H651" s="79">
        <v>1187199</v>
      </c>
      <c r="I651" s="79">
        <v>2337868.7999999998</v>
      </c>
      <c r="J651" s="398">
        <v>0</v>
      </c>
      <c r="K651" s="79">
        <v>0</v>
      </c>
      <c r="L651" s="79">
        <v>0</v>
      </c>
      <c r="M651" s="79">
        <v>0</v>
      </c>
      <c r="N651" s="79">
        <v>0</v>
      </c>
      <c r="O651" s="79">
        <v>0</v>
      </c>
      <c r="P651" s="79">
        <f>265594+265594+265594</f>
        <v>796782</v>
      </c>
      <c r="Q651" s="79">
        <v>0</v>
      </c>
      <c r="R651" s="79">
        <f>50030.39+25406.06+123161.71</f>
        <v>198598.16</v>
      </c>
      <c r="S651" s="79">
        <v>0</v>
      </c>
      <c r="T651" s="79">
        <v>0</v>
      </c>
      <c r="U651" s="350"/>
      <c r="V651" s="350"/>
      <c r="W651" s="350"/>
      <c r="X651" s="350"/>
      <c r="Y651" s="350"/>
      <c r="Z651" s="350"/>
      <c r="AA651" s="350"/>
      <c r="AB651" s="350"/>
      <c r="AC651" s="350"/>
      <c r="AD651" s="350"/>
      <c r="AE651" s="350"/>
      <c r="AF651" s="350"/>
      <c r="AG651" s="350"/>
      <c r="AH651" s="350"/>
      <c r="AI651" s="350"/>
    </row>
    <row r="652" s="350" customFormat="1" ht="22.5" customHeight="1">
      <c r="A652" s="33">
        <v>7</v>
      </c>
      <c r="B652" s="50" t="s">
        <v>1258</v>
      </c>
      <c r="C652" s="79">
        <f t="shared" si="263"/>
        <v>700764</v>
      </c>
      <c r="D652" s="79">
        <f t="shared" si="264"/>
        <v>0</v>
      </c>
      <c r="E652" s="79">
        <v>0</v>
      </c>
      <c r="F652" s="79">
        <v>0</v>
      </c>
      <c r="G652" s="79">
        <v>0</v>
      </c>
      <c r="H652" s="79">
        <v>0</v>
      </c>
      <c r="I652" s="79">
        <v>0</v>
      </c>
      <c r="J652" s="398">
        <v>0</v>
      </c>
      <c r="K652" s="79">
        <v>0</v>
      </c>
      <c r="L652" s="79">
        <v>0</v>
      </c>
      <c r="M652" s="79">
        <v>0</v>
      </c>
      <c r="N652" s="79">
        <v>0</v>
      </c>
      <c r="O652" s="79">
        <v>0</v>
      </c>
      <c r="P652" s="79">
        <f>350382+350382</f>
        <v>700764</v>
      </c>
      <c r="Q652" s="79">
        <v>0</v>
      </c>
      <c r="R652" s="79">
        <v>0</v>
      </c>
      <c r="S652" s="79">
        <v>0</v>
      </c>
      <c r="T652" s="79">
        <v>0</v>
      </c>
      <c r="U652" s="350"/>
      <c r="V652" s="350"/>
      <c r="W652" s="350"/>
      <c r="X652" s="350"/>
      <c r="Y652" s="350"/>
      <c r="Z652" s="350"/>
      <c r="AA652" s="350"/>
      <c r="AB652" s="350"/>
      <c r="AC652" s="350"/>
      <c r="AD652" s="350"/>
      <c r="AE652" s="350"/>
    </row>
    <row r="653" s="350" customFormat="1" ht="22.5" customHeight="1">
      <c r="A653" s="33">
        <v>8</v>
      </c>
      <c r="B653" s="50" t="s">
        <v>1259</v>
      </c>
      <c r="C653" s="79">
        <f t="shared" si="263"/>
        <v>8155076.7599999998</v>
      </c>
      <c r="D653" s="79">
        <f t="shared" si="264"/>
        <v>0</v>
      </c>
      <c r="E653" s="79">
        <v>0</v>
      </c>
      <c r="F653" s="79">
        <v>0</v>
      </c>
      <c r="G653" s="79">
        <v>0</v>
      </c>
      <c r="H653" s="79">
        <v>0</v>
      </c>
      <c r="I653" s="79">
        <v>0</v>
      </c>
      <c r="J653" s="398">
        <v>0</v>
      </c>
      <c r="K653" s="79">
        <v>0</v>
      </c>
      <c r="L653" s="79">
        <v>7724185.2000000002</v>
      </c>
      <c r="M653" s="79">
        <v>0</v>
      </c>
      <c r="N653" s="79">
        <v>0</v>
      </c>
      <c r="O653" s="79">
        <v>0</v>
      </c>
      <c r="P653" s="79">
        <v>265594</v>
      </c>
      <c r="Q653" s="79">
        <v>0</v>
      </c>
      <c r="R653" s="79">
        <v>165297.56</v>
      </c>
      <c r="S653" s="79">
        <v>0</v>
      </c>
      <c r="T653" s="79">
        <v>0</v>
      </c>
      <c r="U653" s="399"/>
      <c r="V653" s="399"/>
      <c r="W653" s="399"/>
      <c r="X653" s="399"/>
      <c r="Y653" s="399"/>
      <c r="Z653" s="399"/>
      <c r="AA653" s="399"/>
      <c r="AB653" s="399"/>
      <c r="AC653" s="399"/>
      <c r="AD653" s="399"/>
      <c r="AE653" s="399"/>
    </row>
    <row r="654" s="350" customFormat="1" ht="22.5" customHeight="1">
      <c r="A654" s="414">
        <v>9</v>
      </c>
      <c r="B654" s="50" t="s">
        <v>1260</v>
      </c>
      <c r="C654" s="79">
        <f t="shared" si="263"/>
        <v>350382</v>
      </c>
      <c r="D654" s="79">
        <f t="shared" si="264"/>
        <v>0</v>
      </c>
      <c r="E654" s="79">
        <v>0</v>
      </c>
      <c r="F654" s="79">
        <v>0</v>
      </c>
      <c r="G654" s="79">
        <v>0</v>
      </c>
      <c r="H654" s="79">
        <v>0</v>
      </c>
      <c r="I654" s="79">
        <v>0</v>
      </c>
      <c r="J654" s="398">
        <v>0</v>
      </c>
      <c r="K654" s="79">
        <v>0</v>
      </c>
      <c r="L654" s="79">
        <v>0</v>
      </c>
      <c r="M654" s="79">
        <v>0</v>
      </c>
      <c r="N654" s="79">
        <v>0</v>
      </c>
      <c r="O654" s="79">
        <v>0</v>
      </c>
      <c r="P654" s="79">
        <v>350382</v>
      </c>
      <c r="Q654" s="79">
        <v>0</v>
      </c>
      <c r="R654" s="79">
        <v>0</v>
      </c>
      <c r="S654" s="79">
        <v>0</v>
      </c>
      <c r="T654" s="79">
        <v>0</v>
      </c>
      <c r="U654" s="399"/>
      <c r="V654" s="399"/>
      <c r="W654" s="399"/>
      <c r="X654" s="399"/>
      <c r="Y654" s="399"/>
      <c r="Z654" s="399"/>
      <c r="AA654" s="399"/>
      <c r="AB654" s="399"/>
      <c r="AC654" s="399"/>
      <c r="AD654" s="399"/>
      <c r="AE654" s="399"/>
    </row>
    <row r="655" s="350" customFormat="1" ht="22.5" customHeight="1">
      <c r="A655" s="33">
        <v>10</v>
      </c>
      <c r="B655" s="50" t="s">
        <v>1261</v>
      </c>
      <c r="C655" s="158">
        <f t="shared" si="263"/>
        <v>2801087.1299999999</v>
      </c>
      <c r="D655" s="79">
        <f t="shared" si="264"/>
        <v>2482370.3999999999</v>
      </c>
      <c r="E655" s="158">
        <v>0</v>
      </c>
      <c r="F655" s="79">
        <v>2482370.3999999999</v>
      </c>
      <c r="G655" s="158">
        <v>0</v>
      </c>
      <c r="H655" s="79">
        <v>0</v>
      </c>
      <c r="I655" s="158">
        <v>0</v>
      </c>
      <c r="J655" s="398">
        <v>0</v>
      </c>
      <c r="K655" s="158">
        <v>0</v>
      </c>
      <c r="L655" s="79">
        <v>0</v>
      </c>
      <c r="M655" s="158">
        <v>0</v>
      </c>
      <c r="N655" s="79">
        <v>0</v>
      </c>
      <c r="O655" s="158">
        <v>0</v>
      </c>
      <c r="P655" s="79">
        <v>265594</v>
      </c>
      <c r="Q655" s="158">
        <v>0</v>
      </c>
      <c r="R655" s="79">
        <v>53122.730000000003</v>
      </c>
      <c r="S655" s="158">
        <v>0</v>
      </c>
      <c r="T655" s="79">
        <v>0</v>
      </c>
      <c r="U655" s="399"/>
      <c r="V655" s="399"/>
      <c r="W655" s="399"/>
      <c r="X655" s="399"/>
      <c r="Y655" s="399"/>
      <c r="Z655" s="399"/>
      <c r="AA655" s="399"/>
      <c r="AB655" s="399"/>
      <c r="AC655" s="399"/>
      <c r="AD655" s="399"/>
      <c r="AE655" s="399"/>
    </row>
    <row r="656" s="350" customFormat="1" ht="22.5" customHeight="1">
      <c r="A656" s="33">
        <v>11</v>
      </c>
      <c r="B656" s="52" t="s">
        <v>1262</v>
      </c>
      <c r="C656" s="79">
        <f t="shared" si="263"/>
        <v>8585330.9400000013</v>
      </c>
      <c r="D656" s="79">
        <f t="shared" si="264"/>
        <v>0</v>
      </c>
      <c r="E656" s="79">
        <v>0</v>
      </c>
      <c r="F656" s="79">
        <v>0</v>
      </c>
      <c r="G656" s="79">
        <v>0</v>
      </c>
      <c r="H656" s="79">
        <v>0</v>
      </c>
      <c r="I656" s="79">
        <v>0</v>
      </c>
      <c r="J656" s="398">
        <v>0</v>
      </c>
      <c r="K656" s="79">
        <v>0</v>
      </c>
      <c r="L656" s="79">
        <v>8062413.2999999998</v>
      </c>
      <c r="M656" s="79">
        <v>0</v>
      </c>
      <c r="N656" s="79">
        <v>0</v>
      </c>
      <c r="O656" s="79">
        <v>0</v>
      </c>
      <c r="P656" s="79">
        <v>350382</v>
      </c>
      <c r="Q656" s="79">
        <v>0</v>
      </c>
      <c r="R656" s="79">
        <v>172535.64000000001</v>
      </c>
      <c r="S656" s="79">
        <v>0</v>
      </c>
      <c r="T656" s="79">
        <v>0</v>
      </c>
      <c r="U656" s="399"/>
      <c r="V656" s="399"/>
      <c r="W656" s="399"/>
      <c r="X656" s="399"/>
      <c r="Y656" s="399"/>
      <c r="Z656" s="399"/>
      <c r="AA656" s="399"/>
      <c r="AB656" s="399"/>
      <c r="AC656" s="399"/>
      <c r="AD656" s="399"/>
      <c r="AE656" s="399"/>
    </row>
    <row r="657" s="350" customFormat="1" ht="22.5" customHeight="1">
      <c r="A657" s="414">
        <v>12</v>
      </c>
      <c r="B657" s="52" t="s">
        <v>1263</v>
      </c>
      <c r="C657" s="158">
        <f t="shared" si="263"/>
        <v>1264545.6199999999</v>
      </c>
      <c r="D657" s="79">
        <f t="shared" si="264"/>
        <v>895010.40000000002</v>
      </c>
      <c r="E657" s="158">
        <v>0</v>
      </c>
      <c r="F657" s="79">
        <v>0</v>
      </c>
      <c r="G657" s="158">
        <v>0</v>
      </c>
      <c r="H657" s="79">
        <v>895010.40000000002</v>
      </c>
      <c r="I657" s="158">
        <v>0</v>
      </c>
      <c r="J657" s="398">
        <v>0</v>
      </c>
      <c r="K657" s="158">
        <v>0</v>
      </c>
      <c r="L657" s="79">
        <v>0</v>
      </c>
      <c r="M657" s="158">
        <v>0</v>
      </c>
      <c r="N657" s="79">
        <v>0</v>
      </c>
      <c r="O657" s="158">
        <v>0</v>
      </c>
      <c r="P657" s="79">
        <v>350382</v>
      </c>
      <c r="Q657" s="158">
        <v>0</v>
      </c>
      <c r="R657" s="79">
        <v>19153.220000000001</v>
      </c>
      <c r="S657" s="158">
        <v>0</v>
      </c>
      <c r="T657" s="79">
        <v>0</v>
      </c>
      <c r="U657" s="399"/>
      <c r="V657" s="399"/>
      <c r="W657" s="399"/>
      <c r="X657" s="399"/>
      <c r="Y657" s="399"/>
      <c r="Z657" s="399"/>
      <c r="AA657" s="399"/>
      <c r="AB657" s="399"/>
      <c r="AC657" s="399"/>
      <c r="AD657" s="399"/>
      <c r="AE657" s="399"/>
    </row>
    <row r="658" s="350" customFormat="1" ht="22.5" customHeight="1">
      <c r="A658" s="33">
        <v>13</v>
      </c>
      <c r="B658" s="52" t="s">
        <v>1264</v>
      </c>
      <c r="C658" s="79">
        <f t="shared" si="263"/>
        <v>514815.55000000005</v>
      </c>
      <c r="D658" s="79">
        <f t="shared" si="264"/>
        <v>160988.39999999999</v>
      </c>
      <c r="E658" s="79">
        <v>0</v>
      </c>
      <c r="F658" s="79">
        <v>0</v>
      </c>
      <c r="G658" s="79">
        <v>0</v>
      </c>
      <c r="H658" s="79">
        <v>160988.39999999999</v>
      </c>
      <c r="I658" s="79">
        <v>0</v>
      </c>
      <c r="J658" s="398">
        <v>0</v>
      </c>
      <c r="K658" s="79">
        <v>0</v>
      </c>
      <c r="L658" s="79">
        <v>0</v>
      </c>
      <c r="M658" s="79">
        <v>0</v>
      </c>
      <c r="N658" s="79">
        <v>0</v>
      </c>
      <c r="O658" s="79">
        <v>0</v>
      </c>
      <c r="P658" s="79">
        <v>350382</v>
      </c>
      <c r="Q658" s="79">
        <v>0</v>
      </c>
      <c r="R658" s="79">
        <v>3445.1500000000001</v>
      </c>
      <c r="S658" s="79">
        <v>0</v>
      </c>
      <c r="T658" s="79">
        <v>0</v>
      </c>
      <c r="U658" s="399"/>
      <c r="V658" s="399"/>
      <c r="W658" s="399"/>
      <c r="X658" s="399"/>
      <c r="Y658" s="399"/>
      <c r="Z658" s="399"/>
      <c r="AA658" s="399"/>
      <c r="AB658" s="399"/>
      <c r="AC658" s="399"/>
      <c r="AD658" s="399"/>
      <c r="AE658" s="399"/>
    </row>
    <row r="659" s="350" customFormat="1" ht="22.5" customHeight="1">
      <c r="A659" s="33">
        <v>14</v>
      </c>
      <c r="B659" s="52" t="s">
        <v>347</v>
      </c>
      <c r="C659" s="79">
        <f t="shared" si="263"/>
        <v>2310819.5899999999</v>
      </c>
      <c r="D659" s="79">
        <f t="shared" si="264"/>
        <v>2225088.96</v>
      </c>
      <c r="E659" s="92">
        <v>0</v>
      </c>
      <c r="F659" s="92">
        <v>1551769.0600000001</v>
      </c>
      <c r="G659" s="92">
        <v>120168.10000000001</v>
      </c>
      <c r="H659" s="92">
        <v>228507.42999999999</v>
      </c>
      <c r="I659" s="92">
        <v>324644.37</v>
      </c>
      <c r="J659" s="398">
        <v>0</v>
      </c>
      <c r="K659" s="79">
        <v>0</v>
      </c>
      <c r="L659" s="79">
        <v>0</v>
      </c>
      <c r="M659" s="79">
        <v>0</v>
      </c>
      <c r="N659" s="79">
        <v>0</v>
      </c>
      <c r="O659" s="79">
        <v>0</v>
      </c>
      <c r="P659" s="92">
        <v>0</v>
      </c>
      <c r="Q659" s="79">
        <v>0</v>
      </c>
      <c r="R659" s="79">
        <f>64889.91+20840.72</f>
        <v>85730.630000000005</v>
      </c>
      <c r="S659" s="79">
        <v>0</v>
      </c>
      <c r="T659" s="79">
        <v>0</v>
      </c>
      <c r="U659" s="350"/>
      <c r="V659" s="350"/>
      <c r="W659" s="350"/>
      <c r="X659" s="350"/>
      <c r="Y659" s="350"/>
      <c r="Z659" s="350"/>
      <c r="AA659" s="350"/>
      <c r="AB659" s="350"/>
      <c r="AC659" s="350"/>
      <c r="AD659" s="350"/>
      <c r="AE659" s="350"/>
      <c r="AF659" s="350"/>
      <c r="AG659" s="350"/>
      <c r="AH659" s="350"/>
      <c r="AI659" s="350"/>
    </row>
    <row r="660" s="350" customFormat="1" ht="30.75" customHeight="1">
      <c r="A660" s="25" t="s">
        <v>348</v>
      </c>
      <c r="B660" s="25"/>
      <c r="C660" s="154">
        <f>SUM(C661:C664)</f>
        <v>24627490.689999998</v>
      </c>
      <c r="D660" s="154">
        <f>SUM(D661:D664)</f>
        <v>0</v>
      </c>
      <c r="E660" s="154">
        <f>SUM(E661:E664)</f>
        <v>0</v>
      </c>
      <c r="F660" s="154">
        <f>SUM(F661:F664)</f>
        <v>0</v>
      </c>
      <c r="G660" s="154">
        <f>SUM(G661:G664)</f>
        <v>0</v>
      </c>
      <c r="H660" s="154">
        <f>SUM(H661:H664)</f>
        <v>0</v>
      </c>
      <c r="I660" s="154">
        <f>SUM(I661:I664)</f>
        <v>0</v>
      </c>
      <c r="J660" s="155">
        <f>SUM(J661:J664)</f>
        <v>0</v>
      </c>
      <c r="K660" s="154">
        <f>SUM(K661:K664)</f>
        <v>0</v>
      </c>
      <c r="L660" s="154">
        <f>SUM(L661:L664)</f>
        <v>0</v>
      </c>
      <c r="M660" s="154">
        <f>SUM(M661:M664)</f>
        <v>0</v>
      </c>
      <c r="N660" s="154">
        <f>SUM(N661:N664)</f>
        <v>23071387</v>
      </c>
      <c r="O660" s="154">
        <f>SUM(O661:O664)</f>
        <v>0</v>
      </c>
      <c r="P660" s="154">
        <f>SUM(P661:P664)</f>
        <v>1062376</v>
      </c>
      <c r="Q660" s="154">
        <f>SUM(Q661:Q664)</f>
        <v>0</v>
      </c>
      <c r="R660" s="154">
        <f>SUM(R661:R664)</f>
        <v>493727.69000000006</v>
      </c>
      <c r="S660" s="154">
        <f>SUM(S661:S664)</f>
        <v>0</v>
      </c>
      <c r="T660" s="154">
        <f>SUM(T661:T664)</f>
        <v>0</v>
      </c>
      <c r="U660" s="350"/>
      <c r="V660" s="350"/>
      <c r="W660" s="350"/>
      <c r="X660" s="350"/>
      <c r="Y660" s="350"/>
      <c r="Z660" s="350"/>
      <c r="AA660" s="350"/>
      <c r="AB660" s="350"/>
      <c r="AC660" s="350"/>
      <c r="AD660" s="350"/>
      <c r="AE660" s="350"/>
      <c r="AF660" s="350"/>
      <c r="AG660" s="350"/>
      <c r="AH660" s="350"/>
      <c r="AI660" s="350"/>
    </row>
    <row r="661" s="350" customFormat="1" ht="22.5" customHeight="1">
      <c r="A661" s="33">
        <v>1</v>
      </c>
      <c r="B661" s="50" t="s">
        <v>1265</v>
      </c>
      <c r="C661" s="79">
        <f t="shared" ref="C661:C664" si="265">D661+K661+L661+M661+N661+O661+P661+Q661+R661+S661+T661</f>
        <v>6697452.25</v>
      </c>
      <c r="D661" s="79">
        <f t="shared" ref="D661:D664" si="266">SUM(E661:I661)</f>
        <v>0</v>
      </c>
      <c r="E661" s="79">
        <v>0</v>
      </c>
      <c r="F661" s="79">
        <v>0</v>
      </c>
      <c r="G661" s="79">
        <v>0</v>
      </c>
      <c r="H661" s="79">
        <v>0</v>
      </c>
      <c r="I661" s="79">
        <v>0</v>
      </c>
      <c r="J661" s="398">
        <v>0</v>
      </c>
      <c r="K661" s="79">
        <v>0</v>
      </c>
      <c r="L661" s="79">
        <v>0</v>
      </c>
      <c r="M661" s="79">
        <v>0</v>
      </c>
      <c r="N661" s="79">
        <v>6297100.2999999998</v>
      </c>
      <c r="O661" s="79">
        <v>0</v>
      </c>
      <c r="P661" s="79">
        <v>265594</v>
      </c>
      <c r="Q661" s="79">
        <v>0</v>
      </c>
      <c r="R661" s="79">
        <v>134757.95000000001</v>
      </c>
      <c r="S661" s="79">
        <v>0</v>
      </c>
      <c r="T661" s="79">
        <v>0</v>
      </c>
      <c r="U661" s="350"/>
      <c r="V661" s="350"/>
      <c r="W661" s="350"/>
      <c r="X661" s="350"/>
      <c r="Y661" s="350"/>
      <c r="Z661" s="350"/>
      <c r="AA661" s="350"/>
      <c r="AB661" s="350"/>
      <c r="AC661" s="350"/>
      <c r="AD661" s="350"/>
      <c r="AE661" s="350"/>
    </row>
    <row r="662" s="350" customFormat="1" ht="22.5" customHeight="1">
      <c r="A662" s="33">
        <v>2</v>
      </c>
      <c r="B662" s="50" t="s">
        <v>1266</v>
      </c>
      <c r="C662" s="158">
        <f t="shared" si="265"/>
        <v>5407648.3499999996</v>
      </c>
      <c r="D662" s="79">
        <f t="shared" si="266"/>
        <v>0</v>
      </c>
      <c r="E662" s="158">
        <v>0</v>
      </c>
      <c r="F662" s="79">
        <v>0</v>
      </c>
      <c r="G662" s="158">
        <v>0</v>
      </c>
      <c r="H662" s="79">
        <v>0</v>
      </c>
      <c r="I662" s="158">
        <v>0</v>
      </c>
      <c r="J662" s="398">
        <v>0</v>
      </c>
      <c r="K662" s="158">
        <v>0</v>
      </c>
      <c r="L662" s="79">
        <v>0</v>
      </c>
      <c r="M662" s="158">
        <v>0</v>
      </c>
      <c r="N662" s="79">
        <v>5034319.8999999994</v>
      </c>
      <c r="O662" s="158">
        <v>0</v>
      </c>
      <c r="P662" s="92">
        <v>265594</v>
      </c>
      <c r="Q662" s="158">
        <v>0</v>
      </c>
      <c r="R662" s="79">
        <v>107734.45</v>
      </c>
      <c r="S662" s="158">
        <v>0</v>
      </c>
      <c r="T662" s="79">
        <v>0</v>
      </c>
      <c r="U662" s="350"/>
      <c r="V662" s="350"/>
      <c r="W662" s="350"/>
      <c r="X662" s="350"/>
      <c r="Y662" s="350"/>
      <c r="Z662" s="350"/>
      <c r="AA662" s="350"/>
      <c r="AB662" s="350"/>
      <c r="AC662" s="350"/>
      <c r="AD662" s="350"/>
      <c r="AE662" s="350"/>
    </row>
    <row r="663" s="350" customFormat="1" ht="22.5" customHeight="1">
      <c r="A663" s="33">
        <v>3</v>
      </c>
      <c r="B663" s="50" t="s">
        <v>1267</v>
      </c>
      <c r="C663" s="79">
        <f t="shared" si="265"/>
        <v>7030741.9100000001</v>
      </c>
      <c r="D663" s="158">
        <f t="shared" si="266"/>
        <v>0</v>
      </c>
      <c r="E663" s="79">
        <v>0</v>
      </c>
      <c r="F663" s="158">
        <v>0</v>
      </c>
      <c r="G663" s="79">
        <v>0</v>
      </c>
      <c r="H663" s="158">
        <v>0</v>
      </c>
      <c r="I663" s="79">
        <v>0</v>
      </c>
      <c r="J663" s="345">
        <v>0</v>
      </c>
      <c r="K663" s="79">
        <v>0</v>
      </c>
      <c r="L663" s="158">
        <v>0</v>
      </c>
      <c r="M663" s="79">
        <v>0</v>
      </c>
      <c r="N663" s="158">
        <v>6623407</v>
      </c>
      <c r="O663" s="79">
        <v>0</v>
      </c>
      <c r="P663" s="79">
        <v>265594</v>
      </c>
      <c r="Q663" s="79">
        <v>0</v>
      </c>
      <c r="R663" s="158">
        <v>141740.91</v>
      </c>
      <c r="S663" s="79">
        <v>0</v>
      </c>
      <c r="T663" s="79">
        <v>0</v>
      </c>
      <c r="U663" s="350"/>
      <c r="V663" s="350"/>
      <c r="W663" s="350"/>
      <c r="X663" s="350"/>
      <c r="Y663" s="350"/>
      <c r="Z663" s="350"/>
      <c r="AA663" s="350"/>
      <c r="AB663" s="350"/>
      <c r="AC663" s="350"/>
      <c r="AD663" s="350"/>
      <c r="AE663" s="350"/>
    </row>
    <row r="664" s="350" customFormat="1" ht="22.5" customHeight="1">
      <c r="A664" s="33">
        <v>4</v>
      </c>
      <c r="B664" s="50" t="s">
        <v>1268</v>
      </c>
      <c r="C664" s="158">
        <f t="shared" si="265"/>
        <v>5491648.1799999997</v>
      </c>
      <c r="D664" s="79">
        <f t="shared" si="266"/>
        <v>0</v>
      </c>
      <c r="E664" s="158">
        <v>0</v>
      </c>
      <c r="F664" s="79">
        <v>0</v>
      </c>
      <c r="G664" s="158">
        <v>0</v>
      </c>
      <c r="H664" s="79">
        <v>0</v>
      </c>
      <c r="I664" s="158">
        <v>0</v>
      </c>
      <c r="J664" s="398">
        <v>0</v>
      </c>
      <c r="K664" s="158">
        <v>0</v>
      </c>
      <c r="L664" s="79">
        <v>0</v>
      </c>
      <c r="M664" s="158">
        <v>0</v>
      </c>
      <c r="N664" s="79">
        <v>5116559.7999999998</v>
      </c>
      <c r="O664" s="158">
        <v>0</v>
      </c>
      <c r="P664" s="92">
        <v>265594</v>
      </c>
      <c r="Q664" s="158">
        <v>0</v>
      </c>
      <c r="R664" s="79">
        <v>109494.38</v>
      </c>
      <c r="S664" s="158">
        <v>0</v>
      </c>
      <c r="T664" s="79">
        <v>0</v>
      </c>
      <c r="U664" s="350"/>
      <c r="V664" s="350"/>
      <c r="W664" s="350"/>
      <c r="X664" s="350"/>
      <c r="Y664" s="350"/>
      <c r="Z664" s="350"/>
      <c r="AA664" s="350"/>
      <c r="AB664" s="350"/>
      <c r="AC664" s="350"/>
      <c r="AD664" s="350"/>
      <c r="AE664" s="350"/>
    </row>
    <row r="665" s="350" customFormat="1" ht="22.5" customHeight="1">
      <c r="A665" s="25" t="s">
        <v>350</v>
      </c>
      <c r="B665" s="25"/>
      <c r="C665" s="154">
        <f>SUM(C666:C671)</f>
        <v>49733577.299999997</v>
      </c>
      <c r="D665" s="154">
        <f>SUM(D666:D671)</f>
        <v>23126875.380000003</v>
      </c>
      <c r="E665" s="154">
        <f>SUM(E666:E671)</f>
        <v>669285.40000000002</v>
      </c>
      <c r="F665" s="154">
        <f>SUM(F666:F671)</f>
        <v>18231998.780000001</v>
      </c>
      <c r="G665" s="154">
        <f>SUM(G666:G671)</f>
        <v>3379614.1000000001</v>
      </c>
      <c r="H665" s="154">
        <f>SUM(H666:H671)</f>
        <v>845977.10000000009</v>
      </c>
      <c r="I665" s="154">
        <f>SUM(I666:I671)</f>
        <v>0</v>
      </c>
      <c r="J665" s="155">
        <f>SUM(J666:J671)</f>
        <v>0</v>
      </c>
      <c r="K665" s="154">
        <f>SUM(K666:K671)</f>
        <v>0</v>
      </c>
      <c r="L665" s="154">
        <f>SUM(L666:L671)</f>
        <v>24407273</v>
      </c>
      <c r="M665" s="154">
        <f>SUM(M666:M671)</f>
        <v>0</v>
      </c>
      <c r="N665" s="154">
        <f>SUM(N666:N671)</f>
        <v>0</v>
      </c>
      <c r="O665" s="154">
        <f>SUM(O666:O671)</f>
        <v>0</v>
      </c>
      <c r="P665" s="154">
        <f>SUM(P666:P671)</f>
        <v>1147164</v>
      </c>
      <c r="Q665" s="154">
        <f>SUM(Q666:Q671)</f>
        <v>0</v>
      </c>
      <c r="R665" s="154">
        <f>SUM(R666:R671)</f>
        <v>1052264.9199999999</v>
      </c>
      <c r="S665" s="154">
        <f>SUM(S666:S671)</f>
        <v>0</v>
      </c>
      <c r="T665" s="154">
        <f>SUM(T666:T671)</f>
        <v>0</v>
      </c>
      <c r="U665" s="350"/>
      <c r="V665" s="350"/>
      <c r="W665" s="350"/>
      <c r="X665" s="350"/>
      <c r="Y665" s="350"/>
      <c r="Z665" s="350"/>
      <c r="AA665" s="350"/>
      <c r="AB665" s="350"/>
      <c r="AC665" s="350"/>
      <c r="AD665" s="350"/>
      <c r="AE665" s="350"/>
      <c r="AF665" s="350"/>
      <c r="AG665" s="350"/>
      <c r="AH665" s="350"/>
      <c r="AI665" s="350"/>
    </row>
    <row r="666" s="399" customFormat="1" ht="22.5" customHeight="1">
      <c r="A666" s="33">
        <v>1</v>
      </c>
      <c r="B666" s="73" t="s">
        <v>1269</v>
      </c>
      <c r="C666" s="79">
        <f t="shared" ref="C666:C671" si="267">D666+K666+L666+M666+N666+O666+P666+Q666+R666+S666+T666</f>
        <v>1214796.1099999999</v>
      </c>
      <c r="D666" s="79">
        <f t="shared" ref="D666:D671" si="268">SUM(E666:I666)</f>
        <v>669285.40000000002</v>
      </c>
      <c r="E666" s="92">
        <v>669285.40000000002</v>
      </c>
      <c r="F666" s="92">
        <v>0</v>
      </c>
      <c r="G666" s="92">
        <v>0</v>
      </c>
      <c r="H666" s="92">
        <v>0</v>
      </c>
      <c r="I666" s="79">
        <v>0</v>
      </c>
      <c r="J666" s="398">
        <v>0</v>
      </c>
      <c r="K666" s="79">
        <v>0</v>
      </c>
      <c r="L666" s="79">
        <v>0</v>
      </c>
      <c r="M666" s="79">
        <v>0</v>
      </c>
      <c r="N666" s="79">
        <v>0</v>
      </c>
      <c r="O666" s="79">
        <v>0</v>
      </c>
      <c r="P666" s="92">
        <f>265594+265594</f>
        <v>531188</v>
      </c>
      <c r="Q666" s="79">
        <v>0</v>
      </c>
      <c r="R666" s="79">
        <v>14322.709999999999</v>
      </c>
      <c r="S666" s="79">
        <v>0</v>
      </c>
      <c r="T666" s="79">
        <v>0</v>
      </c>
      <c r="U666" s="399"/>
      <c r="V666" s="399"/>
      <c r="W666" s="399"/>
      <c r="X666" s="399"/>
      <c r="Y666" s="399"/>
      <c r="Z666" s="399"/>
      <c r="AA666" s="399"/>
      <c r="AB666" s="399"/>
      <c r="AC666" s="399"/>
      <c r="AD666" s="399"/>
      <c r="AE666" s="399"/>
      <c r="AF666" s="399"/>
      <c r="AG666" s="399"/>
      <c r="AH666" s="399"/>
      <c r="AI666" s="399"/>
      <c r="AJ666" s="399"/>
      <c r="AK666" s="399"/>
      <c r="AL666" s="399"/>
      <c r="AM666" s="399"/>
      <c r="AN666" s="399"/>
      <c r="AO666" s="399"/>
    </row>
    <row r="667" s="399" customFormat="1" ht="22.5" customHeight="1">
      <c r="A667" s="33">
        <v>2</v>
      </c>
      <c r="B667" s="73" t="s">
        <v>669</v>
      </c>
      <c r="C667" s="79">
        <f t="shared" si="267"/>
        <v>24929588.640000001</v>
      </c>
      <c r="D667" s="158">
        <f t="shared" si="268"/>
        <v>0</v>
      </c>
      <c r="E667" s="92">
        <v>0</v>
      </c>
      <c r="F667" s="92">
        <v>0</v>
      </c>
      <c r="G667" s="92">
        <v>0</v>
      </c>
      <c r="H667" s="92">
        <v>0</v>
      </c>
      <c r="I667" s="79">
        <v>0</v>
      </c>
      <c r="J667" s="398">
        <v>0</v>
      </c>
      <c r="K667" s="79">
        <v>0</v>
      </c>
      <c r="L667" s="79">
        <v>24407273</v>
      </c>
      <c r="M667" s="79">
        <v>0</v>
      </c>
      <c r="N667" s="79">
        <v>0</v>
      </c>
      <c r="O667" s="79">
        <v>0</v>
      </c>
      <c r="P667" s="92">
        <v>0</v>
      </c>
      <c r="Q667" s="79">
        <v>0</v>
      </c>
      <c r="R667" s="79">
        <v>522315.64000000001</v>
      </c>
      <c r="S667" s="79">
        <v>0</v>
      </c>
      <c r="T667" s="79">
        <v>0</v>
      </c>
      <c r="U667" s="399"/>
      <c r="V667" s="399"/>
      <c r="W667" s="399"/>
      <c r="X667" s="399"/>
      <c r="Y667" s="399"/>
      <c r="Z667" s="399"/>
      <c r="AA667" s="399"/>
      <c r="AB667" s="399"/>
      <c r="AC667" s="399"/>
      <c r="AD667" s="399"/>
      <c r="AE667" s="399"/>
      <c r="AF667" s="399"/>
      <c r="AG667" s="399"/>
      <c r="AH667" s="399"/>
      <c r="AI667" s="399"/>
    </row>
    <row r="668" s="350" customFormat="1" ht="22.5" customHeight="1">
      <c r="A668" s="33">
        <v>3</v>
      </c>
      <c r="B668" s="73" t="s">
        <v>353</v>
      </c>
      <c r="C668" s="158">
        <f t="shared" si="267"/>
        <v>6394852.0100000007</v>
      </c>
      <c r="D668" s="79">
        <f t="shared" si="268"/>
        <v>6226569.2800000003</v>
      </c>
      <c r="E668" s="92">
        <v>0</v>
      </c>
      <c r="F668" s="92">
        <v>6226569.2800000003</v>
      </c>
      <c r="G668" s="92">
        <v>0</v>
      </c>
      <c r="H668" s="92">
        <v>0</v>
      </c>
      <c r="I668" s="158">
        <v>0</v>
      </c>
      <c r="J668" s="398">
        <v>0</v>
      </c>
      <c r="K668" s="158">
        <v>0</v>
      </c>
      <c r="L668" s="79">
        <v>0</v>
      </c>
      <c r="M668" s="158">
        <v>0</v>
      </c>
      <c r="N668" s="79">
        <v>0</v>
      </c>
      <c r="O668" s="158">
        <v>0</v>
      </c>
      <c r="P668" s="92">
        <v>0</v>
      </c>
      <c r="Q668" s="158">
        <v>0</v>
      </c>
      <c r="R668" s="79">
        <v>168282.73000000001</v>
      </c>
      <c r="S668" s="158">
        <v>0</v>
      </c>
      <c r="T668" s="79">
        <v>0</v>
      </c>
      <c r="U668" s="350"/>
      <c r="V668" s="350"/>
      <c r="W668" s="350"/>
      <c r="X668" s="350"/>
      <c r="Y668" s="350"/>
      <c r="Z668" s="350"/>
      <c r="AA668" s="350"/>
      <c r="AB668" s="350"/>
      <c r="AC668" s="350"/>
      <c r="AD668" s="350"/>
      <c r="AE668" s="350"/>
      <c r="AF668" s="350"/>
      <c r="AG668" s="350"/>
      <c r="AH668" s="350"/>
      <c r="AI668" s="350"/>
    </row>
    <row r="669" s="350" customFormat="1" ht="22.5" customHeight="1">
      <c r="A669" s="33">
        <v>4</v>
      </c>
      <c r="B669" s="73" t="s">
        <v>355</v>
      </c>
      <c r="C669" s="79">
        <f t="shared" si="267"/>
        <v>2155053.3900000001</v>
      </c>
      <c r="D669" s="158">
        <f t="shared" si="268"/>
        <v>2109901.5</v>
      </c>
      <c r="E669" s="92">
        <v>0</v>
      </c>
      <c r="F669" s="92">
        <v>2109901.5</v>
      </c>
      <c r="G669" s="92">
        <v>0</v>
      </c>
      <c r="H669" s="92">
        <v>0</v>
      </c>
      <c r="I669" s="79">
        <v>0</v>
      </c>
      <c r="J669" s="398">
        <v>0</v>
      </c>
      <c r="K669" s="79">
        <v>0</v>
      </c>
      <c r="L669" s="79">
        <v>0</v>
      </c>
      <c r="M669" s="79">
        <v>0</v>
      </c>
      <c r="N669" s="79">
        <v>0</v>
      </c>
      <c r="O669" s="79">
        <v>0</v>
      </c>
      <c r="P669" s="92">
        <v>0</v>
      </c>
      <c r="Q669" s="79">
        <v>0</v>
      </c>
      <c r="R669" s="79">
        <v>45151.889999999999</v>
      </c>
      <c r="S669" s="79">
        <v>0</v>
      </c>
      <c r="T669" s="79">
        <v>0</v>
      </c>
      <c r="U669" s="350"/>
      <c r="V669" s="350"/>
      <c r="W669" s="350"/>
      <c r="X669" s="350"/>
      <c r="Y669" s="350"/>
      <c r="Z669" s="350"/>
      <c r="AA669" s="350"/>
      <c r="AB669" s="350"/>
      <c r="AC669" s="350"/>
      <c r="AD669" s="350"/>
      <c r="AE669" s="350"/>
      <c r="AF669" s="350"/>
      <c r="AG669" s="350"/>
      <c r="AH669" s="350"/>
      <c r="AI669" s="350"/>
    </row>
    <row r="670" s="350" customFormat="1" ht="22.5" customHeight="1">
      <c r="A670" s="33">
        <v>5</v>
      </c>
      <c r="B670" s="73" t="s">
        <v>1270</v>
      </c>
      <c r="C670" s="79">
        <f t="shared" si="267"/>
        <v>2153151.21</v>
      </c>
      <c r="D670" s="79">
        <f t="shared" si="268"/>
        <v>1848009.8</v>
      </c>
      <c r="E670" s="92">
        <v>0</v>
      </c>
      <c r="F670" s="92">
        <v>1848009.8</v>
      </c>
      <c r="G670" s="92">
        <v>0</v>
      </c>
      <c r="H670" s="92">
        <v>0</v>
      </c>
      <c r="I670" s="158">
        <v>0</v>
      </c>
      <c r="J670" s="398">
        <v>0</v>
      </c>
      <c r="K670" s="158">
        <v>0</v>
      </c>
      <c r="L670" s="79">
        <v>0</v>
      </c>
      <c r="M670" s="158">
        <v>0</v>
      </c>
      <c r="N670" s="79">
        <v>0</v>
      </c>
      <c r="O670" s="158">
        <v>0</v>
      </c>
      <c r="P670" s="92">
        <v>265594</v>
      </c>
      <c r="Q670" s="158">
        <v>0</v>
      </c>
      <c r="R670" s="79">
        <v>39547.410000000003</v>
      </c>
      <c r="S670" s="158">
        <v>0</v>
      </c>
      <c r="T670" s="79">
        <v>0</v>
      </c>
      <c r="U670" s="399"/>
      <c r="V670" s="399"/>
      <c r="W670" s="399"/>
      <c r="X670" s="399"/>
      <c r="Y670" s="399"/>
      <c r="Z670" s="399"/>
      <c r="AA670" s="399"/>
      <c r="AB670" s="399"/>
      <c r="AC670" s="399"/>
      <c r="AD670" s="399"/>
      <c r="AE670" s="399"/>
      <c r="AF670" s="399"/>
      <c r="AG670" s="399"/>
      <c r="AH670" s="399"/>
      <c r="AI670" s="399"/>
    </row>
    <row r="671" s="399" customFormat="1" ht="22.5" customHeight="1">
      <c r="A671" s="33">
        <v>6</v>
      </c>
      <c r="B671" s="50" t="s">
        <v>1271</v>
      </c>
      <c r="C671" s="158">
        <f t="shared" si="267"/>
        <v>12886135.939999999</v>
      </c>
      <c r="D671" s="79">
        <f t="shared" si="268"/>
        <v>12273109.4</v>
      </c>
      <c r="E671" s="92">
        <v>0</v>
      </c>
      <c r="F671" s="92">
        <v>8047518.2000000002</v>
      </c>
      <c r="G671" s="92">
        <v>3379614.1000000001</v>
      </c>
      <c r="H671" s="92">
        <v>845977.10000000009</v>
      </c>
      <c r="I671" s="79">
        <v>0</v>
      </c>
      <c r="J671" s="345">
        <v>0</v>
      </c>
      <c r="K671" s="79">
        <v>0</v>
      </c>
      <c r="L671" s="158">
        <v>0</v>
      </c>
      <c r="M671" s="79">
        <v>0</v>
      </c>
      <c r="N671" s="158">
        <v>0</v>
      </c>
      <c r="O671" s="79">
        <v>0</v>
      </c>
      <c r="P671" s="92">
        <v>350382</v>
      </c>
      <c r="Q671" s="79">
        <v>0</v>
      </c>
      <c r="R671" s="158">
        <f>172216.89+72323.74+18103.91</f>
        <v>262644.53999999998</v>
      </c>
      <c r="S671" s="79">
        <v>0</v>
      </c>
      <c r="T671" s="79">
        <v>0</v>
      </c>
      <c r="U671" s="110"/>
      <c r="V671" s="110"/>
      <c r="W671" s="110"/>
      <c r="X671" s="110"/>
      <c r="Y671" s="110"/>
      <c r="Z671" s="110"/>
      <c r="AA671" s="110"/>
      <c r="AB671" s="110"/>
      <c r="AC671" s="110"/>
      <c r="AD671" s="110"/>
      <c r="AE671" s="110"/>
      <c r="AF671" s="399"/>
      <c r="AG671" s="399"/>
      <c r="AH671" s="399"/>
      <c r="AI671" s="399"/>
    </row>
    <row r="672" s="350" customFormat="1" ht="22.5" customHeight="1">
      <c r="A672" s="25" t="s">
        <v>359</v>
      </c>
      <c r="B672" s="25"/>
      <c r="C672" s="154">
        <f>SUM(C673:C675)</f>
        <v>15570337.899999999</v>
      </c>
      <c r="D672" s="154">
        <f>SUM(D673:D675)</f>
        <v>9473645.1999999993</v>
      </c>
      <c r="E672" s="154">
        <f>SUM(E673:E675)</f>
        <v>6201353.2000000002</v>
      </c>
      <c r="F672" s="154">
        <f>SUM(F673:F675)</f>
        <v>0</v>
      </c>
      <c r="G672" s="154">
        <f>SUM(G673:G675)</f>
        <v>2617168.5</v>
      </c>
      <c r="H672" s="154">
        <f>SUM(H673:H675)</f>
        <v>655123.5</v>
      </c>
      <c r="I672" s="154">
        <f>SUM(I673:I675)</f>
        <v>0</v>
      </c>
      <c r="J672" s="155">
        <f>SUM(J673:J675)</f>
        <v>0</v>
      </c>
      <c r="K672" s="154">
        <f>SUM(K673:K675)</f>
        <v>0</v>
      </c>
      <c r="L672" s="154">
        <f>SUM(L673:L675)</f>
        <v>3701228.3999999999</v>
      </c>
      <c r="M672" s="154">
        <f>SUM(M673:M675)</f>
        <v>0</v>
      </c>
      <c r="N672" s="154">
        <f>SUM(N673:N675)</f>
        <v>0</v>
      </c>
      <c r="O672" s="154">
        <f>SUM(O673:O675)</f>
        <v>0</v>
      </c>
      <c r="P672" s="154">
        <f>SUM(P673:P675)</f>
        <v>2113522</v>
      </c>
      <c r="Q672" s="154">
        <f>SUM(Q673:Q675)</f>
        <v>0</v>
      </c>
      <c r="R672" s="154">
        <f>SUM(R673:R675)</f>
        <v>281942.29999999999</v>
      </c>
      <c r="S672" s="154">
        <f>SUM(S673:S675)</f>
        <v>0</v>
      </c>
      <c r="T672" s="154">
        <f>SUM(T673:T675)</f>
        <v>0</v>
      </c>
      <c r="U672" s="350"/>
      <c r="V672" s="350"/>
      <c r="W672" s="350"/>
      <c r="X672" s="350"/>
      <c r="Y672" s="350"/>
      <c r="Z672" s="350"/>
      <c r="AA672" s="350"/>
      <c r="AB672" s="350"/>
      <c r="AC672" s="350"/>
      <c r="AD672" s="350"/>
      <c r="AE672" s="350"/>
      <c r="AF672" s="350"/>
      <c r="AG672" s="350"/>
      <c r="AH672" s="350"/>
      <c r="AI672" s="350"/>
    </row>
    <row r="673" s="350" customFormat="1" ht="22.5" customHeight="1">
      <c r="A673" s="33">
        <v>1</v>
      </c>
      <c r="B673" s="50" t="s">
        <v>1272</v>
      </c>
      <c r="C673" s="79">
        <f t="shared" ref="C673:C675" si="269">D673+K673+L673+M673+N673+O673+P673+Q673+R673+S673+T673</f>
        <v>9600553.5700000003</v>
      </c>
      <c r="D673" s="79">
        <f t="shared" ref="D673:D675" si="270">SUM(E673:I673)</f>
        <v>8370283.5</v>
      </c>
      <c r="E673" s="79">
        <v>5097991.5</v>
      </c>
      <c r="F673" s="79">
        <v>0</v>
      </c>
      <c r="G673" s="79">
        <v>2617168.5</v>
      </c>
      <c r="H673" s="79">
        <v>655123.5</v>
      </c>
      <c r="I673" s="79">
        <v>0</v>
      </c>
      <c r="J673" s="398">
        <v>0</v>
      </c>
      <c r="K673" s="79">
        <v>0</v>
      </c>
      <c r="L673" s="92">
        <v>0</v>
      </c>
      <c r="M673" s="79">
        <v>0</v>
      </c>
      <c r="N673" s="79">
        <v>0</v>
      </c>
      <c r="O673" s="79">
        <v>0</v>
      </c>
      <c r="P673" s="92">
        <f>350382+350382+350382</f>
        <v>1051146</v>
      </c>
      <c r="Q673" s="79">
        <v>0</v>
      </c>
      <c r="R673" s="79">
        <f>109097.02+56007.41+14019.64</f>
        <v>179124.07000000001</v>
      </c>
      <c r="S673" s="79">
        <v>0</v>
      </c>
      <c r="T673" s="79">
        <v>0</v>
      </c>
      <c r="U673" s="350"/>
      <c r="V673" s="350"/>
      <c r="W673" s="350"/>
      <c r="X673" s="350"/>
      <c r="Y673" s="350"/>
      <c r="Z673" s="350"/>
      <c r="AA673" s="350"/>
      <c r="AB673" s="350"/>
      <c r="AC673" s="350"/>
      <c r="AD673" s="350"/>
      <c r="AE673" s="350"/>
      <c r="AF673" s="350"/>
      <c r="AG673" s="350"/>
      <c r="AH673" s="350"/>
      <c r="AI673" s="350"/>
    </row>
    <row r="674" s="350" customFormat="1" ht="22.5" customHeight="1">
      <c r="A674" s="33">
        <v>2</v>
      </c>
      <c r="B674" s="50" t="s">
        <v>1273</v>
      </c>
      <c r="C674" s="158">
        <f t="shared" si="269"/>
        <v>1091432.03</v>
      </c>
      <c r="D674" s="79">
        <f t="shared" si="270"/>
        <v>548506</v>
      </c>
      <c r="E674" s="158">
        <v>548506</v>
      </c>
      <c r="F674" s="92">
        <v>0</v>
      </c>
      <c r="G674" s="158">
        <v>0</v>
      </c>
      <c r="H674" s="92">
        <v>0</v>
      </c>
      <c r="I674" s="92">
        <v>0</v>
      </c>
      <c r="J674" s="345">
        <v>0</v>
      </c>
      <c r="K674" s="79">
        <v>0</v>
      </c>
      <c r="L674" s="92">
        <v>0</v>
      </c>
      <c r="M674" s="158">
        <v>0</v>
      </c>
      <c r="N674" s="79">
        <v>0</v>
      </c>
      <c r="O674" s="158">
        <v>0</v>
      </c>
      <c r="P674" s="92">
        <f t="shared" ref="P674:P675" si="271">265594+265594</f>
        <v>531188</v>
      </c>
      <c r="Q674" s="158">
        <v>0</v>
      </c>
      <c r="R674" s="79">
        <v>11738.030000000001</v>
      </c>
      <c r="S674" s="158">
        <v>0</v>
      </c>
      <c r="T674" s="79">
        <v>0</v>
      </c>
      <c r="U674" s="399"/>
      <c r="V674" s="399"/>
      <c r="W674" s="399"/>
      <c r="X674" s="399"/>
      <c r="Y674" s="399"/>
      <c r="Z674" s="399"/>
      <c r="AA674" s="399"/>
      <c r="AB674" s="399"/>
      <c r="AC674" s="399"/>
      <c r="AD674" s="399"/>
      <c r="AE674" s="399"/>
      <c r="AF674" s="350"/>
      <c r="AG674" s="350"/>
      <c r="AH674" s="350"/>
      <c r="AI674" s="350"/>
    </row>
    <row r="675" s="350" customFormat="1" ht="22.5" customHeight="1">
      <c r="A675" s="33">
        <v>3</v>
      </c>
      <c r="B675" s="50" t="s">
        <v>1274</v>
      </c>
      <c r="C675" s="79">
        <f t="shared" si="269"/>
        <v>4878352.2999999998</v>
      </c>
      <c r="D675" s="79">
        <f t="shared" si="270"/>
        <v>554855.69999999995</v>
      </c>
      <c r="E675" s="79">
        <v>554855.69999999995</v>
      </c>
      <c r="F675" s="92">
        <v>0</v>
      </c>
      <c r="G675" s="79">
        <v>0</v>
      </c>
      <c r="H675" s="92">
        <v>0</v>
      </c>
      <c r="I675" s="92">
        <v>0</v>
      </c>
      <c r="J675" s="398">
        <v>0</v>
      </c>
      <c r="K675" s="79">
        <v>0</v>
      </c>
      <c r="L675" s="92">
        <v>3701228.3999999999</v>
      </c>
      <c r="M675" s="79">
        <v>0</v>
      </c>
      <c r="N675" s="79">
        <v>0</v>
      </c>
      <c r="O675" s="79">
        <v>0</v>
      </c>
      <c r="P675" s="92">
        <f t="shared" si="271"/>
        <v>531188</v>
      </c>
      <c r="Q675" s="79">
        <v>0</v>
      </c>
      <c r="R675" s="79">
        <f>11873.91+79206.29</f>
        <v>91080.199999999997</v>
      </c>
      <c r="S675" s="79">
        <v>0</v>
      </c>
      <c r="T675" s="79">
        <v>0</v>
      </c>
      <c r="U675" s="350"/>
      <c r="V675" s="350"/>
      <c r="W675" s="350"/>
      <c r="X675" s="350"/>
      <c r="Y675" s="350"/>
      <c r="Z675" s="350"/>
      <c r="AA675" s="350"/>
      <c r="AB675" s="350"/>
      <c r="AC675" s="350"/>
      <c r="AD675" s="350"/>
      <c r="AE675" s="350"/>
    </row>
    <row r="676" s="350" customFormat="1" ht="22.5" customHeight="1">
      <c r="A676" s="61" t="s">
        <v>672</v>
      </c>
      <c r="B676" s="61"/>
      <c r="C676" s="154">
        <f>SUM(C677:C678)</f>
        <v>1522073.6799999999</v>
      </c>
      <c r="D676" s="154">
        <f>SUM(D677:D678)</f>
        <v>970125</v>
      </c>
      <c r="E676" s="154">
        <f>SUM(E677:E678)</f>
        <v>0</v>
      </c>
      <c r="F676" s="154">
        <f>SUM(F677:F678)</f>
        <v>0</v>
      </c>
      <c r="G676" s="154">
        <f>SUM(G677:G678)</f>
        <v>0</v>
      </c>
      <c r="H676" s="154">
        <f>SUM(H677:H678)</f>
        <v>970125</v>
      </c>
      <c r="I676" s="154">
        <f>SUM(I677:I678)</f>
        <v>0</v>
      </c>
      <c r="J676" s="155">
        <f>SUM(J677:J678)</f>
        <v>0</v>
      </c>
      <c r="K676" s="154">
        <f>SUM(K677:K678)</f>
        <v>0</v>
      </c>
      <c r="L676" s="154">
        <f>SUM(L677:L678)</f>
        <v>0</v>
      </c>
      <c r="M676" s="154">
        <f>SUM(M677:M678)</f>
        <v>0</v>
      </c>
      <c r="N676" s="154">
        <f>SUM(N677:N678)</f>
        <v>0</v>
      </c>
      <c r="O676" s="154">
        <f>SUM(O677:O678)</f>
        <v>0</v>
      </c>
      <c r="P676" s="154">
        <f>SUM(P677:P678)</f>
        <v>531188</v>
      </c>
      <c r="Q676" s="154">
        <f>SUM(Q677:Q678)</f>
        <v>0</v>
      </c>
      <c r="R676" s="154">
        <f>SUM(R677:R678)</f>
        <v>20760.68</v>
      </c>
      <c r="S676" s="154">
        <f>SUM(S677:S678)</f>
        <v>0</v>
      </c>
      <c r="T676" s="154">
        <f>SUM(T677:T678)</f>
        <v>0</v>
      </c>
      <c r="U676" s="350"/>
      <c r="V676" s="350"/>
      <c r="W676" s="350"/>
      <c r="X676" s="350"/>
      <c r="Y676" s="350"/>
      <c r="Z676" s="350"/>
      <c r="AA676" s="350"/>
      <c r="AB676" s="350"/>
      <c r="AC676" s="350"/>
      <c r="AD676" s="350"/>
      <c r="AE676" s="350"/>
      <c r="AF676" s="350"/>
      <c r="AG676" s="350"/>
      <c r="AH676" s="350"/>
      <c r="AI676" s="350"/>
    </row>
    <row r="677" s="350" customFormat="1" ht="22.5" customHeight="1">
      <c r="A677" s="33">
        <v>1</v>
      </c>
      <c r="B677" s="34" t="s">
        <v>1275</v>
      </c>
      <c r="C677" s="79">
        <f t="shared" ref="C677:C678" si="272">D677+K677+L677+M677+N677+O677+P677+Q677+R677+S677+T677</f>
        <v>841431.03000000003</v>
      </c>
      <c r="D677" s="79">
        <f t="shared" ref="D677:D678" si="273">SUM(E677:I677)</f>
        <v>563772.30000000005</v>
      </c>
      <c r="E677" s="92">
        <v>0</v>
      </c>
      <c r="F677" s="79">
        <v>0</v>
      </c>
      <c r="G677" s="79">
        <v>0</v>
      </c>
      <c r="H677" s="92">
        <v>563772.30000000005</v>
      </c>
      <c r="I677" s="92">
        <v>0</v>
      </c>
      <c r="J677" s="401">
        <v>0</v>
      </c>
      <c r="K677" s="92">
        <v>0</v>
      </c>
      <c r="L677" s="92">
        <v>0</v>
      </c>
      <c r="M677" s="92">
        <v>0</v>
      </c>
      <c r="N677" s="92">
        <v>0</v>
      </c>
      <c r="O677" s="92">
        <v>0</v>
      </c>
      <c r="P677" s="92">
        <v>265594</v>
      </c>
      <c r="Q677" s="92">
        <v>0</v>
      </c>
      <c r="R677" s="92">
        <v>12064.73</v>
      </c>
      <c r="S677" s="92">
        <v>0</v>
      </c>
      <c r="T677" s="92">
        <v>0</v>
      </c>
      <c r="U677" s="350"/>
      <c r="V677" s="350"/>
      <c r="W677" s="350"/>
      <c r="X677" s="350"/>
      <c r="Y677" s="350"/>
      <c r="Z677" s="350"/>
      <c r="AA677" s="350"/>
      <c r="AB677" s="350"/>
      <c r="AC677" s="350"/>
      <c r="AD677" s="350"/>
      <c r="AE677" s="350"/>
    </row>
    <row r="678" s="350" customFormat="1" ht="22.5" customHeight="1">
      <c r="A678" s="33">
        <v>2</v>
      </c>
      <c r="B678" s="34" t="s">
        <v>1276</v>
      </c>
      <c r="C678" s="79">
        <f t="shared" si="272"/>
        <v>680642.64999999991</v>
      </c>
      <c r="D678" s="79">
        <f t="shared" si="273"/>
        <v>406352.70000000001</v>
      </c>
      <c r="E678" s="79">
        <v>0</v>
      </c>
      <c r="F678" s="92">
        <v>0</v>
      </c>
      <c r="G678" s="79">
        <v>0</v>
      </c>
      <c r="H678" s="92">
        <v>406352.70000000001</v>
      </c>
      <c r="I678" s="79">
        <v>0</v>
      </c>
      <c r="J678" s="398">
        <v>0</v>
      </c>
      <c r="K678" s="79">
        <v>0</v>
      </c>
      <c r="L678" s="79">
        <v>0</v>
      </c>
      <c r="M678" s="79">
        <v>0</v>
      </c>
      <c r="N678" s="79">
        <v>0</v>
      </c>
      <c r="O678" s="79">
        <v>0</v>
      </c>
      <c r="P678" s="79">
        <v>265594</v>
      </c>
      <c r="Q678" s="79">
        <v>0</v>
      </c>
      <c r="R678" s="79">
        <v>8695.9500000000007</v>
      </c>
      <c r="S678" s="79">
        <v>0</v>
      </c>
      <c r="T678" s="79">
        <v>0</v>
      </c>
      <c r="U678" s="350"/>
      <c r="V678" s="350"/>
      <c r="W678" s="350"/>
      <c r="X678" s="350"/>
      <c r="Y678" s="350"/>
      <c r="Z678" s="350"/>
      <c r="AA678" s="350"/>
      <c r="AB678" s="350"/>
      <c r="AC678" s="350"/>
      <c r="AD678" s="350"/>
      <c r="AE678" s="350"/>
      <c r="AF678" s="350"/>
      <c r="AG678" s="350"/>
      <c r="AH678" s="350"/>
      <c r="AI678" s="350"/>
      <c r="AJ678" s="350"/>
      <c r="AK678" s="350"/>
      <c r="AL678" s="350"/>
      <c r="AM678" s="350"/>
      <c r="AN678" s="350"/>
      <c r="AO678" s="350"/>
    </row>
    <row r="679" s="350" customFormat="1" ht="22.5" customHeight="1">
      <c r="A679" s="61" t="s">
        <v>362</v>
      </c>
      <c r="B679" s="61"/>
      <c r="C679" s="154">
        <f>SUM(C680:C695)</f>
        <v>145870366.36999997</v>
      </c>
      <c r="D679" s="154">
        <f>SUM(D680:D695)</f>
        <v>22847640.000000004</v>
      </c>
      <c r="E679" s="154">
        <f>SUM(E680:E695)</f>
        <v>19876790.030000001</v>
      </c>
      <c r="F679" s="154">
        <f>SUM(F680:F695)</f>
        <v>1675745.73</v>
      </c>
      <c r="G679" s="154">
        <f>SUM(G680:G695)</f>
        <v>0</v>
      </c>
      <c r="H679" s="154">
        <f>SUM(H680:H695)</f>
        <v>0</v>
      </c>
      <c r="I679" s="154">
        <f>SUM(I680:I695)</f>
        <v>1295104.24</v>
      </c>
      <c r="J679" s="155">
        <f>SUM(J680:J695)</f>
        <v>0</v>
      </c>
      <c r="K679" s="154">
        <f>SUM(K680:K695)</f>
        <v>0</v>
      </c>
      <c r="L679" s="154">
        <f>SUM(L680:L695)</f>
        <v>100035874.63</v>
      </c>
      <c r="M679" s="154">
        <f>SUM(M680:M695)</f>
        <v>0</v>
      </c>
      <c r="N679" s="154">
        <f>SUM(N680:N695)</f>
        <v>10686052.359999999</v>
      </c>
      <c r="O679" s="154">
        <f>SUM(O680:O695)</f>
        <v>0</v>
      </c>
      <c r="P679" s="154">
        <f>SUM(P680:P695)</f>
        <v>9460314</v>
      </c>
      <c r="Q679" s="154">
        <f>SUM(Q680:Q695)</f>
        <v>0</v>
      </c>
      <c r="R679" s="154">
        <f>SUM(R680:R695)</f>
        <v>2840485.3800000004</v>
      </c>
      <c r="S679" s="154">
        <f>SUM(S680:S695)</f>
        <v>0</v>
      </c>
      <c r="T679" s="154">
        <f>SUM(T680:T695)</f>
        <v>0</v>
      </c>
      <c r="U679" s="350"/>
      <c r="V679" s="350"/>
      <c r="W679" s="350"/>
      <c r="X679" s="350"/>
      <c r="Y679" s="350"/>
      <c r="Z679" s="350"/>
      <c r="AA679" s="350"/>
      <c r="AB679" s="350"/>
      <c r="AC679" s="350"/>
      <c r="AD679" s="350"/>
      <c r="AE679" s="350"/>
    </row>
    <row r="680" s="350" customFormat="1" ht="22.5" customHeight="1">
      <c r="A680" s="33">
        <v>1</v>
      </c>
      <c r="B680" s="50" t="s">
        <v>363</v>
      </c>
      <c r="C680" s="79">
        <f t="shared" ref="C680:C695" si="274">D680+K680+L680+M680+N680+O680+P680+Q680+R680+S680+T680</f>
        <v>10914733.879999999</v>
      </c>
      <c r="D680" s="79">
        <f t="shared" ref="D680:D695" si="275">SUM(E680:I680)</f>
        <v>0</v>
      </c>
      <c r="E680" s="79">
        <v>0</v>
      </c>
      <c r="F680" s="92">
        <v>0</v>
      </c>
      <c r="G680" s="79">
        <v>0</v>
      </c>
      <c r="H680" s="79">
        <v>0</v>
      </c>
      <c r="I680" s="79">
        <v>0</v>
      </c>
      <c r="J680" s="398">
        <v>0</v>
      </c>
      <c r="K680" s="79">
        <v>0</v>
      </c>
      <c r="L680" s="79">
        <v>0</v>
      </c>
      <c r="M680" s="79">
        <v>0</v>
      </c>
      <c r="N680" s="79">
        <v>10686052.359999999</v>
      </c>
      <c r="O680" s="92">
        <v>0</v>
      </c>
      <c r="P680" s="79">
        <v>0</v>
      </c>
      <c r="Q680" s="79">
        <v>0</v>
      </c>
      <c r="R680" s="79">
        <v>228681.51999999999</v>
      </c>
      <c r="S680" s="79">
        <v>0</v>
      </c>
      <c r="T680" s="79">
        <v>0</v>
      </c>
      <c r="U680" s="350"/>
      <c r="V680" s="350"/>
      <c r="W680" s="350"/>
      <c r="X680" s="350"/>
      <c r="Y680" s="350"/>
      <c r="Z680" s="350"/>
      <c r="AA680" s="350"/>
      <c r="AB680" s="350"/>
      <c r="AC680" s="350"/>
      <c r="AD680" s="350"/>
      <c r="AE680" s="350"/>
      <c r="AF680" s="350"/>
      <c r="AG680" s="350"/>
      <c r="AH680" s="350"/>
      <c r="AI680" s="350"/>
    </row>
    <row r="681" s="350" customFormat="1" ht="22.5" customHeight="1">
      <c r="A681" s="33">
        <v>2</v>
      </c>
      <c r="B681" s="50" t="s">
        <v>1277</v>
      </c>
      <c r="C681" s="79">
        <f t="shared" si="274"/>
        <v>1257324.23</v>
      </c>
      <c r="D681" s="79">
        <f t="shared" si="275"/>
        <v>887940.31000000006</v>
      </c>
      <c r="E681" s="79">
        <v>0</v>
      </c>
      <c r="F681" s="92">
        <v>0</v>
      </c>
      <c r="G681" s="79">
        <v>0</v>
      </c>
      <c r="H681" s="79">
        <v>0</v>
      </c>
      <c r="I681" s="79">
        <v>887940.31000000006</v>
      </c>
      <c r="J681" s="398">
        <v>0</v>
      </c>
      <c r="K681" s="79">
        <v>0</v>
      </c>
      <c r="L681" s="79">
        <v>0</v>
      </c>
      <c r="M681" s="79">
        <v>0</v>
      </c>
      <c r="N681" s="79">
        <v>0</v>
      </c>
      <c r="O681" s="92">
        <v>0</v>
      </c>
      <c r="P681" s="79">
        <v>350382</v>
      </c>
      <c r="Q681" s="79">
        <v>0</v>
      </c>
      <c r="R681" s="79">
        <v>19001.919999999998</v>
      </c>
      <c r="S681" s="79">
        <v>0</v>
      </c>
      <c r="T681" s="79">
        <v>0</v>
      </c>
      <c r="U681" s="350"/>
      <c r="V681" s="350"/>
      <c r="W681" s="350"/>
      <c r="X681" s="350"/>
      <c r="Y681" s="350"/>
      <c r="Z681" s="350"/>
      <c r="AA681" s="350"/>
      <c r="AB681" s="350"/>
      <c r="AC681" s="350"/>
      <c r="AD681" s="350"/>
      <c r="AE681" s="350"/>
      <c r="AF681" s="350"/>
      <c r="AG681" s="350"/>
      <c r="AH681" s="350"/>
      <c r="AI681" s="350"/>
    </row>
    <row r="682" s="350" customFormat="1" ht="22.5" customHeight="1">
      <c r="A682" s="33">
        <v>3</v>
      </c>
      <c r="B682" s="50" t="s">
        <v>677</v>
      </c>
      <c r="C682" s="400">
        <f t="shared" si="274"/>
        <v>415877.23999999999</v>
      </c>
      <c r="D682" s="158">
        <f t="shared" si="275"/>
        <v>407163.92999999999</v>
      </c>
      <c r="E682" s="400">
        <v>0</v>
      </c>
      <c r="F682" s="92">
        <v>0</v>
      </c>
      <c r="G682" s="400">
        <v>0</v>
      </c>
      <c r="H682" s="158">
        <v>0</v>
      </c>
      <c r="I682" s="400">
        <v>407163.92999999999</v>
      </c>
      <c r="J682" s="345">
        <v>0</v>
      </c>
      <c r="K682" s="400">
        <v>0</v>
      </c>
      <c r="L682" s="158">
        <v>0</v>
      </c>
      <c r="M682" s="400">
        <v>0</v>
      </c>
      <c r="N682" s="158">
        <v>0</v>
      </c>
      <c r="O682" s="92">
        <v>0</v>
      </c>
      <c r="P682" s="400">
        <v>0</v>
      </c>
      <c r="Q682" s="158">
        <v>0</v>
      </c>
      <c r="R682" s="400">
        <v>8713.3099999999995</v>
      </c>
      <c r="S682" s="158">
        <v>0</v>
      </c>
      <c r="T682" s="79">
        <v>0</v>
      </c>
      <c r="U682" s="399"/>
      <c r="V682" s="399"/>
      <c r="W682" s="399"/>
      <c r="X682" s="399"/>
      <c r="Y682" s="399"/>
      <c r="Z682" s="399"/>
      <c r="AA682" s="399"/>
      <c r="AB682" s="399"/>
      <c r="AC682" s="399"/>
      <c r="AD682" s="399"/>
      <c r="AE682" s="399"/>
      <c r="AF682" s="399"/>
      <c r="AG682" s="399"/>
      <c r="AH682" s="399"/>
      <c r="AI682" s="399"/>
    </row>
    <row r="683" s="350" customFormat="1" ht="22.5" customHeight="1">
      <c r="A683" s="33">
        <v>4</v>
      </c>
      <c r="B683" s="50" t="s">
        <v>1278</v>
      </c>
      <c r="C683" s="79">
        <f t="shared" si="274"/>
        <v>7151101.0899999999</v>
      </c>
      <c r="D683" s="79">
        <f t="shared" si="275"/>
        <v>6658232.9100000001</v>
      </c>
      <c r="E683" s="79">
        <v>6658232.9100000001</v>
      </c>
      <c r="F683" s="79">
        <v>0</v>
      </c>
      <c r="G683" s="79">
        <v>0</v>
      </c>
      <c r="H683" s="79">
        <v>0</v>
      </c>
      <c r="I683" s="79">
        <v>0</v>
      </c>
      <c r="J683" s="398">
        <v>0</v>
      </c>
      <c r="K683" s="79">
        <v>0</v>
      </c>
      <c r="L683" s="79">
        <v>0</v>
      </c>
      <c r="M683" s="79">
        <v>0</v>
      </c>
      <c r="N683" s="79">
        <v>0</v>
      </c>
      <c r="O683" s="79">
        <v>0</v>
      </c>
      <c r="P683" s="79">
        <v>350382</v>
      </c>
      <c r="Q683" s="79">
        <v>0</v>
      </c>
      <c r="R683" s="79">
        <v>142486.17999999999</v>
      </c>
      <c r="S683" s="79">
        <v>0</v>
      </c>
      <c r="T683" s="79">
        <v>0</v>
      </c>
      <c r="U683" s="110"/>
      <c r="V683" s="110"/>
      <c r="W683" s="110"/>
      <c r="X683" s="110"/>
      <c r="Y683" s="110"/>
      <c r="Z683" s="110"/>
      <c r="AA683" s="110"/>
      <c r="AB683" s="110"/>
      <c r="AC683" s="110"/>
      <c r="AD683" s="110"/>
      <c r="AE683" s="110"/>
      <c r="AF683" s="350"/>
      <c r="AG683" s="350"/>
      <c r="AH683" s="350"/>
      <c r="AI683" s="350"/>
    </row>
    <row r="684" s="350" customFormat="1" ht="22.5" customHeight="1">
      <c r="A684" s="33">
        <v>5</v>
      </c>
      <c r="B684" s="50" t="s">
        <v>1279</v>
      </c>
      <c r="C684" s="79">
        <f t="shared" si="274"/>
        <v>4821503.9899999993</v>
      </c>
      <c r="D684" s="79">
        <f t="shared" si="275"/>
        <v>0</v>
      </c>
      <c r="E684" s="79">
        <v>0</v>
      </c>
      <c r="F684" s="79">
        <v>0</v>
      </c>
      <c r="G684" s="79">
        <v>0</v>
      </c>
      <c r="H684" s="79">
        <v>0</v>
      </c>
      <c r="I684" s="79">
        <v>0</v>
      </c>
      <c r="J684" s="398">
        <v>0</v>
      </c>
      <c r="K684" s="79">
        <v>0</v>
      </c>
      <c r="L684" s="79">
        <v>4720485.5999999996</v>
      </c>
      <c r="M684" s="79">
        <v>0</v>
      </c>
      <c r="N684" s="79">
        <v>0</v>
      </c>
      <c r="O684" s="79">
        <v>0</v>
      </c>
      <c r="P684" s="79">
        <v>0</v>
      </c>
      <c r="Q684" s="79">
        <v>0</v>
      </c>
      <c r="R684" s="79">
        <v>101018.39</v>
      </c>
      <c r="S684" s="79">
        <v>0</v>
      </c>
      <c r="T684" s="79">
        <v>0</v>
      </c>
      <c r="U684" s="110"/>
      <c r="V684" s="110"/>
      <c r="W684" s="110"/>
      <c r="X684" s="110"/>
      <c r="Y684" s="110"/>
      <c r="Z684" s="110"/>
      <c r="AA684" s="110"/>
      <c r="AB684" s="110"/>
      <c r="AC684" s="110"/>
      <c r="AD684" s="110"/>
      <c r="AE684" s="110"/>
      <c r="AF684" s="350"/>
      <c r="AG684" s="350"/>
      <c r="AH684" s="350"/>
      <c r="AI684" s="350"/>
    </row>
    <row r="685" s="350" customFormat="1" ht="22.5" customHeight="1">
      <c r="A685" s="33">
        <v>6</v>
      </c>
      <c r="B685" s="50" t="s">
        <v>1280</v>
      </c>
      <c r="C685" s="158">
        <f t="shared" si="274"/>
        <v>5092018.9699999997</v>
      </c>
      <c r="D685" s="79">
        <f t="shared" si="275"/>
        <v>4642291.9199999999</v>
      </c>
      <c r="E685" s="92">
        <v>4642291.9199999999</v>
      </c>
      <c r="F685" s="92">
        <v>0</v>
      </c>
      <c r="G685" s="158">
        <v>0</v>
      </c>
      <c r="H685" s="92">
        <v>0</v>
      </c>
      <c r="I685" s="92">
        <v>0</v>
      </c>
      <c r="J685" s="345">
        <v>0</v>
      </c>
      <c r="K685" s="79">
        <v>0</v>
      </c>
      <c r="L685" s="158">
        <v>0</v>
      </c>
      <c r="M685" s="79">
        <v>0</v>
      </c>
      <c r="N685" s="158">
        <v>0</v>
      </c>
      <c r="O685" s="79">
        <v>0</v>
      </c>
      <c r="P685" s="92">
        <v>350382</v>
      </c>
      <c r="Q685" s="158">
        <v>0</v>
      </c>
      <c r="R685" s="79">
        <v>99345.050000000003</v>
      </c>
      <c r="S685" s="158">
        <v>0</v>
      </c>
      <c r="T685" s="79">
        <v>0</v>
      </c>
      <c r="U685" s="54"/>
      <c r="V685" s="54"/>
      <c r="W685" s="54"/>
      <c r="X685" s="54"/>
      <c r="Y685" s="54"/>
      <c r="Z685" s="54"/>
      <c r="AA685" s="54"/>
      <c r="AB685" s="54"/>
      <c r="AC685" s="54"/>
      <c r="AD685" s="54"/>
      <c r="AE685" s="54"/>
      <c r="AF685" s="350"/>
      <c r="AG685" s="350"/>
      <c r="AH685" s="350"/>
      <c r="AI685" s="350"/>
    </row>
    <row r="686" s="350" customFormat="1" ht="22.5" customHeight="1">
      <c r="A686" s="33">
        <v>7</v>
      </c>
      <c r="B686" s="50" t="s">
        <v>1281</v>
      </c>
      <c r="C686" s="79">
        <f t="shared" si="274"/>
        <v>350382</v>
      </c>
      <c r="D686" s="79">
        <f t="shared" si="275"/>
        <v>0</v>
      </c>
      <c r="E686" s="79">
        <v>0</v>
      </c>
      <c r="F686" s="92">
        <v>0</v>
      </c>
      <c r="G686" s="79">
        <v>0</v>
      </c>
      <c r="H686" s="79">
        <v>0</v>
      </c>
      <c r="I686" s="79">
        <v>0</v>
      </c>
      <c r="J686" s="398">
        <v>0</v>
      </c>
      <c r="K686" s="79">
        <v>0</v>
      </c>
      <c r="L686" s="79">
        <v>0</v>
      </c>
      <c r="M686" s="79">
        <v>0</v>
      </c>
      <c r="N686" s="92">
        <v>0</v>
      </c>
      <c r="O686" s="92">
        <v>0</v>
      </c>
      <c r="P686" s="92">
        <v>350382</v>
      </c>
      <c r="Q686" s="79">
        <v>0</v>
      </c>
      <c r="R686" s="79">
        <v>0</v>
      </c>
      <c r="S686" s="79">
        <v>0</v>
      </c>
      <c r="T686" s="79">
        <v>0</v>
      </c>
      <c r="U686" s="350"/>
      <c r="V686" s="350"/>
      <c r="W686" s="350"/>
      <c r="X686" s="350"/>
      <c r="Y686" s="350"/>
      <c r="Z686" s="350"/>
      <c r="AA686" s="350"/>
      <c r="AB686" s="350"/>
      <c r="AC686" s="350"/>
      <c r="AD686" s="350"/>
      <c r="AE686" s="350"/>
      <c r="AF686" s="350"/>
      <c r="AG686" s="350"/>
      <c r="AH686" s="350"/>
      <c r="AI686" s="350"/>
    </row>
    <row r="687" s="350" customFormat="1" ht="22.5" customHeight="1">
      <c r="A687" s="33">
        <v>8</v>
      </c>
      <c r="B687" s="50" t="s">
        <v>374</v>
      </c>
      <c r="C687" s="79">
        <f t="shared" si="274"/>
        <v>1675745.73</v>
      </c>
      <c r="D687" s="79">
        <f t="shared" si="275"/>
        <v>1675745.73</v>
      </c>
      <c r="E687" s="92">
        <v>0</v>
      </c>
      <c r="F687" s="92">
        <v>1675745.73</v>
      </c>
      <c r="G687" s="92">
        <v>0</v>
      </c>
      <c r="H687" s="92">
        <v>0</v>
      </c>
      <c r="I687" s="92">
        <v>0</v>
      </c>
      <c r="J687" s="401">
        <v>0</v>
      </c>
      <c r="K687" s="92">
        <v>0</v>
      </c>
      <c r="L687" s="92">
        <v>0</v>
      </c>
      <c r="M687" s="92">
        <v>0</v>
      </c>
      <c r="N687" s="92">
        <v>0</v>
      </c>
      <c r="O687" s="92">
        <v>0</v>
      </c>
      <c r="P687" s="92">
        <v>0</v>
      </c>
      <c r="Q687" s="92">
        <v>0</v>
      </c>
      <c r="R687" s="92">
        <v>0</v>
      </c>
      <c r="S687" s="92">
        <v>0</v>
      </c>
      <c r="T687" s="92">
        <v>0</v>
      </c>
      <c r="U687" s="350"/>
      <c r="V687" s="350"/>
      <c r="W687" s="350"/>
      <c r="X687" s="350"/>
      <c r="Y687" s="350"/>
      <c r="Z687" s="350"/>
      <c r="AA687" s="350"/>
      <c r="AB687" s="350"/>
      <c r="AC687" s="350"/>
      <c r="AD687" s="350"/>
      <c r="AE687" s="350"/>
      <c r="AF687" s="350"/>
      <c r="AG687" s="350"/>
      <c r="AH687" s="350"/>
      <c r="AI687" s="350"/>
    </row>
    <row r="688" s="350" customFormat="1" ht="22.5" customHeight="1">
      <c r="A688" s="33">
        <v>9</v>
      </c>
      <c r="B688" s="50" t="s">
        <v>376</v>
      </c>
      <c r="C688" s="158">
        <f t="shared" si="274"/>
        <v>7924185.0700000003</v>
      </c>
      <c r="D688" s="79">
        <f t="shared" si="275"/>
        <v>0</v>
      </c>
      <c r="E688" s="158">
        <v>0</v>
      </c>
      <c r="F688" s="92">
        <v>0</v>
      </c>
      <c r="G688" s="158">
        <v>0</v>
      </c>
      <c r="H688" s="79">
        <v>0</v>
      </c>
      <c r="I688" s="158">
        <v>0</v>
      </c>
      <c r="J688" s="398">
        <v>0</v>
      </c>
      <c r="K688" s="158">
        <v>0</v>
      </c>
      <c r="L688" s="92">
        <v>7758160.4400000004</v>
      </c>
      <c r="M688" s="158">
        <v>0</v>
      </c>
      <c r="N688" s="92">
        <v>0</v>
      </c>
      <c r="O688" s="92">
        <v>0</v>
      </c>
      <c r="P688" s="92">
        <v>0</v>
      </c>
      <c r="Q688" s="158">
        <v>0</v>
      </c>
      <c r="R688" s="79">
        <v>166024.63</v>
      </c>
      <c r="S688" s="158">
        <v>0</v>
      </c>
      <c r="T688" s="79">
        <v>0</v>
      </c>
      <c r="U688" s="350"/>
      <c r="V688" s="350"/>
      <c r="W688" s="350"/>
      <c r="X688" s="350"/>
      <c r="Y688" s="350"/>
      <c r="Z688" s="350"/>
      <c r="AA688" s="350"/>
      <c r="AB688" s="350"/>
      <c r="AC688" s="350"/>
      <c r="AD688" s="350"/>
      <c r="AE688" s="350"/>
      <c r="AF688" s="350"/>
      <c r="AG688" s="350"/>
      <c r="AH688" s="350"/>
      <c r="AI688" s="350"/>
      <c r="AJ688" s="350"/>
      <c r="AK688" s="350"/>
      <c r="AL688" s="350"/>
      <c r="AM688" s="350"/>
      <c r="AN688" s="350"/>
      <c r="AO688" s="350"/>
    </row>
    <row r="689" s="350" customFormat="1" ht="22.199999999999999" customHeight="1">
      <c r="A689" s="33">
        <v>10</v>
      </c>
      <c r="B689" s="50" t="s">
        <v>379</v>
      </c>
      <c r="C689" s="79">
        <f t="shared" si="274"/>
        <v>4992822.5</v>
      </c>
      <c r="D689" s="79">
        <f t="shared" si="275"/>
        <v>0</v>
      </c>
      <c r="E689" s="79">
        <v>0</v>
      </c>
      <c r="F689" s="92">
        <v>0</v>
      </c>
      <c r="G689" s="79">
        <v>0</v>
      </c>
      <c r="H689" s="79">
        <v>0</v>
      </c>
      <c r="I689" s="79">
        <v>0</v>
      </c>
      <c r="J689" s="398">
        <v>0</v>
      </c>
      <c r="K689" s="79">
        <v>0</v>
      </c>
      <c r="L689" s="92">
        <v>4870632.29</v>
      </c>
      <c r="M689" s="79">
        <v>0</v>
      </c>
      <c r="N689" s="92">
        <v>0</v>
      </c>
      <c r="O689" s="92">
        <v>0</v>
      </c>
      <c r="P689" s="92">
        <v>0</v>
      </c>
      <c r="Q689" s="79">
        <v>0</v>
      </c>
      <c r="R689" s="79">
        <v>122190.21000000001</v>
      </c>
      <c r="S689" s="79">
        <v>0</v>
      </c>
      <c r="T689" s="79">
        <v>0</v>
      </c>
      <c r="U689" s="350"/>
      <c r="V689" s="350"/>
      <c r="W689" s="350"/>
      <c r="X689" s="350"/>
      <c r="Y689" s="350"/>
      <c r="Z689" s="350"/>
      <c r="AA689" s="350"/>
      <c r="AB689" s="350"/>
      <c r="AC689" s="350"/>
      <c r="AD689" s="350"/>
      <c r="AE689" s="350"/>
      <c r="AF689" s="350"/>
      <c r="AG689" s="350"/>
      <c r="AH689" s="350"/>
      <c r="AI689" s="350"/>
      <c r="AJ689" s="350"/>
      <c r="AK689" s="350"/>
      <c r="AL689" s="350"/>
      <c r="AM689" s="350"/>
      <c r="AN689" s="350"/>
      <c r="AO689" s="350"/>
    </row>
    <row r="690" s="350" customFormat="1" ht="22.199999999999999" customHeight="1">
      <c r="A690" s="33">
        <v>11</v>
      </c>
      <c r="B690" s="50" t="s">
        <v>1282</v>
      </c>
      <c r="C690" s="158">
        <f t="shared" si="274"/>
        <v>350382</v>
      </c>
      <c r="D690" s="79">
        <f t="shared" si="275"/>
        <v>0</v>
      </c>
      <c r="E690" s="92">
        <v>0</v>
      </c>
      <c r="F690" s="92">
        <v>0</v>
      </c>
      <c r="G690" s="158">
        <v>0</v>
      </c>
      <c r="H690" s="79">
        <v>0</v>
      </c>
      <c r="I690" s="92">
        <v>0</v>
      </c>
      <c r="J690" s="345">
        <v>0</v>
      </c>
      <c r="K690" s="79">
        <v>0</v>
      </c>
      <c r="L690" s="158">
        <v>0</v>
      </c>
      <c r="M690" s="79">
        <v>0</v>
      </c>
      <c r="N690" s="158">
        <v>0</v>
      </c>
      <c r="O690" s="79">
        <v>0</v>
      </c>
      <c r="P690" s="92">
        <v>350382</v>
      </c>
      <c r="Q690" s="158">
        <v>0</v>
      </c>
      <c r="R690" s="79">
        <v>0</v>
      </c>
      <c r="S690" s="158">
        <v>0</v>
      </c>
      <c r="T690" s="79">
        <v>0</v>
      </c>
      <c r="U690" s="350"/>
      <c r="V690" s="350"/>
      <c r="W690" s="350"/>
      <c r="X690" s="350"/>
      <c r="Y690" s="350"/>
      <c r="Z690" s="350"/>
      <c r="AA690" s="350"/>
      <c r="AB690" s="350"/>
      <c r="AC690" s="350"/>
      <c r="AD690" s="350"/>
      <c r="AE690" s="350"/>
      <c r="AF690" s="350"/>
      <c r="AG690" s="350"/>
      <c r="AH690" s="350"/>
      <c r="AI690" s="350"/>
    </row>
    <row r="691" s="350" customFormat="1" ht="34.5" customHeight="1">
      <c r="A691" s="33">
        <v>12</v>
      </c>
      <c r="B691" s="50" t="s">
        <v>1283</v>
      </c>
      <c r="C691" s="79">
        <f t="shared" si="274"/>
        <v>21094126.82</v>
      </c>
      <c r="D691" s="158">
        <f t="shared" si="275"/>
        <v>4309772.9000000004</v>
      </c>
      <c r="E691" s="92">
        <v>4309772.9000000004</v>
      </c>
      <c r="F691" s="92">
        <v>0</v>
      </c>
      <c r="G691" s="79">
        <v>0</v>
      </c>
      <c r="H691" s="158">
        <v>0</v>
      </c>
      <c r="I691" s="92">
        <v>0</v>
      </c>
      <c r="J691" s="398">
        <v>0</v>
      </c>
      <c r="K691" s="79">
        <v>0</v>
      </c>
      <c r="L691" s="79">
        <v>14627193.9</v>
      </c>
      <c r="M691" s="79">
        <v>0</v>
      </c>
      <c r="N691" s="79">
        <v>0</v>
      </c>
      <c r="O691" s="158">
        <v>0</v>
      </c>
      <c r="P691" s="92">
        <f t="shared" ref="P691:P692" si="276">350382*5</f>
        <v>1751910</v>
      </c>
      <c r="Q691" s="79">
        <v>0</v>
      </c>
      <c r="R691" s="79">
        <f>313021.95+92228.07</f>
        <v>405250.02000000002</v>
      </c>
      <c r="S691" s="79">
        <v>0</v>
      </c>
      <c r="T691" s="79">
        <v>0</v>
      </c>
      <c r="U691" s="399"/>
      <c r="V691" s="399"/>
      <c r="W691" s="399"/>
      <c r="X691" s="399"/>
      <c r="Y691" s="399"/>
      <c r="Z691" s="399"/>
      <c r="AA691" s="399"/>
      <c r="AB691" s="399"/>
      <c r="AC691" s="399"/>
      <c r="AD691" s="399"/>
      <c r="AE691" s="399"/>
      <c r="AF691" s="399"/>
      <c r="AG691" s="399"/>
      <c r="AH691" s="399"/>
      <c r="AI691" s="399"/>
    </row>
    <row r="692" s="350" customFormat="1" ht="34.5" customHeight="1">
      <c r="A692" s="33">
        <v>13</v>
      </c>
      <c r="B692" s="50" t="s">
        <v>1284</v>
      </c>
      <c r="C692" s="79">
        <f t="shared" si="274"/>
        <v>20900056.580000002</v>
      </c>
      <c r="D692" s="79">
        <f t="shared" si="275"/>
        <v>4266492.2999999998</v>
      </c>
      <c r="E692" s="92">
        <v>4266492.2999999998</v>
      </c>
      <c r="F692" s="92">
        <v>0</v>
      </c>
      <c r="G692" s="79">
        <v>0</v>
      </c>
      <c r="H692" s="79">
        <v>0</v>
      </c>
      <c r="I692" s="92">
        <v>0</v>
      </c>
      <c r="J692" s="345">
        <v>0</v>
      </c>
      <c r="K692" s="79">
        <v>0</v>
      </c>
      <c r="L692" s="158">
        <v>14480469.300000001</v>
      </c>
      <c r="M692" s="79">
        <v>0</v>
      </c>
      <c r="N692" s="79">
        <v>0</v>
      </c>
      <c r="O692" s="79">
        <v>0</v>
      </c>
      <c r="P692" s="92">
        <f t="shared" si="276"/>
        <v>1751910</v>
      </c>
      <c r="Q692" s="158">
        <v>0</v>
      </c>
      <c r="R692" s="79">
        <f>309882.04+91302.94</f>
        <v>401184.97999999998</v>
      </c>
      <c r="S692" s="158">
        <v>0</v>
      </c>
      <c r="T692" s="79">
        <v>0</v>
      </c>
      <c r="U692" s="399"/>
      <c r="V692" s="399"/>
      <c r="W692" s="399"/>
      <c r="X692" s="399"/>
      <c r="Y692" s="399"/>
      <c r="Z692" s="399"/>
      <c r="AA692" s="399"/>
      <c r="AB692" s="399"/>
      <c r="AC692" s="399"/>
      <c r="AD692" s="399"/>
      <c r="AE692" s="399"/>
      <c r="AF692" s="399"/>
      <c r="AG692" s="399"/>
      <c r="AH692" s="399"/>
      <c r="AI692" s="399"/>
    </row>
    <row r="693" s="350" customFormat="1" ht="29.25" customHeight="1">
      <c r="A693" s="33">
        <v>14</v>
      </c>
      <c r="B693" s="50" t="s">
        <v>1285</v>
      </c>
      <c r="C693" s="158">
        <f t="shared" si="274"/>
        <v>22958633.82</v>
      </c>
      <c r="D693" s="79">
        <f t="shared" si="275"/>
        <v>0</v>
      </c>
      <c r="E693" s="92">
        <v>0</v>
      </c>
      <c r="F693" s="92">
        <v>0</v>
      </c>
      <c r="G693" s="158">
        <v>0</v>
      </c>
      <c r="H693" s="79">
        <v>0</v>
      </c>
      <c r="I693" s="92">
        <v>0</v>
      </c>
      <c r="J693" s="398">
        <v>0</v>
      </c>
      <c r="K693" s="79">
        <v>0</v>
      </c>
      <c r="L693" s="79">
        <v>21105449.199999999</v>
      </c>
      <c r="M693" s="158">
        <v>0</v>
      </c>
      <c r="N693" s="79">
        <v>0</v>
      </c>
      <c r="O693" s="158">
        <v>0</v>
      </c>
      <c r="P693" s="92">
        <f t="shared" ref="P693:P695" si="277">350382*4</f>
        <v>1401528</v>
      </c>
      <c r="Q693" s="79">
        <v>0</v>
      </c>
      <c r="R693" s="79">
        <f>451656.62</f>
        <v>451656.62</v>
      </c>
      <c r="S693" s="79">
        <v>0</v>
      </c>
      <c r="T693" s="79">
        <v>0</v>
      </c>
      <c r="U693" s="399"/>
      <c r="V693" s="399"/>
      <c r="W693" s="399"/>
      <c r="X693" s="399"/>
      <c r="Y693" s="399"/>
      <c r="Z693" s="399"/>
      <c r="AA693" s="399"/>
      <c r="AB693" s="399"/>
      <c r="AC693" s="399"/>
      <c r="AD693" s="399"/>
      <c r="AE693" s="399"/>
      <c r="AF693" s="399"/>
      <c r="AG693" s="399"/>
      <c r="AH693" s="399"/>
      <c r="AI693" s="399"/>
    </row>
    <row r="694" s="350" customFormat="1" ht="29.25" customHeight="1">
      <c r="A694" s="33">
        <v>15</v>
      </c>
      <c r="B694" s="50" t="s">
        <v>1286</v>
      </c>
      <c r="C694" s="79">
        <f t="shared" si="274"/>
        <v>16653695.85</v>
      </c>
      <c r="D694" s="79">
        <f t="shared" si="275"/>
        <v>0</v>
      </c>
      <c r="E694" s="92">
        <v>0</v>
      </c>
      <c r="F694" s="92">
        <v>0</v>
      </c>
      <c r="G694" s="79">
        <v>0</v>
      </c>
      <c r="H694" s="79">
        <v>0</v>
      </c>
      <c r="I694" s="92">
        <v>0</v>
      </c>
      <c r="J694" s="345">
        <v>0</v>
      </c>
      <c r="K694" s="79">
        <v>0</v>
      </c>
      <c r="L694" s="79">
        <v>14932610</v>
      </c>
      <c r="M694" s="79">
        <v>0</v>
      </c>
      <c r="N694" s="79">
        <v>0</v>
      </c>
      <c r="O694" s="79">
        <v>0</v>
      </c>
      <c r="P694" s="92">
        <f t="shared" si="277"/>
        <v>1401528</v>
      </c>
      <c r="Q694" s="158">
        <v>0</v>
      </c>
      <c r="R694" s="79">
        <f>319557.85</f>
        <v>319557.84999999998</v>
      </c>
      <c r="S694" s="158">
        <v>0</v>
      </c>
      <c r="T694" s="79">
        <v>0</v>
      </c>
      <c r="U694" s="399"/>
      <c r="V694" s="399"/>
      <c r="W694" s="399"/>
      <c r="X694" s="399"/>
      <c r="Y694" s="399"/>
      <c r="Z694" s="399"/>
      <c r="AA694" s="399"/>
      <c r="AB694" s="399"/>
      <c r="AC694" s="399"/>
      <c r="AD694" s="399"/>
      <c r="AE694" s="399"/>
      <c r="AF694" s="399"/>
      <c r="AG694" s="399"/>
      <c r="AH694" s="399"/>
      <c r="AI694" s="399"/>
    </row>
    <row r="695" ht="27" customHeight="1">
      <c r="A695" s="33">
        <v>16</v>
      </c>
      <c r="B695" s="50" t="s">
        <v>1287</v>
      </c>
      <c r="C695" s="79">
        <f t="shared" si="274"/>
        <v>19317776.599999998</v>
      </c>
      <c r="D695" s="79">
        <f t="shared" si="275"/>
        <v>0</v>
      </c>
      <c r="E695" s="92">
        <v>0</v>
      </c>
      <c r="F695" s="92">
        <v>0</v>
      </c>
      <c r="G695" s="79">
        <v>0</v>
      </c>
      <c r="H695" s="79">
        <v>0</v>
      </c>
      <c r="I695" s="92">
        <v>0</v>
      </c>
      <c r="J695" s="398">
        <v>0</v>
      </c>
      <c r="K695" s="79">
        <v>0</v>
      </c>
      <c r="L695" s="79">
        <v>17540873.899999999</v>
      </c>
      <c r="M695" s="79">
        <v>0</v>
      </c>
      <c r="N695" s="79">
        <v>0</v>
      </c>
      <c r="O695" s="79">
        <v>0</v>
      </c>
      <c r="P695" s="92">
        <f t="shared" si="277"/>
        <v>1401528</v>
      </c>
      <c r="Q695" s="79">
        <v>0</v>
      </c>
      <c r="R695" s="79">
        <f>375374.7</f>
        <v>375374.70000000001</v>
      </c>
      <c r="S695" s="79">
        <v>0</v>
      </c>
      <c r="T695" s="79">
        <v>0</v>
      </c>
      <c r="U695" s="399"/>
      <c r="V695" s="399"/>
      <c r="W695" s="399"/>
      <c r="X695" s="399"/>
      <c r="Y695" s="399"/>
      <c r="Z695" s="399"/>
      <c r="AA695" s="399"/>
      <c r="AB695" s="399"/>
      <c r="AC695" s="399"/>
      <c r="AD695" s="399"/>
      <c r="AE695" s="399"/>
      <c r="AF695" s="399"/>
      <c r="AG695" s="399"/>
      <c r="AH695" s="399"/>
      <c r="AI695" s="399"/>
    </row>
    <row r="696" s="350" customFormat="1" ht="22.5" customHeight="1">
      <c r="A696" s="208" t="s">
        <v>381</v>
      </c>
      <c r="B696" s="209"/>
      <c r="C696" s="154">
        <f>SUM(C697:C699)</f>
        <v>14479098.100000001</v>
      </c>
      <c r="D696" s="154">
        <f>SUM(D697:D699)</f>
        <v>2235923.2000000002</v>
      </c>
      <c r="E696" s="154">
        <f>SUM(E697:E699)</f>
        <v>0</v>
      </c>
      <c r="F696" s="154">
        <f>SUM(F697:F699)</f>
        <v>2235923.2000000002</v>
      </c>
      <c r="G696" s="154">
        <f>SUM(G697:G699)</f>
        <v>0</v>
      </c>
      <c r="H696" s="154">
        <f>SUM(H697:H699)</f>
        <v>0</v>
      </c>
      <c r="I696" s="154">
        <f>SUM(I697:I699)</f>
        <v>0</v>
      </c>
      <c r="J696" s="155">
        <f>SUM(J697:J699)</f>
        <v>2</v>
      </c>
      <c r="K696" s="154">
        <f>SUM(K697:K699)</f>
        <v>10525614</v>
      </c>
      <c r="L696" s="154">
        <f>SUM(L697:L699)</f>
        <v>0</v>
      </c>
      <c r="M696" s="154">
        <f>SUM(M697:M699)</f>
        <v>0</v>
      </c>
      <c r="N696" s="154">
        <f>SUM(N697:N699)</f>
        <v>0</v>
      </c>
      <c r="O696" s="154">
        <f>SUM(O697:O699)</f>
        <v>0</v>
      </c>
      <c r="P696" s="154">
        <f>SUM(P697:P699)</f>
        <v>1444464</v>
      </c>
      <c r="Q696" s="154">
        <f>SUM(Q697:Q699)</f>
        <v>0</v>
      </c>
      <c r="R696" s="154">
        <f>SUM(R697:R699)</f>
        <v>273096.90000000002</v>
      </c>
      <c r="S696" s="154">
        <f>SUM(S697:S699)</f>
        <v>0</v>
      </c>
      <c r="T696" s="154">
        <f>SUM(T697:T699)</f>
        <v>0</v>
      </c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350"/>
      <c r="AG696" s="350"/>
      <c r="AH696" s="350"/>
      <c r="AI696" s="350"/>
    </row>
    <row r="697" s="350" customFormat="1" ht="22.5" customHeight="1">
      <c r="A697" s="33">
        <v>1</v>
      </c>
      <c r="B697" s="50" t="s">
        <v>1288</v>
      </c>
      <c r="C697" s="79">
        <f t="shared" ref="C697:C699" si="278">D697+K697+L697+M697+N697+O697+P697+Q697+R697+S697+T697</f>
        <v>5964866.0700000003</v>
      </c>
      <c r="D697" s="79">
        <f t="shared" ref="D697:D699" si="279">SUM(E697:I697)</f>
        <v>0</v>
      </c>
      <c r="E697" s="79">
        <v>0</v>
      </c>
      <c r="F697" s="56">
        <v>0</v>
      </c>
      <c r="G697" s="56">
        <v>0</v>
      </c>
      <c r="H697" s="56">
        <v>0</v>
      </c>
      <c r="I697" s="56">
        <v>0</v>
      </c>
      <c r="J697" s="57">
        <v>1</v>
      </c>
      <c r="K697" s="56">
        <v>5262807</v>
      </c>
      <c r="L697" s="56">
        <v>0</v>
      </c>
      <c r="M697" s="56">
        <v>0</v>
      </c>
      <c r="N697" s="56">
        <v>0</v>
      </c>
      <c r="O697" s="56">
        <v>0</v>
      </c>
      <c r="P697" s="56">
        <v>589435</v>
      </c>
      <c r="Q697" s="56">
        <v>0</v>
      </c>
      <c r="R697" s="56">
        <v>112624.07000000001</v>
      </c>
      <c r="S697" s="56">
        <v>0</v>
      </c>
      <c r="T697" s="56">
        <v>0</v>
      </c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350"/>
      <c r="AG697" s="350"/>
      <c r="AH697" s="350"/>
      <c r="AI697" s="350"/>
    </row>
    <row r="698" s="350" customFormat="1" ht="22.5" customHeight="1">
      <c r="A698" s="33">
        <v>2</v>
      </c>
      <c r="B698" s="50" t="s">
        <v>1289</v>
      </c>
      <c r="C698" s="79">
        <f t="shared" si="278"/>
        <v>5964866.0700000003</v>
      </c>
      <c r="D698" s="79">
        <f t="shared" si="279"/>
        <v>0</v>
      </c>
      <c r="E698" s="79">
        <v>0</v>
      </c>
      <c r="F698" s="56">
        <v>0</v>
      </c>
      <c r="G698" s="56">
        <v>0</v>
      </c>
      <c r="H698" s="56">
        <v>0</v>
      </c>
      <c r="I698" s="56">
        <v>0</v>
      </c>
      <c r="J698" s="57">
        <v>1</v>
      </c>
      <c r="K698" s="56">
        <v>5262807</v>
      </c>
      <c r="L698" s="56">
        <v>0</v>
      </c>
      <c r="M698" s="56">
        <v>0</v>
      </c>
      <c r="N698" s="56">
        <v>0</v>
      </c>
      <c r="O698" s="56">
        <v>0</v>
      </c>
      <c r="P698" s="56">
        <v>589435</v>
      </c>
      <c r="Q698" s="56">
        <v>0</v>
      </c>
      <c r="R698" s="56">
        <v>112624.07000000001</v>
      </c>
      <c r="S698" s="56">
        <v>0</v>
      </c>
      <c r="T698" s="56">
        <v>0</v>
      </c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350"/>
      <c r="AG698" s="350"/>
      <c r="AH698" s="350"/>
      <c r="AI698" s="350"/>
    </row>
    <row r="699" s="350" customFormat="1" ht="22.5" customHeight="1">
      <c r="A699" s="33">
        <v>3</v>
      </c>
      <c r="B699" s="50" t="s">
        <v>1290</v>
      </c>
      <c r="C699" s="158">
        <f t="shared" si="278"/>
        <v>2549365.96</v>
      </c>
      <c r="D699" s="79">
        <f t="shared" si="279"/>
        <v>2235923.2000000002</v>
      </c>
      <c r="E699" s="158">
        <v>0</v>
      </c>
      <c r="F699" s="56">
        <v>2235923.2000000002</v>
      </c>
      <c r="G699" s="58">
        <v>0</v>
      </c>
      <c r="H699" s="56">
        <v>0</v>
      </c>
      <c r="I699" s="58">
        <v>0</v>
      </c>
      <c r="J699" s="57">
        <v>0</v>
      </c>
      <c r="K699" s="58">
        <v>0</v>
      </c>
      <c r="L699" s="56">
        <v>0</v>
      </c>
      <c r="M699" s="58">
        <v>0</v>
      </c>
      <c r="N699" s="56">
        <v>0</v>
      </c>
      <c r="O699" s="58">
        <v>0</v>
      </c>
      <c r="P699" s="56">
        <v>265594</v>
      </c>
      <c r="Q699" s="58">
        <v>0</v>
      </c>
      <c r="R699" s="56">
        <v>47848.760000000002</v>
      </c>
      <c r="S699" s="58">
        <v>0</v>
      </c>
      <c r="T699" s="56">
        <v>0</v>
      </c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350"/>
      <c r="AG699" s="350"/>
      <c r="AH699" s="350"/>
      <c r="AI699" s="350"/>
    </row>
    <row r="700" s="350" customFormat="1" ht="22.5" customHeight="1">
      <c r="A700" s="150" t="s">
        <v>399</v>
      </c>
      <c r="B700" s="151"/>
      <c r="C700" s="154">
        <f>C701</f>
        <v>265594</v>
      </c>
      <c r="D700" s="154">
        <f>D701</f>
        <v>0</v>
      </c>
      <c r="E700" s="154">
        <f>E701</f>
        <v>0</v>
      </c>
      <c r="F700" s="154">
        <f>F701</f>
        <v>0</v>
      </c>
      <c r="G700" s="154">
        <f>G701</f>
        <v>0</v>
      </c>
      <c r="H700" s="154">
        <f>H701</f>
        <v>0</v>
      </c>
      <c r="I700" s="154">
        <f>I701</f>
        <v>0</v>
      </c>
      <c r="J700" s="155">
        <f>J701</f>
        <v>0</v>
      </c>
      <c r="K700" s="154">
        <f>K701</f>
        <v>0</v>
      </c>
      <c r="L700" s="154">
        <f>L701</f>
        <v>0</v>
      </c>
      <c r="M700" s="154">
        <f>M701</f>
        <v>0</v>
      </c>
      <c r="N700" s="154">
        <f>N701</f>
        <v>0</v>
      </c>
      <c r="O700" s="154">
        <f>O701</f>
        <v>0</v>
      </c>
      <c r="P700" s="154">
        <f>P701</f>
        <v>265594</v>
      </c>
      <c r="Q700" s="154">
        <f>Q701</f>
        <v>0</v>
      </c>
      <c r="R700" s="154">
        <f>R701</f>
        <v>0</v>
      </c>
      <c r="S700" s="154">
        <f>S701</f>
        <v>0</v>
      </c>
      <c r="T700" s="154">
        <f>T701</f>
        <v>0</v>
      </c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350"/>
      <c r="AG700" s="350"/>
      <c r="AH700" s="350"/>
      <c r="AI700" s="350"/>
    </row>
    <row r="701" s="350" customFormat="1" ht="22.5" customHeight="1">
      <c r="A701" s="33">
        <v>1</v>
      </c>
      <c r="B701" s="50" t="s">
        <v>1291</v>
      </c>
      <c r="C701" s="158">
        <f>D701+K701+L701+M701+N701+O701+P701+Q701+R701+S701+T701</f>
        <v>265594</v>
      </c>
      <c r="D701" s="79">
        <f>SUM(E701:I701)</f>
        <v>0</v>
      </c>
      <c r="E701" s="158">
        <v>0</v>
      </c>
      <c r="F701" s="92">
        <v>0</v>
      </c>
      <c r="G701" s="158">
        <v>0</v>
      </c>
      <c r="H701" s="92">
        <v>0</v>
      </c>
      <c r="I701" s="158">
        <v>0</v>
      </c>
      <c r="J701" s="398">
        <v>0</v>
      </c>
      <c r="K701" s="158">
        <v>0</v>
      </c>
      <c r="L701" s="92">
        <v>0</v>
      </c>
      <c r="M701" s="158">
        <v>0</v>
      </c>
      <c r="N701" s="92">
        <v>0</v>
      </c>
      <c r="O701" s="158">
        <v>0</v>
      </c>
      <c r="P701" s="92">
        <v>265594</v>
      </c>
      <c r="Q701" s="158">
        <v>0</v>
      </c>
      <c r="R701" s="79">
        <v>0</v>
      </c>
      <c r="S701" s="158">
        <v>0</v>
      </c>
      <c r="T701" s="79">
        <v>0</v>
      </c>
      <c r="U701" s="59"/>
      <c r="V701" s="59"/>
      <c r="W701" s="59"/>
      <c r="X701" s="59"/>
      <c r="Y701" s="59"/>
      <c r="Z701" s="59"/>
      <c r="AA701" s="59"/>
      <c r="AB701" s="59"/>
      <c r="AC701" s="59"/>
      <c r="AD701" s="59"/>
      <c r="AE701" s="59"/>
      <c r="AF701" s="350"/>
      <c r="AG701" s="350"/>
      <c r="AH701" s="350"/>
      <c r="AI701" s="350"/>
    </row>
    <row r="702" s="350" customFormat="1" ht="22.5" customHeight="1">
      <c r="A702" s="150" t="s">
        <v>405</v>
      </c>
      <c r="B702" s="151"/>
      <c r="C702" s="154">
        <f>SUM(C703:C704)</f>
        <v>15146125.710000001</v>
      </c>
      <c r="D702" s="154">
        <f>SUM(D703:D704)</f>
        <v>7096083.1400000006</v>
      </c>
      <c r="E702" s="154">
        <f>SUM(E703:E704)</f>
        <v>0</v>
      </c>
      <c r="F702" s="154">
        <f>SUM(F703:F704)</f>
        <v>5243596.8600000003</v>
      </c>
      <c r="G702" s="154">
        <f>SUM(G703:G704)</f>
        <v>0</v>
      </c>
      <c r="H702" s="154">
        <f>SUM(H703:H704)</f>
        <v>647802.56999999995</v>
      </c>
      <c r="I702" s="154">
        <f>SUM(I703:I704)</f>
        <v>1204683.71</v>
      </c>
      <c r="J702" s="155">
        <f>SUM(J703:J704)</f>
        <v>0</v>
      </c>
      <c r="K702" s="154">
        <f>SUM(K703:K704)</f>
        <v>0</v>
      </c>
      <c r="L702" s="154">
        <f>SUM(L703:L704)</f>
        <v>0</v>
      </c>
      <c r="M702" s="154">
        <f>SUM(M703:M704)</f>
        <v>0</v>
      </c>
      <c r="N702" s="154">
        <f>SUM(N703:N704)</f>
        <v>0</v>
      </c>
      <c r="O702" s="154">
        <f>SUM(O703:O704)</f>
        <v>0</v>
      </c>
      <c r="P702" s="154">
        <f>SUM(P703:P704)</f>
        <v>0</v>
      </c>
      <c r="Q702" s="154">
        <f>SUM(Q703:Q704)</f>
        <v>0</v>
      </c>
      <c r="R702" s="154">
        <f>SUM(R703:R704)</f>
        <v>0</v>
      </c>
      <c r="S702" s="154">
        <f>SUM(S703:S704)</f>
        <v>8050042.5700000003</v>
      </c>
      <c r="T702" s="154">
        <f>SUM(T703:T704)</f>
        <v>0</v>
      </c>
      <c r="U702" s="350"/>
      <c r="V702" s="350"/>
      <c r="W702" s="350"/>
      <c r="X702" s="350"/>
      <c r="Y702" s="350"/>
      <c r="Z702" s="350"/>
      <c r="AA702" s="350"/>
      <c r="AB702" s="350"/>
      <c r="AC702" s="350"/>
      <c r="AD702" s="350"/>
      <c r="AE702" s="350"/>
      <c r="AF702" s="350"/>
      <c r="AG702" s="350"/>
      <c r="AH702" s="350"/>
      <c r="AI702" s="350"/>
    </row>
    <row r="703" s="350" customFormat="1" ht="22.5" customHeight="1">
      <c r="A703" s="33">
        <v>1</v>
      </c>
      <c r="B703" s="50" t="s">
        <v>406</v>
      </c>
      <c r="C703" s="158">
        <f t="shared" ref="C703:C704" si="280">D703+K703+L703+M703+N703+O703+P703+Q703+R703+S703+T703</f>
        <v>8050042.5700000003</v>
      </c>
      <c r="D703" s="79">
        <f t="shared" ref="D703:D704" si="281">SUM(E703:I703)</f>
        <v>0</v>
      </c>
      <c r="E703" s="158">
        <v>0</v>
      </c>
      <c r="F703" s="79">
        <v>0</v>
      </c>
      <c r="G703" s="158">
        <v>0</v>
      </c>
      <c r="H703" s="79">
        <v>0</v>
      </c>
      <c r="I703" s="158">
        <v>0</v>
      </c>
      <c r="J703" s="398">
        <v>0</v>
      </c>
      <c r="K703" s="158">
        <v>0</v>
      </c>
      <c r="L703" s="79">
        <v>0</v>
      </c>
      <c r="M703" s="158">
        <v>0</v>
      </c>
      <c r="N703" s="79">
        <v>0</v>
      </c>
      <c r="O703" s="158">
        <v>0</v>
      </c>
      <c r="P703" s="92">
        <v>0</v>
      </c>
      <c r="Q703" s="158">
        <v>0</v>
      </c>
      <c r="R703" s="79">
        <v>0</v>
      </c>
      <c r="S703" s="92">
        <v>8050042.5700000003</v>
      </c>
      <c r="T703" s="79">
        <v>0</v>
      </c>
      <c r="U703" s="54"/>
      <c r="V703" s="54"/>
      <c r="W703" s="54"/>
      <c r="X703" s="54"/>
      <c r="Y703" s="54"/>
      <c r="Z703" s="54"/>
      <c r="AA703" s="54"/>
      <c r="AB703" s="54"/>
      <c r="AC703" s="54"/>
      <c r="AD703" s="54"/>
      <c r="AE703" s="54"/>
      <c r="AF703" s="350"/>
      <c r="AG703" s="350"/>
      <c r="AH703" s="350"/>
      <c r="AI703" s="350"/>
    </row>
    <row r="704" s="350" customFormat="1" ht="22.5" customHeight="1">
      <c r="A704" s="33">
        <v>2</v>
      </c>
      <c r="B704" s="50" t="s">
        <v>409</v>
      </c>
      <c r="C704" s="79">
        <f t="shared" si="280"/>
        <v>7096083.1400000006</v>
      </c>
      <c r="D704" s="79">
        <f t="shared" si="281"/>
        <v>7096083.1400000006</v>
      </c>
      <c r="E704" s="79">
        <v>0</v>
      </c>
      <c r="F704" s="92">
        <v>5243596.8600000003</v>
      </c>
      <c r="G704" s="92">
        <v>0</v>
      </c>
      <c r="H704" s="92">
        <v>647802.56999999995</v>
      </c>
      <c r="I704" s="92">
        <v>1204683.71</v>
      </c>
      <c r="J704" s="401">
        <v>0</v>
      </c>
      <c r="K704" s="92">
        <v>0</v>
      </c>
      <c r="L704" s="92">
        <v>0</v>
      </c>
      <c r="M704" s="92">
        <v>0</v>
      </c>
      <c r="N704" s="92">
        <v>0</v>
      </c>
      <c r="O704" s="92">
        <v>0</v>
      </c>
      <c r="P704" s="92">
        <v>0</v>
      </c>
      <c r="Q704" s="92">
        <v>0</v>
      </c>
      <c r="R704" s="92">
        <v>0</v>
      </c>
      <c r="S704" s="92">
        <v>0</v>
      </c>
      <c r="T704" s="79">
        <v>0</v>
      </c>
      <c r="U704" s="54"/>
      <c r="V704" s="54"/>
      <c r="W704" s="54"/>
      <c r="X704" s="54"/>
      <c r="Y704" s="54"/>
      <c r="Z704" s="54"/>
      <c r="AA704" s="54"/>
      <c r="AB704" s="54"/>
      <c r="AC704" s="54"/>
      <c r="AD704" s="54"/>
      <c r="AE704" s="54"/>
      <c r="AF704" s="350"/>
      <c r="AG704" s="350"/>
      <c r="AH704" s="350"/>
      <c r="AI704" s="350"/>
    </row>
    <row r="705" s="350" customFormat="1" ht="22.5" customHeight="1">
      <c r="A705" s="25" t="s">
        <v>411</v>
      </c>
      <c r="B705" s="25"/>
      <c r="C705" s="154">
        <f>SUM(C706:C710)</f>
        <v>41868457.459999993</v>
      </c>
      <c r="D705" s="154">
        <f>SUM(D706:D710)</f>
        <v>0</v>
      </c>
      <c r="E705" s="154">
        <f>SUM(E706:E710)</f>
        <v>0</v>
      </c>
      <c r="F705" s="154">
        <f>SUM(F706:F710)</f>
        <v>0</v>
      </c>
      <c r="G705" s="154">
        <f>SUM(G706:G710)</f>
        <v>0</v>
      </c>
      <c r="H705" s="154">
        <f>SUM(H706:H710)</f>
        <v>0</v>
      </c>
      <c r="I705" s="154">
        <f>SUM(I706:I710)</f>
        <v>0</v>
      </c>
      <c r="J705" s="155">
        <f>SUM(J706:J710)</f>
        <v>0</v>
      </c>
      <c r="K705" s="154">
        <f>SUM(K706:K710)</f>
        <v>0</v>
      </c>
      <c r="L705" s="154">
        <f>SUM(L706:L710)</f>
        <v>27428637.98</v>
      </c>
      <c r="M705" s="154">
        <f>SUM(M706:M710)</f>
        <v>0</v>
      </c>
      <c r="N705" s="154">
        <f>SUM(N706:N710)</f>
        <v>13331651.85</v>
      </c>
      <c r="O705" s="154">
        <f>SUM(O706:O710)</f>
        <v>0</v>
      </c>
      <c r="P705" s="154">
        <f>SUM(P706:P710)</f>
        <v>350382</v>
      </c>
      <c r="Q705" s="154">
        <f>SUM(Q706:Q710)</f>
        <v>0</v>
      </c>
      <c r="R705" s="154">
        <f>SUM(R706:R710)</f>
        <v>757785.63</v>
      </c>
      <c r="S705" s="154">
        <f>SUM(S706:S710)</f>
        <v>0</v>
      </c>
      <c r="T705" s="154">
        <f>SUM(T706:T710)</f>
        <v>0</v>
      </c>
      <c r="U705" s="350"/>
      <c r="V705" s="350"/>
      <c r="W705" s="350"/>
      <c r="X705" s="350"/>
      <c r="Y705" s="350"/>
      <c r="Z705" s="350"/>
      <c r="AA705" s="350"/>
      <c r="AB705" s="350"/>
      <c r="AC705" s="350"/>
      <c r="AD705" s="350"/>
      <c r="AE705" s="350"/>
      <c r="AF705" s="350"/>
      <c r="AG705" s="350"/>
      <c r="AH705" s="350"/>
      <c r="AI705" s="350"/>
    </row>
    <row r="706" s="350" customFormat="1" ht="22.5" customHeight="1">
      <c r="A706" s="33">
        <v>1</v>
      </c>
      <c r="B706" s="86" t="s">
        <v>412</v>
      </c>
      <c r="C706" s="158">
        <f t="shared" ref="C706:C710" si="282">D706+K706+L706+M706+N706+O706+P706+Q706+R706+S706+T706</f>
        <v>14774939.74</v>
      </c>
      <c r="D706" s="79">
        <f t="shared" ref="D706:D710" si="283">SUM(E706:I706)</f>
        <v>0</v>
      </c>
      <c r="E706" s="409">
        <v>0</v>
      </c>
      <c r="F706" s="409">
        <v>0</v>
      </c>
      <c r="G706" s="412">
        <v>0</v>
      </c>
      <c r="H706" s="409">
        <v>0</v>
      </c>
      <c r="I706" s="412">
        <v>0</v>
      </c>
      <c r="J706" s="411">
        <v>0</v>
      </c>
      <c r="K706" s="409">
        <v>0</v>
      </c>
      <c r="L706" s="409">
        <v>14465380.6</v>
      </c>
      <c r="M706" s="412">
        <v>0</v>
      </c>
      <c r="N706" s="410">
        <v>0</v>
      </c>
      <c r="O706" s="412">
        <v>0</v>
      </c>
      <c r="P706" s="409">
        <v>0</v>
      </c>
      <c r="Q706" s="412">
        <v>0</v>
      </c>
      <c r="R706" s="410">
        <v>309559.14000000001</v>
      </c>
      <c r="S706" s="412">
        <v>0</v>
      </c>
      <c r="T706" s="410">
        <v>0</v>
      </c>
      <c r="U706" s="110"/>
      <c r="V706" s="110"/>
      <c r="W706" s="110"/>
      <c r="X706" s="110"/>
      <c r="Y706" s="110"/>
      <c r="Z706" s="110"/>
      <c r="AA706" s="110"/>
      <c r="AB706" s="110"/>
      <c r="AC706" s="110"/>
      <c r="AD706" s="110"/>
      <c r="AE706" s="110"/>
      <c r="AF706" s="110"/>
      <c r="AG706" s="110"/>
      <c r="AH706" s="110"/>
      <c r="AI706" s="110"/>
    </row>
    <row r="707" s="350" customFormat="1" ht="22.5" customHeight="1">
      <c r="A707" s="33">
        <v>2</v>
      </c>
      <c r="B707" s="86" t="s">
        <v>1292</v>
      </c>
      <c r="C707" s="79">
        <f t="shared" si="282"/>
        <v>350382</v>
      </c>
      <c r="D707" s="158">
        <f t="shared" si="283"/>
        <v>0</v>
      </c>
      <c r="E707" s="409">
        <v>0</v>
      </c>
      <c r="F707" s="409">
        <v>0</v>
      </c>
      <c r="G707" s="410">
        <v>0</v>
      </c>
      <c r="H707" s="409">
        <v>0</v>
      </c>
      <c r="I707" s="410">
        <v>0</v>
      </c>
      <c r="J707" s="411">
        <v>0</v>
      </c>
      <c r="K707" s="409">
        <v>0</v>
      </c>
      <c r="L707" s="409">
        <v>0</v>
      </c>
      <c r="M707" s="410">
        <v>0</v>
      </c>
      <c r="N707" s="410">
        <v>0</v>
      </c>
      <c r="O707" s="410">
        <v>0</v>
      </c>
      <c r="P707" s="409">
        <v>350382</v>
      </c>
      <c r="Q707" s="410">
        <v>0</v>
      </c>
      <c r="R707" s="410">
        <v>0</v>
      </c>
      <c r="S707" s="410">
        <v>0</v>
      </c>
      <c r="T707" s="410">
        <v>0</v>
      </c>
      <c r="U707" s="110"/>
      <c r="V707" s="110"/>
      <c r="W707" s="110"/>
      <c r="X707" s="110"/>
      <c r="Y707" s="110"/>
      <c r="Z707" s="110"/>
      <c r="AA707" s="110"/>
      <c r="AB707" s="110"/>
      <c r="AC707" s="110"/>
      <c r="AD707" s="110"/>
      <c r="AE707" s="110"/>
      <c r="AF707" s="110"/>
      <c r="AG707" s="110"/>
      <c r="AH707" s="110"/>
      <c r="AI707" s="110"/>
    </row>
    <row r="708" s="31" customFormat="1" ht="22.5" customHeight="1">
      <c r="A708" s="33">
        <v>3</v>
      </c>
      <c r="B708" s="50" t="s">
        <v>417</v>
      </c>
      <c r="C708" s="79">
        <f t="shared" si="282"/>
        <v>13616949.17</v>
      </c>
      <c r="D708" s="79">
        <f t="shared" si="283"/>
        <v>0</v>
      </c>
      <c r="E708" s="92">
        <v>0</v>
      </c>
      <c r="F708" s="79">
        <v>0</v>
      </c>
      <c r="G708" s="79">
        <v>0</v>
      </c>
      <c r="H708" s="92">
        <v>0</v>
      </c>
      <c r="I708" s="79">
        <v>0</v>
      </c>
      <c r="J708" s="398">
        <v>0</v>
      </c>
      <c r="K708" s="92">
        <v>0</v>
      </c>
      <c r="L708" s="92">
        <v>0</v>
      </c>
      <c r="M708" s="79">
        <v>0</v>
      </c>
      <c r="N708" s="79">
        <v>13331651.85</v>
      </c>
      <c r="O708" s="92">
        <v>0</v>
      </c>
      <c r="P708" s="92">
        <v>0</v>
      </c>
      <c r="Q708" s="79">
        <v>0</v>
      </c>
      <c r="R708" s="79">
        <v>285297.32000000001</v>
      </c>
      <c r="S708" s="79">
        <v>0</v>
      </c>
      <c r="T708" s="79">
        <v>0</v>
      </c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</row>
    <row r="709" s="137" customFormat="1" ht="21.600000000000001" customHeight="1">
      <c r="A709" s="33">
        <v>4</v>
      </c>
      <c r="B709" s="86" t="s">
        <v>1293</v>
      </c>
      <c r="C709" s="158">
        <f t="shared" si="282"/>
        <v>7776441.7800000003</v>
      </c>
      <c r="D709" s="79">
        <f t="shared" si="283"/>
        <v>0</v>
      </c>
      <c r="E709" s="409">
        <v>0</v>
      </c>
      <c r="F709" s="409">
        <v>0</v>
      </c>
      <c r="G709" s="412">
        <v>0</v>
      </c>
      <c r="H709" s="409">
        <v>0</v>
      </c>
      <c r="I709" s="412">
        <v>0</v>
      </c>
      <c r="J709" s="411">
        <v>0</v>
      </c>
      <c r="K709" s="412">
        <v>0</v>
      </c>
      <c r="L709" s="409">
        <v>7613512.6100000003</v>
      </c>
      <c r="M709" s="412">
        <v>0</v>
      </c>
      <c r="N709" s="409">
        <v>0</v>
      </c>
      <c r="O709" s="412">
        <v>0</v>
      </c>
      <c r="P709" s="409">
        <v>0</v>
      </c>
      <c r="Q709" s="412">
        <v>0</v>
      </c>
      <c r="R709" s="410">
        <v>162929.17000000001</v>
      </c>
      <c r="S709" s="412">
        <v>0</v>
      </c>
      <c r="T709" s="410">
        <v>0</v>
      </c>
      <c r="U709" s="110"/>
      <c r="V709" s="110"/>
      <c r="W709" s="110"/>
      <c r="X709" s="110"/>
      <c r="Y709" s="110"/>
      <c r="Z709" s="110"/>
      <c r="AA709" s="110"/>
      <c r="AB709" s="110"/>
      <c r="AC709" s="110"/>
      <c r="AD709" s="110"/>
      <c r="AE709" s="110"/>
      <c r="AF709" s="110"/>
      <c r="AG709" s="110"/>
      <c r="AH709" s="110"/>
      <c r="AI709" s="110"/>
      <c r="AJ709" s="137"/>
      <c r="AK709" s="137"/>
      <c r="AL709" s="137"/>
    </row>
    <row r="710" s="60" customFormat="1" ht="21.600000000000001" customHeight="1">
      <c r="A710" s="33">
        <v>5</v>
      </c>
      <c r="B710" s="34" t="s">
        <v>427</v>
      </c>
      <c r="C710" s="79">
        <f t="shared" si="282"/>
        <v>5349744.7699999996</v>
      </c>
      <c r="D710" s="79">
        <f t="shared" si="283"/>
        <v>0</v>
      </c>
      <c r="E710" s="92">
        <v>0</v>
      </c>
      <c r="F710" s="92">
        <v>0</v>
      </c>
      <c r="G710" s="79">
        <v>0</v>
      </c>
      <c r="H710" s="92">
        <v>0</v>
      </c>
      <c r="I710" s="79">
        <v>0</v>
      </c>
      <c r="J710" s="398">
        <v>0</v>
      </c>
      <c r="K710" s="79">
        <v>0</v>
      </c>
      <c r="L710" s="92">
        <v>5349744.7699999996</v>
      </c>
      <c r="M710" s="79">
        <v>0</v>
      </c>
      <c r="N710" s="79">
        <v>0</v>
      </c>
      <c r="O710" s="79">
        <v>0</v>
      </c>
      <c r="P710" s="92">
        <v>0</v>
      </c>
      <c r="Q710" s="79">
        <v>0</v>
      </c>
      <c r="R710" s="79">
        <v>0</v>
      </c>
      <c r="S710" s="79">
        <v>0</v>
      </c>
      <c r="T710" s="79">
        <v>0</v>
      </c>
      <c r="U710" s="60"/>
      <c r="V710" s="60"/>
      <c r="W710" s="60"/>
      <c r="X710" s="60"/>
      <c r="Y710" s="60"/>
      <c r="Z710" s="60"/>
      <c r="AA710" s="60"/>
      <c r="AB710" s="60"/>
      <c r="AC710" s="60"/>
      <c r="AD710" s="60"/>
      <c r="AE710" s="60"/>
      <c r="AF710" s="60"/>
      <c r="AG710" s="60"/>
      <c r="AH710" s="60"/>
      <c r="AI710" s="60"/>
      <c r="AJ710" s="60"/>
      <c r="AK710" s="60"/>
      <c r="AL710" s="60"/>
      <c r="AM710" s="60"/>
      <c r="AN710" s="60"/>
      <c r="AO710" s="60"/>
      <c r="AP710" s="60"/>
      <c r="AQ710" s="60"/>
      <c r="AR710" s="60"/>
    </row>
    <row r="711" s="31" customFormat="1" ht="23.399999999999999" customHeight="1">
      <c r="A711" s="25" t="s">
        <v>429</v>
      </c>
      <c r="B711" s="25"/>
      <c r="C711" s="154">
        <f>SUM(C712:C718)</f>
        <v>69476166.739999995</v>
      </c>
      <c r="D711" s="154">
        <f>SUM(D712:D718)</f>
        <v>8641084.1699999999</v>
      </c>
      <c r="E711" s="154">
        <f>SUM(E712:E718)</f>
        <v>2068110.8</v>
      </c>
      <c r="F711" s="154">
        <f>SUM(F712:F718)</f>
        <v>1449740.25</v>
      </c>
      <c r="G711" s="154">
        <f>SUM(G712:G718)</f>
        <v>2506091.3200000003</v>
      </c>
      <c r="H711" s="154">
        <f>SUM(H712:H718)</f>
        <v>1628180.74</v>
      </c>
      <c r="I711" s="154">
        <f>SUM(I712:I718)</f>
        <v>988961.06000000006</v>
      </c>
      <c r="J711" s="155">
        <f>SUM(J712:J718)</f>
        <v>0</v>
      </c>
      <c r="K711" s="154">
        <f>SUM(K712:K718)</f>
        <v>0</v>
      </c>
      <c r="L711" s="154">
        <f>SUM(L712:L718)</f>
        <v>16439502.859999999</v>
      </c>
      <c r="M711" s="154">
        <f>SUM(M712:M718)</f>
        <v>0</v>
      </c>
      <c r="N711" s="154">
        <f>SUM(N712:N718)</f>
        <v>0</v>
      </c>
      <c r="O711" s="154">
        <f>SUM(O712:O718)</f>
        <v>0</v>
      </c>
      <c r="P711" s="154">
        <f>SUM(P712:P718)</f>
        <v>2729498</v>
      </c>
      <c r="Q711" s="154">
        <f>SUM(Q712:Q718)</f>
        <v>0</v>
      </c>
      <c r="R711" s="154">
        <f>SUM(R712:R718)</f>
        <v>1398451.8100000001</v>
      </c>
      <c r="S711" s="154">
        <f>SUM(S712:S718)</f>
        <v>40267629.899999999</v>
      </c>
      <c r="T711" s="154">
        <f>SUM(T712:T718)</f>
        <v>0</v>
      </c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</row>
    <row r="712" s="31" customFormat="1" ht="23.399999999999999" customHeight="1">
      <c r="A712" s="33">
        <v>1</v>
      </c>
      <c r="B712" s="50" t="s">
        <v>1294</v>
      </c>
      <c r="C712" s="79">
        <f t="shared" ref="C712:C718" si="284">D712+K712+L712+M712+N712+O712+P712+Q712+R712+S712+T712</f>
        <v>24032694.039999999</v>
      </c>
      <c r="D712" s="79">
        <f t="shared" ref="D712:D718" si="285">SUM(E712:I712)</f>
        <v>0</v>
      </c>
      <c r="E712" s="79">
        <v>0</v>
      </c>
      <c r="F712" s="79">
        <v>0</v>
      </c>
      <c r="G712" s="79">
        <v>0</v>
      </c>
      <c r="H712" s="79">
        <v>0</v>
      </c>
      <c r="I712" s="79">
        <v>0</v>
      </c>
      <c r="J712" s="398">
        <v>0</v>
      </c>
      <c r="K712" s="79">
        <v>0</v>
      </c>
      <c r="L712" s="92">
        <v>0</v>
      </c>
      <c r="M712" s="79">
        <v>0</v>
      </c>
      <c r="N712" s="79">
        <v>0</v>
      </c>
      <c r="O712" s="79">
        <v>0</v>
      </c>
      <c r="P712" s="92">
        <f>350382</f>
        <v>350382</v>
      </c>
      <c r="Q712" s="79">
        <v>0</v>
      </c>
      <c r="R712" s="79">
        <v>496183.14000000001</v>
      </c>
      <c r="S712" s="92">
        <v>23186128.899999999</v>
      </c>
      <c r="T712" s="79">
        <v>0</v>
      </c>
      <c r="U712" s="59"/>
      <c r="V712" s="59"/>
      <c r="W712" s="59"/>
      <c r="X712" s="59"/>
      <c r="Y712" s="59"/>
      <c r="Z712" s="59"/>
      <c r="AA712" s="59"/>
      <c r="AB712" s="59"/>
      <c r="AC712" s="59"/>
      <c r="AD712" s="59"/>
      <c r="AE712" s="59"/>
    </row>
    <row r="713" s="60" customFormat="1" ht="23.399999999999999" customHeight="1">
      <c r="A713" s="33">
        <v>2</v>
      </c>
      <c r="B713" s="50" t="s">
        <v>431</v>
      </c>
      <c r="C713" s="79">
        <f t="shared" si="284"/>
        <v>17447045.120000001</v>
      </c>
      <c r="D713" s="79">
        <f t="shared" si="285"/>
        <v>0</v>
      </c>
      <c r="E713" s="79">
        <v>0</v>
      </c>
      <c r="F713" s="79">
        <v>0</v>
      </c>
      <c r="G713" s="79">
        <v>0</v>
      </c>
      <c r="H713" s="79">
        <v>0</v>
      </c>
      <c r="I713" s="79">
        <v>0</v>
      </c>
      <c r="J713" s="398">
        <v>0</v>
      </c>
      <c r="K713" s="79">
        <v>0</v>
      </c>
      <c r="L713" s="92">
        <v>0</v>
      </c>
      <c r="M713" s="79">
        <v>0</v>
      </c>
      <c r="N713" s="79">
        <v>0</v>
      </c>
      <c r="O713" s="79">
        <v>0</v>
      </c>
      <c r="P713" s="92">
        <v>0</v>
      </c>
      <c r="Q713" s="79">
        <v>0</v>
      </c>
      <c r="R713" s="79">
        <v>365544.12</v>
      </c>
      <c r="S713" s="79">
        <v>17081501</v>
      </c>
      <c r="T713" s="79">
        <v>0</v>
      </c>
      <c r="U713" s="60"/>
      <c r="V713" s="60"/>
      <c r="W713" s="60"/>
      <c r="X713" s="60"/>
      <c r="Y713" s="60"/>
      <c r="Z713" s="60"/>
      <c r="AA713" s="60"/>
      <c r="AB713" s="60"/>
      <c r="AC713" s="60"/>
      <c r="AD713" s="60"/>
      <c r="AE713" s="60"/>
    </row>
    <row r="714" s="60" customFormat="1" ht="23.399999999999999" customHeight="1">
      <c r="A714" s="33">
        <v>3</v>
      </c>
      <c r="B714" s="50" t="s">
        <v>432</v>
      </c>
      <c r="C714" s="79">
        <f t="shared" si="284"/>
        <v>2559721.6700000004</v>
      </c>
      <c r="D714" s="79">
        <f t="shared" si="285"/>
        <v>2506091.3200000003</v>
      </c>
      <c r="E714" s="79">
        <v>0</v>
      </c>
      <c r="F714" s="79">
        <v>0</v>
      </c>
      <c r="G714" s="92">
        <v>2506091.3200000003</v>
      </c>
      <c r="H714" s="79">
        <v>0</v>
      </c>
      <c r="I714" s="79">
        <v>0</v>
      </c>
      <c r="J714" s="398">
        <v>0</v>
      </c>
      <c r="K714" s="79">
        <v>0</v>
      </c>
      <c r="L714" s="79">
        <v>0</v>
      </c>
      <c r="M714" s="79">
        <v>0</v>
      </c>
      <c r="N714" s="79">
        <v>0</v>
      </c>
      <c r="O714" s="79">
        <v>0</v>
      </c>
      <c r="P714" s="92">
        <v>0</v>
      </c>
      <c r="Q714" s="79">
        <v>0</v>
      </c>
      <c r="R714" s="79">
        <v>53630.349999999999</v>
      </c>
      <c r="S714" s="79">
        <v>0</v>
      </c>
      <c r="T714" s="79">
        <v>0</v>
      </c>
      <c r="U714" s="60"/>
      <c r="V714" s="60"/>
      <c r="W714" s="60"/>
      <c r="X714" s="60"/>
      <c r="Y714" s="60"/>
      <c r="Z714" s="60"/>
      <c r="AA714" s="60"/>
      <c r="AB714" s="60"/>
      <c r="AC714" s="60"/>
      <c r="AD714" s="60"/>
      <c r="AE714" s="60"/>
      <c r="AF714" s="60"/>
      <c r="AG714" s="60"/>
      <c r="AH714" s="60"/>
      <c r="AI714" s="60"/>
    </row>
    <row r="715" s="60" customFormat="1" ht="23.399999999999999" customHeight="1">
      <c r="A715" s="33">
        <v>4</v>
      </c>
      <c r="B715" s="50" t="s">
        <v>1295</v>
      </c>
      <c r="C715" s="158">
        <f t="shared" si="284"/>
        <v>1746358.6899999999</v>
      </c>
      <c r="D715" s="79">
        <f t="shared" si="285"/>
        <v>1449740.25</v>
      </c>
      <c r="E715" s="92">
        <v>0</v>
      </c>
      <c r="F715" s="158">
        <v>1449740.25</v>
      </c>
      <c r="G715" s="79">
        <v>0</v>
      </c>
      <c r="H715" s="92">
        <v>0</v>
      </c>
      <c r="I715" s="92">
        <v>0</v>
      </c>
      <c r="J715" s="398">
        <v>0</v>
      </c>
      <c r="K715" s="79">
        <v>0</v>
      </c>
      <c r="L715" s="79">
        <v>0</v>
      </c>
      <c r="M715" s="79">
        <v>0</v>
      </c>
      <c r="N715" s="79">
        <v>0</v>
      </c>
      <c r="O715" s="79">
        <v>0</v>
      </c>
      <c r="P715" s="79">
        <v>265594</v>
      </c>
      <c r="Q715" s="79">
        <v>0</v>
      </c>
      <c r="R715" s="79">
        <v>31024.439999999999</v>
      </c>
      <c r="S715" s="79">
        <v>0</v>
      </c>
      <c r="T715" s="79">
        <v>0</v>
      </c>
      <c r="U715" s="54"/>
      <c r="V715" s="54"/>
      <c r="W715" s="54"/>
      <c r="X715" s="54"/>
      <c r="Y715" s="54"/>
      <c r="Z715" s="54"/>
      <c r="AA715" s="54"/>
      <c r="AB715" s="54"/>
      <c r="AC715" s="54"/>
      <c r="AD715" s="54"/>
      <c r="AE715" s="54"/>
      <c r="AF715" s="60"/>
      <c r="AG715" s="60"/>
      <c r="AH715" s="60"/>
      <c r="AI715" s="60"/>
    </row>
    <row r="716" s="144" customFormat="1" ht="23.399999999999999" customHeight="1">
      <c r="A716" s="33">
        <v>5</v>
      </c>
      <c r="B716" s="50" t="s">
        <v>1296</v>
      </c>
      <c r="C716" s="79">
        <f t="shared" si="284"/>
        <v>265594</v>
      </c>
      <c r="D716" s="79">
        <f t="shared" si="285"/>
        <v>0</v>
      </c>
      <c r="E716" s="92">
        <v>0</v>
      </c>
      <c r="F716" s="79">
        <v>0</v>
      </c>
      <c r="G716" s="79">
        <v>0</v>
      </c>
      <c r="H716" s="92">
        <v>0</v>
      </c>
      <c r="I716" s="92">
        <v>0</v>
      </c>
      <c r="J716" s="398">
        <v>0</v>
      </c>
      <c r="K716" s="79">
        <v>0</v>
      </c>
      <c r="L716" s="79">
        <v>0</v>
      </c>
      <c r="M716" s="79">
        <v>0</v>
      </c>
      <c r="N716" s="79">
        <v>0</v>
      </c>
      <c r="O716" s="79">
        <v>0</v>
      </c>
      <c r="P716" s="79">
        <v>265594</v>
      </c>
      <c r="Q716" s="79">
        <v>0</v>
      </c>
      <c r="R716" s="79">
        <v>0</v>
      </c>
      <c r="S716" s="79">
        <v>0</v>
      </c>
      <c r="T716" s="79">
        <v>0</v>
      </c>
      <c r="U716" s="218"/>
      <c r="V716" s="218"/>
      <c r="W716" s="218"/>
      <c r="X716" s="218"/>
      <c r="Y716" s="218"/>
      <c r="Z716" s="218"/>
      <c r="AA716" s="218"/>
      <c r="AB716" s="218"/>
      <c r="AC716" s="218"/>
      <c r="AD716" s="218"/>
      <c r="AE716" s="218"/>
      <c r="AF716" s="144"/>
      <c r="AG716" s="144"/>
      <c r="AH716" s="144"/>
      <c r="AI716" s="144"/>
    </row>
    <row r="717" s="144" customFormat="1" ht="23.399999999999999" customHeight="1">
      <c r="A717" s="33">
        <v>6</v>
      </c>
      <c r="B717" s="50" t="s">
        <v>1297</v>
      </c>
      <c r="C717" s="158">
        <f t="shared" si="284"/>
        <v>19488344.509999998</v>
      </c>
      <c r="D717" s="79">
        <f t="shared" si="285"/>
        <v>1611406.2000000002</v>
      </c>
      <c r="E717" s="158">
        <v>0</v>
      </c>
      <c r="F717" s="79">
        <v>0</v>
      </c>
      <c r="G717" s="158">
        <v>0</v>
      </c>
      <c r="H717" s="79">
        <v>622445.14000000001</v>
      </c>
      <c r="I717" s="158">
        <v>988961.06000000006</v>
      </c>
      <c r="J717" s="398">
        <v>0</v>
      </c>
      <c r="K717" s="158">
        <v>0</v>
      </c>
      <c r="L717" s="92">
        <v>16439502.859999999</v>
      </c>
      <c r="M717" s="158">
        <v>0</v>
      </c>
      <c r="N717" s="79">
        <v>0</v>
      </c>
      <c r="O717" s="158">
        <v>0</v>
      </c>
      <c r="P717" s="92">
        <f>350382+350382+350382</f>
        <v>1051146</v>
      </c>
      <c r="Q717" s="158">
        <v>0</v>
      </c>
      <c r="R717" s="79">
        <f>13320.32+21163.77+351805.36</f>
        <v>386289.44999999995</v>
      </c>
      <c r="S717" s="92">
        <v>0</v>
      </c>
      <c r="T717" s="79">
        <v>0</v>
      </c>
      <c r="U717" s="59"/>
      <c r="V717" s="59"/>
      <c r="W717" s="59"/>
      <c r="X717" s="59"/>
      <c r="Y717" s="59"/>
      <c r="Z717" s="59"/>
      <c r="AA717" s="59"/>
      <c r="AB717" s="59"/>
      <c r="AC717" s="59"/>
      <c r="AD717" s="59"/>
      <c r="AE717" s="59"/>
      <c r="AF717" s="144"/>
      <c r="AG717" s="144"/>
      <c r="AH717" s="144"/>
      <c r="AI717" s="144"/>
    </row>
    <row r="718" s="60" customFormat="1" ht="23.399999999999999" customHeight="1">
      <c r="A718" s="33">
        <v>7</v>
      </c>
      <c r="B718" s="50" t="s">
        <v>1298</v>
      </c>
      <c r="C718" s="79">
        <f t="shared" si="284"/>
        <v>3936408.71</v>
      </c>
      <c r="D718" s="79">
        <f t="shared" si="285"/>
        <v>3073846.3999999999</v>
      </c>
      <c r="E718" s="79">
        <v>2068110.8</v>
      </c>
      <c r="F718" s="79">
        <v>0</v>
      </c>
      <c r="G718" s="92">
        <v>0</v>
      </c>
      <c r="H718" s="79">
        <v>1005735.6</v>
      </c>
      <c r="I718" s="79">
        <v>0</v>
      </c>
      <c r="J718" s="398">
        <v>0</v>
      </c>
      <c r="K718" s="79">
        <v>0</v>
      </c>
      <c r="L718" s="79">
        <v>0</v>
      </c>
      <c r="M718" s="79">
        <v>0</v>
      </c>
      <c r="N718" s="79">
        <v>0</v>
      </c>
      <c r="O718" s="79">
        <v>0</v>
      </c>
      <c r="P718" s="92">
        <f>265594+265594+265594</f>
        <v>796782</v>
      </c>
      <c r="Q718" s="79">
        <v>0</v>
      </c>
      <c r="R718" s="79">
        <f>44257.57+21522.74</f>
        <v>65780.309999999998</v>
      </c>
      <c r="S718" s="79">
        <v>0</v>
      </c>
      <c r="T718" s="79">
        <v>0</v>
      </c>
      <c r="U718" s="60"/>
      <c r="V718" s="60"/>
      <c r="W718" s="60"/>
      <c r="X718" s="60"/>
      <c r="Y718" s="60"/>
      <c r="Z718" s="60"/>
      <c r="AA718" s="60"/>
      <c r="AB718" s="60"/>
      <c r="AC718" s="60"/>
      <c r="AD718" s="60"/>
      <c r="AE718" s="60"/>
    </row>
    <row r="719" s="350" customFormat="1" ht="22.5" customHeight="1">
      <c r="A719" s="25" t="s">
        <v>435</v>
      </c>
      <c r="B719" s="25"/>
      <c r="C719" s="154">
        <f>SUM(C720:C742)</f>
        <v>303435228.97999996</v>
      </c>
      <c r="D719" s="154">
        <f>SUM(D720:D742)</f>
        <v>7775535.0800000001</v>
      </c>
      <c r="E719" s="154">
        <f>SUM(E720:E742)</f>
        <v>3084308.98</v>
      </c>
      <c r="F719" s="154">
        <f>SUM(F720:F742)</f>
        <v>4691226.0999999996</v>
      </c>
      <c r="G719" s="154">
        <f>SUM(G720:G742)</f>
        <v>0</v>
      </c>
      <c r="H719" s="154">
        <f>SUM(H720:H742)</f>
        <v>0</v>
      </c>
      <c r="I719" s="154">
        <f>SUM(I720:I742)</f>
        <v>0</v>
      </c>
      <c r="J719" s="155">
        <f>SUM(J720:J742)</f>
        <v>0</v>
      </c>
      <c r="K719" s="154">
        <f>SUM(K720:K742)</f>
        <v>0</v>
      </c>
      <c r="L719" s="154">
        <f>SUM(L720:L742)</f>
        <v>60638977.399999999</v>
      </c>
      <c r="M719" s="154">
        <f>SUM(M720:M742)</f>
        <v>0</v>
      </c>
      <c r="N719" s="154">
        <f>SUM(N720:N742)</f>
        <v>0</v>
      </c>
      <c r="O719" s="154">
        <f>SUM(O720:O742)</f>
        <v>0</v>
      </c>
      <c r="P719" s="154">
        <f>SUM(P720:P742)</f>
        <v>7289626.4800000004</v>
      </c>
      <c r="Q719" s="154">
        <f>SUM(Q720:Q742)</f>
        <v>0</v>
      </c>
      <c r="R719" s="154">
        <f>SUM(R720:R742)</f>
        <v>6204734.5200000005</v>
      </c>
      <c r="S719" s="154">
        <f>SUM(S720:S742)</f>
        <v>221526355.5</v>
      </c>
      <c r="T719" s="154">
        <f>SUM(T720:T742)</f>
        <v>0</v>
      </c>
      <c r="U719" s="350"/>
      <c r="V719" s="350"/>
      <c r="W719" s="350"/>
      <c r="X719" s="350"/>
      <c r="Y719" s="350"/>
      <c r="Z719" s="350"/>
      <c r="AA719" s="350"/>
      <c r="AB719" s="350"/>
      <c r="AC719" s="350"/>
      <c r="AD719" s="350"/>
      <c r="AE719" s="350"/>
    </row>
    <row r="720" s="399" customFormat="1" ht="22.5" customHeight="1">
      <c r="A720" s="33">
        <v>1</v>
      </c>
      <c r="B720" s="50" t="s">
        <v>1299</v>
      </c>
      <c r="C720" s="79">
        <f t="shared" ref="C720:C742" si="286">D720+K720+L720+M720+N720+O720+P720+Q720+R720+S720+T720</f>
        <v>2881614.2999999998</v>
      </c>
      <c r="D720" s="79">
        <f t="shared" ref="D720:D742" si="287">SUM(E720:I720)</f>
        <v>0</v>
      </c>
      <c r="E720" s="79">
        <v>0</v>
      </c>
      <c r="F720" s="79">
        <v>0</v>
      </c>
      <c r="G720" s="79">
        <v>0</v>
      </c>
      <c r="H720" s="79">
        <v>0</v>
      </c>
      <c r="I720" s="79">
        <v>0</v>
      </c>
      <c r="J720" s="398">
        <v>0</v>
      </c>
      <c r="K720" s="79">
        <v>0</v>
      </c>
      <c r="L720" s="92">
        <v>2561210.3999999999</v>
      </c>
      <c r="M720" s="79">
        <v>0</v>
      </c>
      <c r="N720" s="92">
        <v>0</v>
      </c>
      <c r="O720" s="79">
        <v>0</v>
      </c>
      <c r="P720" s="92">
        <v>265594</v>
      </c>
      <c r="Q720" s="79">
        <v>0</v>
      </c>
      <c r="R720" s="79">
        <v>54809.900000000001</v>
      </c>
      <c r="S720" s="79">
        <v>0</v>
      </c>
      <c r="T720" s="79">
        <v>0</v>
      </c>
      <c r="U720" s="59"/>
      <c r="V720" s="59"/>
      <c r="W720" s="59"/>
      <c r="X720" s="59"/>
      <c r="Y720" s="59"/>
      <c r="Z720" s="59"/>
      <c r="AA720" s="59"/>
      <c r="AB720" s="59"/>
      <c r="AC720" s="59"/>
      <c r="AD720" s="59"/>
      <c r="AE720" s="59"/>
    </row>
    <row r="721" s="350" customFormat="1" ht="22.5" customHeight="1">
      <c r="A721" s="33">
        <v>2</v>
      </c>
      <c r="B721" s="50" t="s">
        <v>1300</v>
      </c>
      <c r="C721" s="79">
        <f t="shared" si="286"/>
        <v>650454.29000000004</v>
      </c>
      <c r="D721" s="79">
        <f t="shared" si="287"/>
        <v>376796.90000000002</v>
      </c>
      <c r="E721" s="79">
        <v>376796.90000000002</v>
      </c>
      <c r="F721" s="79">
        <v>0</v>
      </c>
      <c r="G721" s="79">
        <v>0</v>
      </c>
      <c r="H721" s="79">
        <v>0</v>
      </c>
      <c r="I721" s="79">
        <v>0</v>
      </c>
      <c r="J721" s="398">
        <v>0</v>
      </c>
      <c r="K721" s="79">
        <v>0</v>
      </c>
      <c r="L721" s="92">
        <v>0</v>
      </c>
      <c r="M721" s="79">
        <v>0</v>
      </c>
      <c r="N721" s="92">
        <v>0</v>
      </c>
      <c r="O721" s="79">
        <v>0</v>
      </c>
      <c r="P721" s="92">
        <v>265594</v>
      </c>
      <c r="Q721" s="79">
        <v>0</v>
      </c>
      <c r="R721" s="79">
        <v>8063.3900000000003</v>
      </c>
      <c r="S721" s="79">
        <v>0</v>
      </c>
      <c r="T721" s="79">
        <v>0</v>
      </c>
      <c r="U721" s="60"/>
      <c r="V721" s="60"/>
      <c r="W721" s="60"/>
      <c r="X721" s="60"/>
      <c r="Y721" s="60"/>
      <c r="Z721" s="60"/>
      <c r="AA721" s="60"/>
      <c r="AB721" s="60"/>
      <c r="AC721" s="60"/>
      <c r="AD721" s="60"/>
      <c r="AE721" s="60"/>
    </row>
    <row r="722" s="350" customFormat="1" ht="22.5" customHeight="1">
      <c r="A722" s="33">
        <v>3</v>
      </c>
      <c r="B722" s="50" t="s">
        <v>1301</v>
      </c>
      <c r="C722" s="79">
        <f t="shared" si="286"/>
        <v>2343584.79</v>
      </c>
      <c r="D722" s="79">
        <f t="shared" si="287"/>
        <v>994336</v>
      </c>
      <c r="E722" s="79">
        <v>994336</v>
      </c>
      <c r="F722" s="79">
        <v>0</v>
      </c>
      <c r="G722" s="79">
        <v>0</v>
      </c>
      <c r="H722" s="79">
        <v>0</v>
      </c>
      <c r="I722" s="79">
        <v>0</v>
      </c>
      <c r="J722" s="398">
        <v>0</v>
      </c>
      <c r="K722" s="79">
        <v>0</v>
      </c>
      <c r="L722" s="92">
        <v>0</v>
      </c>
      <c r="M722" s="79">
        <v>0</v>
      </c>
      <c r="N722" s="92">
        <v>0</v>
      </c>
      <c r="O722" s="79">
        <v>0</v>
      </c>
      <c r="P722" s="92">
        <f>265594+265594+265594+265594+265594</f>
        <v>1327970</v>
      </c>
      <c r="Q722" s="79">
        <v>0</v>
      </c>
      <c r="R722" s="79">
        <v>21278.790000000001</v>
      </c>
      <c r="S722" s="79">
        <v>0</v>
      </c>
      <c r="T722" s="79">
        <v>0</v>
      </c>
      <c r="U722" s="59"/>
      <c r="V722" s="59"/>
      <c r="W722" s="59"/>
      <c r="X722" s="59"/>
      <c r="Y722" s="59"/>
      <c r="Z722" s="59"/>
      <c r="AA722" s="59"/>
      <c r="AB722" s="59"/>
      <c r="AC722" s="59"/>
      <c r="AD722" s="59"/>
      <c r="AE722" s="59"/>
    </row>
    <row r="723" s="350" customFormat="1" ht="22.5" customHeight="1">
      <c r="A723" s="33">
        <v>4</v>
      </c>
      <c r="B723" s="50" t="s">
        <v>1302</v>
      </c>
      <c r="C723" s="79">
        <f t="shared" si="286"/>
        <v>5744324.7700000005</v>
      </c>
      <c r="D723" s="79">
        <f t="shared" si="287"/>
        <v>0</v>
      </c>
      <c r="E723" s="79">
        <v>0</v>
      </c>
      <c r="F723" s="79">
        <v>0</v>
      </c>
      <c r="G723" s="79">
        <v>0</v>
      </c>
      <c r="H723" s="79">
        <v>0</v>
      </c>
      <c r="I723" s="79">
        <v>0</v>
      </c>
      <c r="J723" s="398">
        <v>0</v>
      </c>
      <c r="K723" s="79">
        <v>0</v>
      </c>
      <c r="L723" s="92">
        <v>5363942.4000000004</v>
      </c>
      <c r="M723" s="79">
        <v>0</v>
      </c>
      <c r="N723" s="92">
        <v>0</v>
      </c>
      <c r="O723" s="79">
        <v>0</v>
      </c>
      <c r="P723" s="92">
        <v>265594</v>
      </c>
      <c r="Q723" s="79">
        <v>0</v>
      </c>
      <c r="R723" s="79">
        <v>114788.37</v>
      </c>
      <c r="S723" s="79">
        <v>0</v>
      </c>
      <c r="T723" s="79">
        <v>0</v>
      </c>
      <c r="U723" s="59"/>
      <c r="V723" s="59"/>
      <c r="W723" s="59"/>
      <c r="X723" s="59"/>
      <c r="Y723" s="59"/>
      <c r="Z723" s="59"/>
      <c r="AA723" s="59"/>
      <c r="AB723" s="59"/>
      <c r="AC723" s="59"/>
      <c r="AD723" s="59"/>
      <c r="AE723" s="59"/>
    </row>
    <row r="724" s="350" customFormat="1" ht="22.5" customHeight="1">
      <c r="A724" s="33">
        <v>5</v>
      </c>
      <c r="B724" s="50" t="s">
        <v>1303</v>
      </c>
      <c r="C724" s="79">
        <f t="shared" si="286"/>
        <v>3464140.3799999999</v>
      </c>
      <c r="D724" s="79">
        <f t="shared" si="287"/>
        <v>3131531.6000000001</v>
      </c>
      <c r="E724" s="79">
        <v>0</v>
      </c>
      <c r="F724" s="79">
        <v>3131531.6000000001</v>
      </c>
      <c r="G724" s="79">
        <v>0</v>
      </c>
      <c r="H724" s="79">
        <v>0</v>
      </c>
      <c r="I724" s="79">
        <v>0</v>
      </c>
      <c r="J724" s="398">
        <v>0</v>
      </c>
      <c r="K724" s="79">
        <v>0</v>
      </c>
      <c r="L724" s="92">
        <v>0</v>
      </c>
      <c r="M724" s="79">
        <v>0</v>
      </c>
      <c r="N724" s="92">
        <v>0</v>
      </c>
      <c r="O724" s="79">
        <v>0</v>
      </c>
      <c r="P724" s="92">
        <v>265594</v>
      </c>
      <c r="Q724" s="79">
        <v>0</v>
      </c>
      <c r="R724" s="79">
        <v>67014.779999999999</v>
      </c>
      <c r="S724" s="79">
        <v>0</v>
      </c>
      <c r="T724" s="79">
        <v>0</v>
      </c>
      <c r="U724" s="59"/>
      <c r="V724" s="59"/>
      <c r="W724" s="59"/>
      <c r="X724" s="59"/>
      <c r="Y724" s="59"/>
      <c r="Z724" s="59"/>
      <c r="AA724" s="59"/>
      <c r="AB724" s="59"/>
      <c r="AC724" s="59"/>
      <c r="AD724" s="59"/>
      <c r="AE724" s="59"/>
    </row>
    <row r="725" s="350" customFormat="1" ht="22.5" customHeight="1">
      <c r="A725" s="33">
        <v>6</v>
      </c>
      <c r="B725" s="50" t="s">
        <v>701</v>
      </c>
      <c r="C725" s="79">
        <f t="shared" si="286"/>
        <v>4558245.0900000008</v>
      </c>
      <c r="D725" s="79">
        <f t="shared" si="287"/>
        <v>0</v>
      </c>
      <c r="E725" s="79">
        <v>0</v>
      </c>
      <c r="F725" s="79">
        <v>0</v>
      </c>
      <c r="G725" s="79">
        <v>0</v>
      </c>
      <c r="H725" s="79">
        <v>0</v>
      </c>
      <c r="I725" s="79">
        <v>0</v>
      </c>
      <c r="J725" s="398">
        <v>0</v>
      </c>
      <c r="K725" s="79">
        <v>0</v>
      </c>
      <c r="L725" s="92">
        <v>4462742.4000000004</v>
      </c>
      <c r="M725" s="79">
        <v>0</v>
      </c>
      <c r="N725" s="92">
        <v>0</v>
      </c>
      <c r="O725" s="79">
        <v>0</v>
      </c>
      <c r="P725" s="92">
        <v>0</v>
      </c>
      <c r="Q725" s="79">
        <v>0</v>
      </c>
      <c r="R725" s="79">
        <v>95502.690000000002</v>
      </c>
      <c r="S725" s="79">
        <v>0</v>
      </c>
      <c r="T725" s="79">
        <v>0</v>
      </c>
      <c r="U725" s="59"/>
      <c r="V725" s="59"/>
      <c r="W725" s="59"/>
      <c r="X725" s="59"/>
      <c r="Y725" s="59"/>
      <c r="Z725" s="59"/>
      <c r="AA725" s="59"/>
      <c r="AB725" s="59"/>
      <c r="AC725" s="59"/>
      <c r="AD725" s="59"/>
      <c r="AE725" s="59"/>
    </row>
    <row r="726" s="60" customFormat="1" ht="22.199999999999999" customHeight="1">
      <c r="A726" s="33">
        <v>7</v>
      </c>
      <c r="B726" s="50" t="s">
        <v>1304</v>
      </c>
      <c r="C726" s="79">
        <f t="shared" si="286"/>
        <v>3017412.8700000001</v>
      </c>
      <c r="D726" s="79">
        <f t="shared" si="287"/>
        <v>2285046.3999999999</v>
      </c>
      <c r="E726" s="79">
        <v>725351.90000000002</v>
      </c>
      <c r="F726" s="79">
        <v>1559694.5</v>
      </c>
      <c r="G726" s="79">
        <v>0</v>
      </c>
      <c r="H726" s="79">
        <v>0</v>
      </c>
      <c r="I726" s="79">
        <v>0</v>
      </c>
      <c r="J726" s="398">
        <v>0</v>
      </c>
      <c r="K726" s="79">
        <v>0</v>
      </c>
      <c r="L726" s="92">
        <v>0</v>
      </c>
      <c r="M726" s="79">
        <v>0</v>
      </c>
      <c r="N726" s="92">
        <v>0</v>
      </c>
      <c r="O726" s="79">
        <v>0</v>
      </c>
      <c r="P726" s="92">
        <f>152278.48+265594+265594</f>
        <v>683466.47999999998</v>
      </c>
      <c r="Q726" s="79">
        <v>0</v>
      </c>
      <c r="R726" s="79">
        <f>33377.46+15522.53</f>
        <v>48899.989999999998</v>
      </c>
      <c r="S726" s="79">
        <v>0</v>
      </c>
      <c r="T726" s="79">
        <v>0</v>
      </c>
      <c r="U726" s="60"/>
      <c r="V726" s="60"/>
      <c r="W726" s="60"/>
      <c r="X726" s="60"/>
      <c r="Y726" s="60"/>
      <c r="Z726" s="60"/>
      <c r="AA726" s="60"/>
      <c r="AB726" s="60"/>
      <c r="AC726" s="60"/>
      <c r="AD726" s="60"/>
      <c r="AE726" s="60"/>
      <c r="AF726" s="60"/>
      <c r="AG726" s="60"/>
      <c r="AH726" s="60"/>
      <c r="AI726" s="60"/>
    </row>
    <row r="727" s="60" customFormat="1" ht="22.199999999999999" customHeight="1">
      <c r="A727" s="33">
        <v>8</v>
      </c>
      <c r="B727" s="50" t="s">
        <v>1305</v>
      </c>
      <c r="C727" s="79">
        <f t="shared" si="286"/>
        <v>1540151.6200000001</v>
      </c>
      <c r="D727" s="79">
        <f t="shared" si="287"/>
        <v>987824.18000000005</v>
      </c>
      <c r="E727" s="79">
        <v>987824.18000000005</v>
      </c>
      <c r="F727" s="79">
        <v>0</v>
      </c>
      <c r="G727" s="79">
        <v>0</v>
      </c>
      <c r="H727" s="79">
        <v>0</v>
      </c>
      <c r="I727" s="92">
        <v>0</v>
      </c>
      <c r="J727" s="398">
        <v>0</v>
      </c>
      <c r="K727" s="79">
        <v>0</v>
      </c>
      <c r="L727" s="79">
        <v>0</v>
      </c>
      <c r="M727" s="79">
        <v>0</v>
      </c>
      <c r="N727" s="79">
        <v>0</v>
      </c>
      <c r="O727" s="79">
        <v>0</v>
      </c>
      <c r="P727" s="92">
        <f>265594+265594</f>
        <v>531188</v>
      </c>
      <c r="Q727" s="79">
        <v>0</v>
      </c>
      <c r="R727" s="79">
        <v>21139.439999999999</v>
      </c>
      <c r="S727" s="92">
        <v>0</v>
      </c>
      <c r="T727" s="79">
        <v>0</v>
      </c>
      <c r="U727" s="110"/>
      <c r="V727" s="110"/>
      <c r="W727" s="110"/>
      <c r="X727" s="110"/>
      <c r="Y727" s="110"/>
      <c r="Z727" s="110"/>
      <c r="AA727" s="110"/>
      <c r="AB727" s="110"/>
      <c r="AC727" s="110"/>
      <c r="AD727" s="110"/>
      <c r="AE727" s="110"/>
      <c r="AF727" s="60"/>
      <c r="AG727" s="60"/>
      <c r="AH727" s="60"/>
      <c r="AI727" s="60"/>
    </row>
    <row r="728" s="60" customFormat="1" ht="22.199999999999999" customHeight="1">
      <c r="A728" s="33">
        <v>9</v>
      </c>
      <c r="B728" s="50" t="s">
        <v>1306</v>
      </c>
      <c r="C728" s="79">
        <f t="shared" si="286"/>
        <v>350382</v>
      </c>
      <c r="D728" s="79">
        <f t="shared" si="287"/>
        <v>0</v>
      </c>
      <c r="E728" s="79">
        <v>0</v>
      </c>
      <c r="F728" s="79">
        <v>0</v>
      </c>
      <c r="G728" s="79">
        <v>0</v>
      </c>
      <c r="H728" s="79">
        <v>0</v>
      </c>
      <c r="I728" s="92">
        <v>0</v>
      </c>
      <c r="J728" s="398">
        <v>0</v>
      </c>
      <c r="K728" s="79">
        <v>0</v>
      </c>
      <c r="L728" s="79">
        <v>0</v>
      </c>
      <c r="M728" s="79">
        <v>0</v>
      </c>
      <c r="N728" s="79">
        <v>0</v>
      </c>
      <c r="O728" s="79">
        <v>0</v>
      </c>
      <c r="P728" s="92">
        <v>350382</v>
      </c>
      <c r="Q728" s="79">
        <v>0</v>
      </c>
      <c r="R728" s="79">
        <v>0</v>
      </c>
      <c r="S728" s="92">
        <v>0</v>
      </c>
      <c r="T728" s="79">
        <v>0</v>
      </c>
      <c r="U728" s="110"/>
      <c r="V728" s="110"/>
      <c r="W728" s="110"/>
      <c r="X728" s="110"/>
      <c r="Y728" s="110"/>
      <c r="Z728" s="110"/>
      <c r="AA728" s="110"/>
      <c r="AB728" s="110"/>
      <c r="AC728" s="110"/>
      <c r="AD728" s="110"/>
      <c r="AE728" s="110"/>
      <c r="AF728" s="60"/>
      <c r="AG728" s="60"/>
      <c r="AH728" s="60"/>
      <c r="AI728" s="60"/>
    </row>
    <row r="729" s="54" customFormat="1" ht="22.5" customHeight="1">
      <c r="A729" s="33">
        <v>10</v>
      </c>
      <c r="B729" s="50" t="s">
        <v>445</v>
      </c>
      <c r="C729" s="79">
        <f t="shared" si="286"/>
        <v>33723765.420000002</v>
      </c>
      <c r="D729" s="79">
        <f t="shared" si="287"/>
        <v>0</v>
      </c>
      <c r="E729" s="79">
        <v>0</v>
      </c>
      <c r="F729" s="79">
        <v>0</v>
      </c>
      <c r="G729" s="79">
        <v>0</v>
      </c>
      <c r="H729" s="79">
        <v>0</v>
      </c>
      <c r="I729" s="92">
        <v>0</v>
      </c>
      <c r="J729" s="398">
        <v>0</v>
      </c>
      <c r="K729" s="79">
        <v>0</v>
      </c>
      <c r="L729" s="79">
        <v>33017197.399999999</v>
      </c>
      <c r="M729" s="79">
        <v>0</v>
      </c>
      <c r="N729" s="79">
        <v>0</v>
      </c>
      <c r="O729" s="79">
        <v>0</v>
      </c>
      <c r="P729" s="92">
        <v>0</v>
      </c>
      <c r="Q729" s="79">
        <v>0</v>
      </c>
      <c r="R729" s="79">
        <v>706568.02000000002</v>
      </c>
      <c r="S729" s="79">
        <v>0</v>
      </c>
      <c r="T729" s="79">
        <v>0</v>
      </c>
      <c r="U729" s="54"/>
      <c r="V729" s="54"/>
      <c r="W729" s="54"/>
      <c r="X729" s="54"/>
      <c r="Y729" s="54"/>
      <c r="Z729" s="54"/>
      <c r="AA729" s="54"/>
      <c r="AB729" s="54"/>
      <c r="AC729" s="54"/>
      <c r="AD729" s="54"/>
      <c r="AE729" s="54"/>
    </row>
    <row r="730" s="54" customFormat="1" ht="22.5" customHeight="1">
      <c r="A730" s="33">
        <v>11</v>
      </c>
      <c r="B730" s="50" t="s">
        <v>1307</v>
      </c>
      <c r="C730" s="79">
        <f t="shared" si="286"/>
        <v>7677344.7000000002</v>
      </c>
      <c r="D730" s="79">
        <f t="shared" si="287"/>
        <v>0</v>
      </c>
      <c r="E730" s="79">
        <v>0</v>
      </c>
      <c r="F730" s="79">
        <v>0</v>
      </c>
      <c r="G730" s="79">
        <v>0</v>
      </c>
      <c r="H730" s="79">
        <v>0</v>
      </c>
      <c r="I730" s="92">
        <v>0</v>
      </c>
      <c r="J730" s="398">
        <v>0</v>
      </c>
      <c r="K730" s="79">
        <v>0</v>
      </c>
      <c r="L730" s="79">
        <v>7256462.4000000004</v>
      </c>
      <c r="M730" s="79">
        <v>0</v>
      </c>
      <c r="N730" s="79">
        <v>0</v>
      </c>
      <c r="O730" s="79">
        <v>0</v>
      </c>
      <c r="P730" s="92">
        <v>265594</v>
      </c>
      <c r="Q730" s="79">
        <v>0</v>
      </c>
      <c r="R730" s="79">
        <v>155288.29999999999</v>
      </c>
      <c r="S730" s="92">
        <v>0</v>
      </c>
      <c r="T730" s="79">
        <v>0</v>
      </c>
      <c r="U730" s="110"/>
      <c r="V730" s="110"/>
      <c r="W730" s="110"/>
      <c r="X730" s="110"/>
      <c r="Y730" s="110"/>
      <c r="Z730" s="110"/>
      <c r="AA730" s="110"/>
      <c r="AB730" s="110"/>
      <c r="AC730" s="110"/>
      <c r="AD730" s="110"/>
      <c r="AE730" s="110"/>
    </row>
    <row r="731" s="110" customFormat="1" ht="22.5" customHeight="1">
      <c r="A731" s="33">
        <v>12</v>
      </c>
      <c r="B731" s="50" t="s">
        <v>1308</v>
      </c>
      <c r="C731" s="79">
        <f t="shared" si="286"/>
        <v>25799634.240000002</v>
      </c>
      <c r="D731" s="79">
        <f t="shared" si="287"/>
        <v>0</v>
      </c>
      <c r="E731" s="79">
        <v>0</v>
      </c>
      <c r="F731" s="79">
        <v>0</v>
      </c>
      <c r="G731" s="79">
        <v>0</v>
      </c>
      <c r="H731" s="79">
        <v>0</v>
      </c>
      <c r="I731" s="92">
        <v>0</v>
      </c>
      <c r="J731" s="398">
        <v>0</v>
      </c>
      <c r="K731" s="79">
        <v>0</v>
      </c>
      <c r="L731" s="79">
        <v>0</v>
      </c>
      <c r="M731" s="79">
        <v>0</v>
      </c>
      <c r="N731" s="79">
        <v>0</v>
      </c>
      <c r="O731" s="79">
        <v>0</v>
      </c>
      <c r="P731" s="92">
        <v>350382</v>
      </c>
      <c r="Q731" s="79">
        <v>0</v>
      </c>
      <c r="R731" s="79">
        <v>533203.43999999994</v>
      </c>
      <c r="S731" s="92">
        <v>24916048.800000001</v>
      </c>
      <c r="T731" s="79">
        <v>0</v>
      </c>
      <c r="U731" s="110"/>
      <c r="V731" s="110"/>
      <c r="W731" s="110"/>
      <c r="X731" s="110"/>
      <c r="Y731" s="110"/>
      <c r="Z731" s="110"/>
      <c r="AA731" s="110"/>
      <c r="AB731" s="110"/>
      <c r="AC731" s="110"/>
      <c r="AD731" s="110"/>
      <c r="AE731" s="110"/>
    </row>
    <row r="732" s="110" customFormat="1" ht="22.5" customHeight="1">
      <c r="A732" s="33">
        <v>13</v>
      </c>
      <c r="B732" s="50" t="s">
        <v>1309</v>
      </c>
      <c r="C732" s="79">
        <f t="shared" si="286"/>
        <v>30065524.32</v>
      </c>
      <c r="D732" s="79">
        <f t="shared" si="287"/>
        <v>0</v>
      </c>
      <c r="E732" s="79">
        <v>0</v>
      </c>
      <c r="F732" s="79">
        <v>0</v>
      </c>
      <c r="G732" s="79">
        <v>0</v>
      </c>
      <c r="H732" s="79">
        <v>0</v>
      </c>
      <c r="I732" s="92">
        <v>0</v>
      </c>
      <c r="J732" s="398">
        <v>0</v>
      </c>
      <c r="K732" s="79">
        <v>0</v>
      </c>
      <c r="L732" s="79">
        <v>0</v>
      </c>
      <c r="M732" s="79">
        <v>0</v>
      </c>
      <c r="N732" s="79">
        <v>0</v>
      </c>
      <c r="O732" s="79">
        <v>0</v>
      </c>
      <c r="P732" s="92">
        <v>350382</v>
      </c>
      <c r="Q732" s="79">
        <v>0</v>
      </c>
      <c r="R732" s="79">
        <v>622580.81999999995</v>
      </c>
      <c r="S732" s="92">
        <v>29092561.5</v>
      </c>
      <c r="T732" s="79">
        <v>0</v>
      </c>
      <c r="U732" s="110"/>
      <c r="V732" s="110"/>
      <c r="W732" s="110"/>
      <c r="X732" s="110"/>
      <c r="Y732" s="110"/>
      <c r="Z732" s="110"/>
      <c r="AA732" s="110"/>
      <c r="AB732" s="110"/>
      <c r="AC732" s="110"/>
      <c r="AD732" s="110"/>
      <c r="AE732" s="110"/>
    </row>
    <row r="733" s="110" customFormat="1" ht="22.5" customHeight="1">
      <c r="A733" s="33">
        <v>14</v>
      </c>
      <c r="B733" s="50" t="s">
        <v>1310</v>
      </c>
      <c r="C733" s="79">
        <f t="shared" si="286"/>
        <v>15830553.4</v>
      </c>
      <c r="D733" s="79">
        <f t="shared" si="287"/>
        <v>0</v>
      </c>
      <c r="E733" s="79">
        <v>0</v>
      </c>
      <c r="F733" s="79">
        <v>0</v>
      </c>
      <c r="G733" s="79">
        <v>0</v>
      </c>
      <c r="H733" s="79">
        <v>0</v>
      </c>
      <c r="I733" s="92">
        <v>0</v>
      </c>
      <c r="J733" s="398">
        <v>0</v>
      </c>
      <c r="K733" s="79">
        <v>0</v>
      </c>
      <c r="L733" s="79">
        <v>0</v>
      </c>
      <c r="M733" s="79">
        <v>0</v>
      </c>
      <c r="N733" s="79">
        <v>0</v>
      </c>
      <c r="O733" s="79">
        <v>0</v>
      </c>
      <c r="P733" s="92">
        <v>350382</v>
      </c>
      <c r="Q733" s="79">
        <v>0</v>
      </c>
      <c r="R733" s="79">
        <v>324334.90000000002</v>
      </c>
      <c r="S733" s="92">
        <v>15155836.5</v>
      </c>
      <c r="T733" s="79">
        <v>0</v>
      </c>
      <c r="U733" s="110"/>
      <c r="V733" s="110"/>
      <c r="W733" s="110"/>
      <c r="X733" s="110"/>
      <c r="Y733" s="110"/>
      <c r="Z733" s="110"/>
      <c r="AA733" s="110"/>
      <c r="AB733" s="110"/>
      <c r="AC733" s="110"/>
      <c r="AD733" s="110"/>
      <c r="AE733" s="110"/>
    </row>
    <row r="734" s="110" customFormat="1" ht="22.5" customHeight="1">
      <c r="A734" s="33">
        <v>15</v>
      </c>
      <c r="B734" s="50" t="s">
        <v>1311</v>
      </c>
      <c r="C734" s="79">
        <f t="shared" si="286"/>
        <v>16452290.92</v>
      </c>
      <c r="D734" s="79">
        <f t="shared" si="287"/>
        <v>0</v>
      </c>
      <c r="E734" s="79">
        <v>0</v>
      </c>
      <c r="F734" s="79">
        <v>0</v>
      </c>
      <c r="G734" s="79">
        <v>0</v>
      </c>
      <c r="H734" s="79">
        <v>0</v>
      </c>
      <c r="I734" s="92">
        <v>0</v>
      </c>
      <c r="J734" s="398">
        <v>0</v>
      </c>
      <c r="K734" s="79">
        <v>0</v>
      </c>
      <c r="L734" s="79">
        <v>0</v>
      </c>
      <c r="M734" s="79">
        <v>0</v>
      </c>
      <c r="N734" s="79">
        <v>0</v>
      </c>
      <c r="O734" s="79">
        <v>0</v>
      </c>
      <c r="P734" s="92">
        <v>350382</v>
      </c>
      <c r="Q734" s="79">
        <v>0</v>
      </c>
      <c r="R734" s="79">
        <v>337361.32000000001</v>
      </c>
      <c r="S734" s="92">
        <v>15764547.6</v>
      </c>
      <c r="T734" s="79">
        <v>0</v>
      </c>
      <c r="U734" s="110"/>
      <c r="V734" s="110"/>
      <c r="W734" s="110"/>
      <c r="X734" s="110"/>
      <c r="Y734" s="110"/>
      <c r="Z734" s="110"/>
      <c r="AA734" s="110"/>
      <c r="AB734" s="110"/>
      <c r="AC734" s="110"/>
      <c r="AD734" s="110"/>
      <c r="AE734" s="110"/>
    </row>
    <row r="735" s="110" customFormat="1" ht="22.5" customHeight="1">
      <c r="A735" s="33">
        <v>16</v>
      </c>
      <c r="B735" s="50" t="s">
        <v>1312</v>
      </c>
      <c r="C735" s="79">
        <f t="shared" si="286"/>
        <v>16392475.279999999</v>
      </c>
      <c r="D735" s="79">
        <f t="shared" si="287"/>
        <v>0</v>
      </c>
      <c r="E735" s="79">
        <v>0</v>
      </c>
      <c r="F735" s="79">
        <v>0</v>
      </c>
      <c r="G735" s="79">
        <v>0</v>
      </c>
      <c r="H735" s="79">
        <v>0</v>
      </c>
      <c r="I735" s="92">
        <v>0</v>
      </c>
      <c r="J735" s="398">
        <v>0</v>
      </c>
      <c r="K735" s="79">
        <v>0</v>
      </c>
      <c r="L735" s="79">
        <v>0</v>
      </c>
      <c r="M735" s="79">
        <v>0</v>
      </c>
      <c r="N735" s="79">
        <v>0</v>
      </c>
      <c r="O735" s="79">
        <v>0</v>
      </c>
      <c r="P735" s="92">
        <v>350382</v>
      </c>
      <c r="Q735" s="79">
        <v>0</v>
      </c>
      <c r="R735" s="79">
        <v>336108.08000000002</v>
      </c>
      <c r="S735" s="92">
        <v>15705985.199999999</v>
      </c>
      <c r="T735" s="79">
        <v>0</v>
      </c>
      <c r="U735" s="110"/>
      <c r="V735" s="110"/>
      <c r="W735" s="110"/>
      <c r="X735" s="110"/>
      <c r="Y735" s="110"/>
      <c r="Z735" s="110"/>
      <c r="AA735" s="110"/>
      <c r="AB735" s="110"/>
      <c r="AC735" s="110"/>
      <c r="AD735" s="110"/>
      <c r="AE735" s="110"/>
    </row>
    <row r="736" s="110" customFormat="1" ht="22.5" customHeight="1">
      <c r="A736" s="33">
        <v>17</v>
      </c>
      <c r="B736" s="50" t="s">
        <v>1313</v>
      </c>
      <c r="C736" s="79">
        <f t="shared" si="286"/>
        <v>20342607.82</v>
      </c>
      <c r="D736" s="79">
        <f t="shared" si="287"/>
        <v>0</v>
      </c>
      <c r="E736" s="79">
        <v>0</v>
      </c>
      <c r="F736" s="79">
        <v>0</v>
      </c>
      <c r="G736" s="79">
        <v>0</v>
      </c>
      <c r="H736" s="79">
        <v>0</v>
      </c>
      <c r="I736" s="92">
        <v>0</v>
      </c>
      <c r="J736" s="398">
        <v>0</v>
      </c>
      <c r="K736" s="79">
        <v>0</v>
      </c>
      <c r="L736" s="79">
        <v>0</v>
      </c>
      <c r="M736" s="79">
        <v>0</v>
      </c>
      <c r="N736" s="79">
        <v>0</v>
      </c>
      <c r="O736" s="79">
        <v>0</v>
      </c>
      <c r="P736" s="92">
        <v>350382</v>
      </c>
      <c r="Q736" s="79">
        <v>0</v>
      </c>
      <c r="R736" s="79">
        <v>418869.82000000001</v>
      </c>
      <c r="S736" s="92">
        <v>19573356</v>
      </c>
      <c r="T736" s="79">
        <v>0</v>
      </c>
      <c r="U736" s="110"/>
      <c r="V736" s="110"/>
      <c r="W736" s="110"/>
      <c r="X736" s="110"/>
      <c r="Y736" s="110"/>
      <c r="Z736" s="110"/>
      <c r="AA736" s="110"/>
      <c r="AB736" s="110"/>
      <c r="AC736" s="110"/>
      <c r="AD736" s="110"/>
      <c r="AE736" s="110"/>
    </row>
    <row r="737" s="110" customFormat="1" ht="22.5" customHeight="1">
      <c r="A737" s="33">
        <v>18</v>
      </c>
      <c r="B737" s="50" t="s">
        <v>1314</v>
      </c>
      <c r="C737" s="79">
        <f t="shared" si="286"/>
        <v>20342607.82</v>
      </c>
      <c r="D737" s="79">
        <f t="shared" si="287"/>
        <v>0</v>
      </c>
      <c r="E737" s="79">
        <v>0</v>
      </c>
      <c r="F737" s="79">
        <v>0</v>
      </c>
      <c r="G737" s="79">
        <v>0</v>
      </c>
      <c r="H737" s="79">
        <v>0</v>
      </c>
      <c r="I737" s="92">
        <v>0</v>
      </c>
      <c r="J737" s="398">
        <v>0</v>
      </c>
      <c r="K737" s="79">
        <v>0</v>
      </c>
      <c r="L737" s="79">
        <v>0</v>
      </c>
      <c r="M737" s="79">
        <v>0</v>
      </c>
      <c r="N737" s="79">
        <v>0</v>
      </c>
      <c r="O737" s="79">
        <v>0</v>
      </c>
      <c r="P737" s="92">
        <v>350382</v>
      </c>
      <c r="Q737" s="79">
        <v>0</v>
      </c>
      <c r="R737" s="79">
        <v>418869.82000000001</v>
      </c>
      <c r="S737" s="92">
        <v>19573356</v>
      </c>
      <c r="T737" s="79">
        <v>0</v>
      </c>
      <c r="U737" s="110"/>
      <c r="V737" s="110"/>
      <c r="W737" s="110"/>
      <c r="X737" s="110"/>
      <c r="Y737" s="110"/>
      <c r="Z737" s="110"/>
      <c r="AA737" s="110"/>
      <c r="AB737" s="110"/>
      <c r="AC737" s="110"/>
      <c r="AD737" s="110"/>
      <c r="AE737" s="110"/>
    </row>
    <row r="738" s="110" customFormat="1" ht="22.5" customHeight="1">
      <c r="A738" s="33">
        <v>19</v>
      </c>
      <c r="B738" s="50" t="s">
        <v>1315</v>
      </c>
      <c r="C738" s="79">
        <f t="shared" si="286"/>
        <v>21301958.59</v>
      </c>
      <c r="D738" s="79">
        <f t="shared" si="287"/>
        <v>0</v>
      </c>
      <c r="E738" s="79">
        <v>0</v>
      </c>
      <c r="F738" s="79">
        <v>0</v>
      </c>
      <c r="G738" s="79">
        <v>0</v>
      </c>
      <c r="H738" s="79">
        <v>0</v>
      </c>
      <c r="I738" s="92">
        <v>0</v>
      </c>
      <c r="J738" s="398">
        <v>0</v>
      </c>
      <c r="K738" s="79">
        <v>0</v>
      </c>
      <c r="L738" s="79">
        <v>0</v>
      </c>
      <c r="M738" s="79">
        <v>0</v>
      </c>
      <c r="N738" s="79">
        <v>0</v>
      </c>
      <c r="O738" s="79">
        <v>0</v>
      </c>
      <c r="P738" s="92">
        <v>350382</v>
      </c>
      <c r="Q738" s="79">
        <v>0</v>
      </c>
      <c r="R738" s="79">
        <v>438969.78999999998</v>
      </c>
      <c r="S738" s="92">
        <v>20512606.800000001</v>
      </c>
      <c r="T738" s="79">
        <v>0</v>
      </c>
      <c r="U738" s="110"/>
      <c r="V738" s="110"/>
      <c r="W738" s="110"/>
      <c r="X738" s="110"/>
      <c r="Y738" s="110"/>
      <c r="Z738" s="110"/>
      <c r="AA738" s="110"/>
      <c r="AB738" s="110"/>
      <c r="AC738" s="110"/>
      <c r="AD738" s="110"/>
      <c r="AE738" s="110"/>
    </row>
    <row r="739" s="54" customFormat="1" ht="22.5" customHeight="1">
      <c r="A739" s="33">
        <v>20</v>
      </c>
      <c r="B739" s="50" t="s">
        <v>448</v>
      </c>
      <c r="C739" s="79">
        <f t="shared" si="286"/>
        <v>20694484.380000003</v>
      </c>
      <c r="D739" s="79">
        <f t="shared" si="287"/>
        <v>0</v>
      </c>
      <c r="E739" s="79">
        <v>0</v>
      </c>
      <c r="F739" s="79">
        <v>0</v>
      </c>
      <c r="G739" s="79">
        <v>0</v>
      </c>
      <c r="H739" s="79">
        <v>0</v>
      </c>
      <c r="I739" s="92">
        <v>0</v>
      </c>
      <c r="J739" s="398">
        <v>0</v>
      </c>
      <c r="K739" s="79">
        <v>0</v>
      </c>
      <c r="L739" s="79">
        <v>0</v>
      </c>
      <c r="M739" s="79">
        <v>0</v>
      </c>
      <c r="N739" s="79">
        <v>0</v>
      </c>
      <c r="O739" s="79">
        <v>0</v>
      </c>
      <c r="P739" s="92">
        <v>0</v>
      </c>
      <c r="Q739" s="79">
        <v>0</v>
      </c>
      <c r="R739" s="79">
        <v>433583.28000000003</v>
      </c>
      <c r="S739" s="92">
        <v>20260901.100000001</v>
      </c>
      <c r="T739" s="79">
        <v>0</v>
      </c>
      <c r="U739" s="54"/>
      <c r="V739" s="54"/>
      <c r="W739" s="54"/>
      <c r="X739" s="54"/>
      <c r="Y739" s="54"/>
      <c r="Z739" s="54"/>
      <c r="AA739" s="54"/>
      <c r="AB739" s="54"/>
      <c r="AC739" s="54"/>
      <c r="AD739" s="54"/>
      <c r="AE739" s="54"/>
    </row>
    <row r="740" s="54" customFormat="1" ht="22.5" customHeight="1">
      <c r="A740" s="33">
        <v>21</v>
      </c>
      <c r="B740" s="50" t="s">
        <v>449</v>
      </c>
      <c r="C740" s="79">
        <f t="shared" si="286"/>
        <v>20918217.870000001</v>
      </c>
      <c r="D740" s="79">
        <f t="shared" si="287"/>
        <v>0</v>
      </c>
      <c r="E740" s="92">
        <v>0</v>
      </c>
      <c r="F740" s="92">
        <v>0</v>
      </c>
      <c r="G740" s="92">
        <v>0</v>
      </c>
      <c r="H740" s="92">
        <v>0</v>
      </c>
      <c r="I740" s="92">
        <v>0</v>
      </c>
      <c r="J740" s="401">
        <v>0</v>
      </c>
      <c r="K740" s="92">
        <v>0</v>
      </c>
      <c r="L740" s="92">
        <v>0</v>
      </c>
      <c r="M740" s="92">
        <v>0</v>
      </c>
      <c r="N740" s="92">
        <v>0</v>
      </c>
      <c r="O740" s="92">
        <v>0</v>
      </c>
      <c r="P740" s="92">
        <v>0</v>
      </c>
      <c r="Q740" s="92">
        <v>0</v>
      </c>
      <c r="R740" s="79">
        <v>438270.87</v>
      </c>
      <c r="S740" s="92">
        <v>20479947</v>
      </c>
      <c r="T740" s="79">
        <v>0</v>
      </c>
      <c r="U740" s="54"/>
      <c r="V740" s="54"/>
      <c r="W740" s="54"/>
      <c r="X740" s="54"/>
      <c r="Y740" s="54"/>
      <c r="Z740" s="54"/>
      <c r="AA740" s="54"/>
      <c r="AB740" s="54"/>
      <c r="AC740" s="54"/>
      <c r="AD740" s="54"/>
      <c r="AE740" s="54"/>
    </row>
    <row r="741" s="54" customFormat="1" ht="22.5" customHeight="1">
      <c r="A741" s="33">
        <v>22</v>
      </c>
      <c r="B741" s="50" t="s">
        <v>450</v>
      </c>
      <c r="C741" s="158">
        <f t="shared" si="286"/>
        <v>20929720.870000001</v>
      </c>
      <c r="D741" s="79">
        <f t="shared" si="287"/>
        <v>0</v>
      </c>
      <c r="E741" s="92">
        <v>0</v>
      </c>
      <c r="F741" s="92">
        <v>0</v>
      </c>
      <c r="G741" s="92">
        <v>0</v>
      </c>
      <c r="H741" s="92">
        <v>0</v>
      </c>
      <c r="I741" s="92">
        <v>0</v>
      </c>
      <c r="J741" s="401">
        <v>0</v>
      </c>
      <c r="K741" s="92">
        <v>0</v>
      </c>
      <c r="L741" s="92">
        <v>0</v>
      </c>
      <c r="M741" s="92">
        <v>0</v>
      </c>
      <c r="N741" s="92">
        <v>0</v>
      </c>
      <c r="O741" s="92">
        <v>0</v>
      </c>
      <c r="P741" s="92">
        <v>0</v>
      </c>
      <c r="Q741" s="92">
        <v>0</v>
      </c>
      <c r="R741" s="158">
        <v>438511.87</v>
      </c>
      <c r="S741" s="92">
        <v>20491209</v>
      </c>
      <c r="T741" s="79">
        <v>0</v>
      </c>
      <c r="U741" s="54"/>
      <c r="V741" s="54"/>
      <c r="W741" s="54"/>
      <c r="X741" s="54"/>
      <c r="Y741" s="54"/>
      <c r="Z741" s="54"/>
      <c r="AA741" s="54"/>
      <c r="AB741" s="54"/>
      <c r="AC741" s="54"/>
      <c r="AD741" s="54"/>
      <c r="AE741" s="54"/>
    </row>
    <row r="742" s="110" customFormat="1" ht="22.5" customHeight="1">
      <c r="A742" s="33">
        <v>23</v>
      </c>
      <c r="B742" s="50" t="s">
        <v>1316</v>
      </c>
      <c r="C742" s="79">
        <f t="shared" si="286"/>
        <v>8413733.2400000002</v>
      </c>
      <c r="D742" s="79">
        <f t="shared" si="287"/>
        <v>0</v>
      </c>
      <c r="E742" s="92">
        <v>0</v>
      </c>
      <c r="F742" s="92">
        <v>0</v>
      </c>
      <c r="G742" s="92">
        <v>0</v>
      </c>
      <c r="H742" s="92">
        <v>0</v>
      </c>
      <c r="I742" s="92">
        <v>0</v>
      </c>
      <c r="J742" s="401">
        <v>0</v>
      </c>
      <c r="K742" s="92">
        <v>0</v>
      </c>
      <c r="L742" s="92">
        <v>7977422.4000000004</v>
      </c>
      <c r="M742" s="92">
        <v>0</v>
      </c>
      <c r="N742" s="92">
        <v>0</v>
      </c>
      <c r="O742" s="92">
        <v>0</v>
      </c>
      <c r="P742" s="92">
        <v>265594</v>
      </c>
      <c r="Q742" s="92">
        <v>0</v>
      </c>
      <c r="R742" s="79">
        <v>170716.84</v>
      </c>
      <c r="S742" s="92">
        <v>0</v>
      </c>
      <c r="T742" s="79">
        <v>0</v>
      </c>
      <c r="U742" s="110"/>
      <c r="V742" s="110"/>
      <c r="W742" s="110"/>
      <c r="X742" s="110"/>
      <c r="Y742" s="110"/>
      <c r="Z742" s="110"/>
      <c r="AA742" s="110"/>
      <c r="AB742" s="110"/>
      <c r="AC742" s="110"/>
      <c r="AD742" s="110"/>
      <c r="AE742" s="110"/>
    </row>
    <row r="743" s="110" customFormat="1" ht="32.25" customHeight="1">
      <c r="A743" s="166" t="s">
        <v>451</v>
      </c>
      <c r="B743" s="151"/>
      <c r="C743" s="441">
        <f>SUM(C744:C749)</f>
        <v>35065782.097039998</v>
      </c>
      <c r="D743" s="442">
        <f>SUM(D744:D749)</f>
        <v>1404634.7</v>
      </c>
      <c r="E743" s="441">
        <f>SUM(E744:E749)</f>
        <v>1404634.7</v>
      </c>
      <c r="F743" s="442">
        <f>SUM(F744:F749)</f>
        <v>0</v>
      </c>
      <c r="G743" s="441">
        <f>SUM(G744:G749)</f>
        <v>0</v>
      </c>
      <c r="H743" s="442">
        <f>SUM(H744:H749)</f>
        <v>0</v>
      </c>
      <c r="I743" s="441">
        <f>SUM(I744:I749)</f>
        <v>0</v>
      </c>
      <c r="J743" s="443">
        <f>SUM(J744:J749)</f>
        <v>0</v>
      </c>
      <c r="K743" s="441">
        <f>SUM(K744:K749)</f>
        <v>0</v>
      </c>
      <c r="L743" s="442">
        <f>SUM(L744:L749)</f>
        <v>30966218.149999999</v>
      </c>
      <c r="M743" s="441">
        <f>SUM(M744:M749)</f>
        <v>0</v>
      </c>
      <c r="N743" s="442">
        <f>SUM(N744:N749)</f>
        <v>0</v>
      </c>
      <c r="O743" s="441">
        <f>SUM(O744:O749)</f>
        <v>0</v>
      </c>
      <c r="P743" s="442">
        <f>SUM(P744:P749)</f>
        <v>0</v>
      </c>
      <c r="Q743" s="441">
        <f>SUM(Q744:Q749)</f>
        <v>2002193</v>
      </c>
      <c r="R743" s="442">
        <f>SUM(R744:R749)</f>
        <v>692736.24704000005</v>
      </c>
      <c r="S743" s="441">
        <f>SUM(S744:S749)</f>
        <v>0</v>
      </c>
      <c r="T743" s="442">
        <f>SUM(T744:T749)</f>
        <v>0</v>
      </c>
      <c r="U743" s="399"/>
      <c r="V743" s="399"/>
      <c r="W743" s="399"/>
      <c r="X743" s="399"/>
      <c r="Y743" s="399"/>
      <c r="Z743" s="399"/>
      <c r="AA743" s="399"/>
      <c r="AB743" s="399"/>
      <c r="AC743" s="399"/>
      <c r="AD743" s="399"/>
      <c r="AE743" s="399"/>
      <c r="AF743" s="399"/>
      <c r="AG743" s="399"/>
      <c r="AH743" s="399"/>
      <c r="AI743" s="399"/>
    </row>
    <row r="744" s="110" customFormat="1" ht="22.5" customHeight="1">
      <c r="A744" s="170">
        <v>1</v>
      </c>
      <c r="B744" s="171" t="s">
        <v>1317</v>
      </c>
      <c r="C744" s="444">
        <f t="shared" ref="C744:C749" si="288">D744+K744+L744+M744+N744+O744+P744+Q744+R744+S744+T744</f>
        <v>7268010.7000000002</v>
      </c>
      <c r="D744" s="339">
        <v>0</v>
      </c>
      <c r="E744" s="445">
        <v>0</v>
      </c>
      <c r="F744" s="445">
        <v>0</v>
      </c>
      <c r="G744" s="339">
        <v>0</v>
      </c>
      <c r="H744" s="445">
        <v>0</v>
      </c>
      <c r="I744" s="339">
        <v>0</v>
      </c>
      <c r="J744" s="340">
        <v>0</v>
      </c>
      <c r="K744" s="445">
        <v>0</v>
      </c>
      <c r="L744" s="445">
        <v>6772693.0700000003</v>
      </c>
      <c r="M744" s="339">
        <v>0</v>
      </c>
      <c r="N744" s="339">
        <v>0</v>
      </c>
      <c r="O744" s="339">
        <v>0</v>
      </c>
      <c r="P744" s="445">
        <v>0</v>
      </c>
      <c r="Q744" s="339">
        <v>350382</v>
      </c>
      <c r="R744" s="339">
        <v>144935.63</v>
      </c>
      <c r="S744" s="339">
        <v>0</v>
      </c>
      <c r="T744" s="339">
        <v>0</v>
      </c>
      <c r="U744" s="446"/>
      <c r="V744" s="446"/>
      <c r="W744" s="446"/>
      <c r="X744" s="110"/>
      <c r="Y744" s="110"/>
      <c r="Z744" s="110"/>
      <c r="AA744" s="110"/>
      <c r="AB744" s="110"/>
      <c r="AC744" s="110"/>
      <c r="AD744" s="110"/>
      <c r="AE744" s="110"/>
      <c r="AF744" s="110"/>
      <c r="AG744" s="110"/>
      <c r="AH744" s="110"/>
      <c r="AI744" s="110"/>
    </row>
    <row r="745" s="110" customFormat="1" ht="22.5" customHeight="1">
      <c r="A745" s="170">
        <v>2</v>
      </c>
      <c r="B745" s="171" t="s">
        <v>1318</v>
      </c>
      <c r="C745" s="444">
        <f t="shared" si="288"/>
        <v>1700287.8799999999</v>
      </c>
      <c r="D745" s="339">
        <v>1404634.7</v>
      </c>
      <c r="E745" s="445">
        <v>1404634.7</v>
      </c>
      <c r="F745" s="445">
        <v>0</v>
      </c>
      <c r="G745" s="339">
        <v>0</v>
      </c>
      <c r="H745" s="445">
        <v>0</v>
      </c>
      <c r="I745" s="339">
        <v>0</v>
      </c>
      <c r="J745" s="340">
        <v>0</v>
      </c>
      <c r="K745" s="445">
        <v>0</v>
      </c>
      <c r="L745" s="445">
        <v>0</v>
      </c>
      <c r="M745" s="339">
        <v>0</v>
      </c>
      <c r="N745" s="339">
        <v>0</v>
      </c>
      <c r="O745" s="339">
        <v>0</v>
      </c>
      <c r="P745" s="445">
        <v>0</v>
      </c>
      <c r="Q745" s="339">
        <v>265594</v>
      </c>
      <c r="R745" s="339">
        <v>30059.18</v>
      </c>
      <c r="S745" s="339">
        <v>0</v>
      </c>
      <c r="T745" s="339">
        <v>0</v>
      </c>
      <c r="U745" s="446"/>
      <c r="V745" s="446"/>
      <c r="W745" s="446"/>
      <c r="X745" s="110"/>
      <c r="Y745" s="110"/>
      <c r="Z745" s="110"/>
      <c r="AA745" s="110"/>
      <c r="AB745" s="110"/>
      <c r="AC745" s="110"/>
      <c r="AD745" s="110"/>
      <c r="AE745" s="110"/>
      <c r="AF745" s="110"/>
      <c r="AG745" s="110"/>
      <c r="AH745" s="110"/>
      <c r="AI745" s="110"/>
    </row>
    <row r="746" s="110" customFormat="1" ht="22.5" customHeight="1">
      <c r="A746" s="170">
        <v>3</v>
      </c>
      <c r="B746" s="171" t="s">
        <v>1319</v>
      </c>
      <c r="C746" s="444">
        <f t="shared" si="288"/>
        <v>11570078.639999999</v>
      </c>
      <c r="D746" s="339">
        <v>0</v>
      </c>
      <c r="E746" s="445">
        <v>0</v>
      </c>
      <c r="F746" s="445">
        <v>0</v>
      </c>
      <c r="G746" s="339">
        <v>0</v>
      </c>
      <c r="H746" s="445">
        <v>0</v>
      </c>
      <c r="I746" s="339">
        <v>0</v>
      </c>
      <c r="J746" s="340">
        <v>0</v>
      </c>
      <c r="K746" s="445">
        <v>0</v>
      </c>
      <c r="L746" s="445">
        <v>11067637.199999999</v>
      </c>
      <c r="M746" s="339">
        <v>0</v>
      </c>
      <c r="N746" s="339">
        <v>0</v>
      </c>
      <c r="O746" s="339">
        <v>0</v>
      </c>
      <c r="P746" s="445">
        <v>0</v>
      </c>
      <c r="Q746" s="339">
        <v>265594</v>
      </c>
      <c r="R746" s="339">
        <v>236847.44</v>
      </c>
      <c r="S746" s="339">
        <v>0</v>
      </c>
      <c r="T746" s="339">
        <v>0</v>
      </c>
      <c r="U746" s="446"/>
      <c r="V746" s="446"/>
      <c r="W746" s="446"/>
      <c r="X746" s="110"/>
      <c r="Y746" s="110"/>
      <c r="Z746" s="110"/>
      <c r="AA746" s="110"/>
      <c r="AB746" s="110"/>
      <c r="AC746" s="110"/>
      <c r="AD746" s="110"/>
      <c r="AE746" s="110"/>
      <c r="AF746" s="110"/>
      <c r="AG746" s="110"/>
      <c r="AH746" s="110"/>
      <c r="AI746" s="110"/>
    </row>
    <row r="747" s="110" customFormat="1" ht="22.5" customHeight="1">
      <c r="A747" s="170">
        <v>4</v>
      </c>
      <c r="B747" s="171" t="s">
        <v>1320</v>
      </c>
      <c r="C747" s="444">
        <f t="shared" si="288"/>
        <v>7111153.9500000002</v>
      </c>
      <c r="D747" s="339">
        <v>0</v>
      </c>
      <c r="E747" s="445">
        <v>0</v>
      </c>
      <c r="F747" s="445">
        <v>0</v>
      </c>
      <c r="G747" s="339">
        <v>0</v>
      </c>
      <c r="H747" s="445">
        <v>0</v>
      </c>
      <c r="I747" s="339">
        <v>0</v>
      </c>
      <c r="J747" s="340">
        <v>0</v>
      </c>
      <c r="K747" s="445">
        <v>0</v>
      </c>
      <c r="L747" s="445">
        <v>6702134.2800000003</v>
      </c>
      <c r="M747" s="339">
        <v>0</v>
      </c>
      <c r="N747" s="339">
        <v>0</v>
      </c>
      <c r="O747" s="339">
        <v>0</v>
      </c>
      <c r="P747" s="445">
        <v>0</v>
      </c>
      <c r="Q747" s="339">
        <v>265594</v>
      </c>
      <c r="R747" s="339">
        <v>143425.67000000001</v>
      </c>
      <c r="S747" s="339">
        <v>0</v>
      </c>
      <c r="T747" s="339">
        <v>0</v>
      </c>
      <c r="U747" s="446"/>
      <c r="V747" s="446"/>
      <c r="W747" s="446"/>
      <c r="X747" s="110"/>
      <c r="Y747" s="110"/>
      <c r="Z747" s="110"/>
      <c r="AA747" s="110"/>
      <c r="AB747" s="110"/>
      <c r="AC747" s="110"/>
      <c r="AD747" s="110"/>
      <c r="AE747" s="110"/>
      <c r="AF747" s="110"/>
      <c r="AG747" s="110"/>
      <c r="AH747" s="110"/>
      <c r="AI747" s="110"/>
    </row>
    <row r="748" s="110" customFormat="1" ht="22.5" customHeight="1">
      <c r="A748" s="170">
        <v>5</v>
      </c>
      <c r="B748" s="171" t="s">
        <v>1321</v>
      </c>
      <c r="C748" s="444">
        <f t="shared" si="288"/>
        <v>6826815.9270399995</v>
      </c>
      <c r="D748" s="339">
        <v>0</v>
      </c>
      <c r="E748" s="445">
        <v>0</v>
      </c>
      <c r="F748" s="445">
        <v>0</v>
      </c>
      <c r="G748" s="339">
        <v>0</v>
      </c>
      <c r="H748" s="445">
        <v>0</v>
      </c>
      <c r="I748" s="339">
        <v>0</v>
      </c>
      <c r="J748" s="340">
        <v>0</v>
      </c>
      <c r="K748" s="445">
        <v>0</v>
      </c>
      <c r="L748" s="445">
        <v>6423753.5999999996</v>
      </c>
      <c r="M748" s="339">
        <v>0</v>
      </c>
      <c r="N748" s="339">
        <v>0</v>
      </c>
      <c r="O748" s="339">
        <v>0</v>
      </c>
      <c r="P748" s="445">
        <v>0</v>
      </c>
      <c r="Q748" s="339">
        <v>265594</v>
      </c>
      <c r="R748" s="339">
        <v>137468.32704</v>
      </c>
      <c r="S748" s="339">
        <v>0</v>
      </c>
      <c r="T748" s="339">
        <v>0</v>
      </c>
      <c r="U748" s="446"/>
      <c r="V748" s="446"/>
      <c r="W748" s="446"/>
      <c r="X748" s="110"/>
      <c r="Y748" s="110"/>
      <c r="Z748" s="110"/>
      <c r="AA748" s="110"/>
      <c r="AB748" s="110"/>
      <c r="AC748" s="110"/>
      <c r="AD748" s="110"/>
      <c r="AE748" s="110"/>
      <c r="AF748" s="110"/>
      <c r="AG748" s="110"/>
      <c r="AH748" s="110"/>
      <c r="AI748" s="110"/>
    </row>
    <row r="749" s="110" customFormat="1" ht="22.5" customHeight="1">
      <c r="A749" s="170">
        <v>6</v>
      </c>
      <c r="B749" s="171" t="s">
        <v>1322</v>
      </c>
      <c r="C749" s="215">
        <f t="shared" si="288"/>
        <v>589435</v>
      </c>
      <c r="D749" s="447">
        <v>0</v>
      </c>
      <c r="E749" s="445">
        <v>0</v>
      </c>
      <c r="F749" s="445">
        <v>0</v>
      </c>
      <c r="G749" s="339">
        <v>0</v>
      </c>
      <c r="H749" s="445">
        <v>0</v>
      </c>
      <c r="I749" s="339">
        <v>0</v>
      </c>
      <c r="J749" s="340">
        <v>0</v>
      </c>
      <c r="K749" s="445">
        <v>0</v>
      </c>
      <c r="L749" s="445">
        <v>0</v>
      </c>
      <c r="M749" s="339">
        <v>0</v>
      </c>
      <c r="N749" s="339">
        <v>0</v>
      </c>
      <c r="O749" s="339">
        <v>0</v>
      </c>
      <c r="P749" s="445">
        <v>0</v>
      </c>
      <c r="Q749" s="339">
        <v>589435</v>
      </c>
      <c r="R749" s="339">
        <v>0</v>
      </c>
      <c r="S749" s="339">
        <v>0</v>
      </c>
      <c r="T749" s="339">
        <v>0</v>
      </c>
      <c r="U749" s="446"/>
      <c r="V749" s="446"/>
      <c r="W749" s="446"/>
      <c r="X749" s="110"/>
      <c r="Y749" s="110"/>
      <c r="Z749" s="110"/>
      <c r="AA749" s="110"/>
      <c r="AB749" s="110"/>
      <c r="AC749" s="110"/>
      <c r="AD749" s="110"/>
      <c r="AE749" s="110"/>
      <c r="AF749" s="110"/>
      <c r="AG749" s="110"/>
      <c r="AH749" s="110"/>
      <c r="AI749" s="110"/>
    </row>
    <row r="750" s="31" customFormat="1" ht="24.600000000000001" customHeight="1">
      <c r="A750" s="202" t="s">
        <v>464</v>
      </c>
      <c r="B750" s="202"/>
      <c r="C750" s="448">
        <f>SUM(C751:C758)</f>
        <v>32736579.219999999</v>
      </c>
      <c r="D750" s="448">
        <f>SUM(D751:D758)</f>
        <v>11006293.299999999</v>
      </c>
      <c r="E750" s="448">
        <f>SUM(E751:E758)</f>
        <v>3330485.2000000002</v>
      </c>
      <c r="F750" s="448">
        <f>SUM(F751:F758)</f>
        <v>5809854.75</v>
      </c>
      <c r="G750" s="448">
        <f>SUM(G751:G758)</f>
        <v>1865953.3499999999</v>
      </c>
      <c r="H750" s="448">
        <f>SUM(H751:H758)</f>
        <v>0</v>
      </c>
      <c r="I750" s="448">
        <f>SUM(I751:I758)</f>
        <v>0</v>
      </c>
      <c r="J750" s="449">
        <f>SUM(J751:J758)</f>
        <v>0</v>
      </c>
      <c r="K750" s="448">
        <f>SUM(K751:K758)</f>
        <v>0</v>
      </c>
      <c r="L750" s="448">
        <f>SUM(L751:L758)</f>
        <v>16906962.600000001</v>
      </c>
      <c r="M750" s="448">
        <f>SUM(M751:M758)</f>
        <v>0</v>
      </c>
      <c r="N750" s="448">
        <f>SUM(N751:N758)</f>
        <v>0</v>
      </c>
      <c r="O750" s="448">
        <f>SUM(O751:O758)</f>
        <v>0</v>
      </c>
      <c r="P750" s="448">
        <f>SUM(P751:P758)</f>
        <v>4249504</v>
      </c>
      <c r="Q750" s="448">
        <f>SUM(Q751:Q758)</f>
        <v>0</v>
      </c>
      <c r="R750" s="448">
        <f>SUM(R751:R758)</f>
        <v>573819.32000000007</v>
      </c>
      <c r="S750" s="448">
        <f>SUM(S751:S758)</f>
        <v>0</v>
      </c>
      <c r="T750" s="448">
        <f>SUM(T751:T758)</f>
        <v>0</v>
      </c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</row>
    <row r="751" s="60" customFormat="1" ht="24.600000000000001" customHeight="1">
      <c r="A751" s="33">
        <v>1</v>
      </c>
      <c r="B751" s="52" t="s">
        <v>1323</v>
      </c>
      <c r="C751" s="79">
        <f t="shared" ref="C751:C758" si="289">D751+K751+L751+M751+N751+O751+P751+Q751+R751+S751+T751</f>
        <v>9820138.75</v>
      </c>
      <c r="D751" s="79">
        <f t="shared" ref="D751:D758" si="290">SUM(E751:I751)</f>
        <v>2811526.8999999999</v>
      </c>
      <c r="E751" s="40">
        <v>0</v>
      </c>
      <c r="F751" s="40">
        <v>2128057.75</v>
      </c>
      <c r="G751" s="40">
        <v>683469.15000000002</v>
      </c>
      <c r="H751" s="40">
        <v>0</v>
      </c>
      <c r="I751" s="40">
        <v>0</v>
      </c>
      <c r="J751" s="48">
        <v>0</v>
      </c>
      <c r="K751" s="40">
        <v>0</v>
      </c>
      <c r="L751" s="40">
        <v>6601740.5999999996</v>
      </c>
      <c r="M751" s="40">
        <v>0</v>
      </c>
      <c r="N751" s="40">
        <v>0</v>
      </c>
      <c r="O751" s="40">
        <v>0</v>
      </c>
      <c r="P751" s="87">
        <v>265594</v>
      </c>
      <c r="Q751" s="40">
        <v>0</v>
      </c>
      <c r="R751" s="37">
        <v>141277.25</v>
      </c>
      <c r="S751" s="40">
        <v>0</v>
      </c>
      <c r="T751" s="40">
        <v>0</v>
      </c>
      <c r="U751" s="60"/>
      <c r="V751" s="60"/>
      <c r="W751" s="60"/>
      <c r="X751" s="60"/>
      <c r="Y751" s="60"/>
      <c r="Z751" s="60"/>
      <c r="AA751" s="60"/>
      <c r="AB751" s="60"/>
      <c r="AC751" s="60"/>
      <c r="AD751" s="60"/>
      <c r="AE751" s="60"/>
      <c r="AF751" s="60"/>
      <c r="AG751" s="60"/>
      <c r="AH751" s="60"/>
      <c r="AI751" s="60"/>
    </row>
    <row r="752" s="54" customFormat="1" ht="22.5" customHeight="1">
      <c r="A752" s="33">
        <v>2</v>
      </c>
      <c r="B752" s="52" t="s">
        <v>1324</v>
      </c>
      <c r="C752" s="79">
        <f t="shared" si="289"/>
        <v>2323576.0800000001</v>
      </c>
      <c r="D752" s="79">
        <f t="shared" si="290"/>
        <v>974746.5</v>
      </c>
      <c r="E752" s="92">
        <v>974746.5</v>
      </c>
      <c r="F752" s="92">
        <v>0</v>
      </c>
      <c r="G752" s="92">
        <v>0</v>
      </c>
      <c r="H752" s="92">
        <v>0</v>
      </c>
      <c r="I752" s="92">
        <v>0</v>
      </c>
      <c r="J752" s="401">
        <v>0</v>
      </c>
      <c r="K752" s="92">
        <v>0</v>
      </c>
      <c r="L752" s="92">
        <v>0</v>
      </c>
      <c r="M752" s="92">
        <v>0</v>
      </c>
      <c r="N752" s="92">
        <v>0</v>
      </c>
      <c r="O752" s="92">
        <v>0</v>
      </c>
      <c r="P752" s="92">
        <f>265594+265594+265594+265594+265594</f>
        <v>1327970</v>
      </c>
      <c r="Q752" s="92">
        <v>0</v>
      </c>
      <c r="R752" s="56">
        <v>20859.580000000002</v>
      </c>
      <c r="S752" s="92">
        <v>0</v>
      </c>
      <c r="T752" s="92">
        <v>0</v>
      </c>
      <c r="U752" s="54"/>
      <c r="V752" s="54"/>
      <c r="W752" s="54"/>
      <c r="X752" s="54"/>
      <c r="Y752" s="54"/>
      <c r="Z752" s="54"/>
      <c r="AA752" s="54"/>
      <c r="AB752" s="54"/>
      <c r="AC752" s="54"/>
      <c r="AD752" s="54"/>
      <c r="AE752" s="54"/>
      <c r="AF752" s="54"/>
      <c r="AG752" s="54"/>
      <c r="AH752" s="54"/>
      <c r="AI752" s="54"/>
    </row>
    <row r="753" s="54" customFormat="1" ht="33" customHeight="1">
      <c r="A753" s="33">
        <v>3</v>
      </c>
      <c r="B753" s="52" t="s">
        <v>468</v>
      </c>
      <c r="C753" s="158">
        <f t="shared" si="289"/>
        <v>10525753.75</v>
      </c>
      <c r="D753" s="79">
        <f t="shared" si="290"/>
        <v>0</v>
      </c>
      <c r="E753" s="158">
        <v>0</v>
      </c>
      <c r="F753" s="79">
        <v>0</v>
      </c>
      <c r="G753" s="158">
        <v>0</v>
      </c>
      <c r="H753" s="79">
        <v>0</v>
      </c>
      <c r="I753" s="158">
        <v>0</v>
      </c>
      <c r="J753" s="398">
        <v>0</v>
      </c>
      <c r="K753" s="158">
        <v>0</v>
      </c>
      <c r="L753" s="79">
        <v>10305222</v>
      </c>
      <c r="M753" s="158">
        <v>0</v>
      </c>
      <c r="N753" s="79">
        <v>0</v>
      </c>
      <c r="O753" s="158">
        <v>0</v>
      </c>
      <c r="P753" s="92">
        <v>0</v>
      </c>
      <c r="Q753" s="158">
        <v>0</v>
      </c>
      <c r="R753" s="56">
        <v>220531.75</v>
      </c>
      <c r="S753" s="158">
        <v>0</v>
      </c>
      <c r="T753" s="79">
        <v>0</v>
      </c>
      <c r="U753" s="54"/>
      <c r="V753" s="54"/>
      <c r="W753" s="54"/>
      <c r="X753" s="54"/>
      <c r="Y753" s="54"/>
      <c r="Z753" s="54"/>
      <c r="AA753" s="54"/>
      <c r="AB753" s="54"/>
      <c r="AC753" s="54"/>
      <c r="AD753" s="54"/>
      <c r="AE753" s="54"/>
      <c r="AF753" s="54"/>
      <c r="AG753" s="54"/>
      <c r="AH753" s="54"/>
      <c r="AI753" s="54"/>
    </row>
    <row r="754" s="54" customFormat="1" ht="24.75" customHeight="1">
      <c r="A754" s="33">
        <v>4</v>
      </c>
      <c r="B754" s="52" t="s">
        <v>1325</v>
      </c>
      <c r="C754" s="79">
        <f t="shared" si="289"/>
        <v>1191751.5899999999</v>
      </c>
      <c r="D754" s="79">
        <f t="shared" si="290"/>
        <v>646723.69999999995</v>
      </c>
      <c r="E754" s="79">
        <v>646723.69999999995</v>
      </c>
      <c r="F754" s="79">
        <v>0</v>
      </c>
      <c r="G754" s="79">
        <v>0</v>
      </c>
      <c r="H754" s="79">
        <v>0</v>
      </c>
      <c r="I754" s="79">
        <v>0</v>
      </c>
      <c r="J754" s="398">
        <v>0</v>
      </c>
      <c r="K754" s="79">
        <v>0</v>
      </c>
      <c r="L754" s="79">
        <v>0</v>
      </c>
      <c r="M754" s="79">
        <v>0</v>
      </c>
      <c r="N754" s="79">
        <v>0</v>
      </c>
      <c r="O754" s="79">
        <v>0</v>
      </c>
      <c r="P754" s="92">
        <f t="shared" ref="P754:P758" si="291">265594+265594</f>
        <v>531188</v>
      </c>
      <c r="Q754" s="79">
        <v>0</v>
      </c>
      <c r="R754" s="56">
        <v>13839.889999999999</v>
      </c>
      <c r="S754" s="79">
        <v>0</v>
      </c>
      <c r="T754" s="79">
        <v>0</v>
      </c>
      <c r="U754" s="110"/>
      <c r="V754" s="110"/>
      <c r="W754" s="110"/>
      <c r="X754" s="110"/>
      <c r="Y754" s="110"/>
      <c r="Z754" s="110"/>
      <c r="AA754" s="110"/>
      <c r="AB754" s="110"/>
      <c r="AC754" s="110"/>
      <c r="AD754" s="110"/>
      <c r="AE754" s="110"/>
      <c r="AF754" s="54"/>
      <c r="AG754" s="54"/>
      <c r="AH754" s="54"/>
      <c r="AI754" s="54"/>
    </row>
    <row r="755" s="54" customFormat="1" ht="24.75" customHeight="1">
      <c r="A755" s="33">
        <v>5</v>
      </c>
      <c r="B755" s="52" t="s">
        <v>1326</v>
      </c>
      <c r="C755" s="158">
        <f t="shared" si="289"/>
        <v>1410605.54</v>
      </c>
      <c r="D755" s="79">
        <f t="shared" si="290"/>
        <v>860992.30000000005</v>
      </c>
      <c r="E755" s="158">
        <v>860992.30000000005</v>
      </c>
      <c r="F755" s="79">
        <v>0</v>
      </c>
      <c r="G755" s="158">
        <v>0</v>
      </c>
      <c r="H755" s="79">
        <v>0</v>
      </c>
      <c r="I755" s="158">
        <v>0</v>
      </c>
      <c r="J755" s="398">
        <v>0</v>
      </c>
      <c r="K755" s="158">
        <v>0</v>
      </c>
      <c r="L755" s="79">
        <v>0</v>
      </c>
      <c r="M755" s="158">
        <v>0</v>
      </c>
      <c r="N755" s="79">
        <v>0</v>
      </c>
      <c r="O755" s="158">
        <v>0</v>
      </c>
      <c r="P755" s="92">
        <f t="shared" si="291"/>
        <v>531188</v>
      </c>
      <c r="Q755" s="158">
        <v>0</v>
      </c>
      <c r="R755" s="56">
        <v>18425.240000000002</v>
      </c>
      <c r="S755" s="158">
        <v>0</v>
      </c>
      <c r="T755" s="79">
        <v>0</v>
      </c>
      <c r="U755" s="110"/>
      <c r="V755" s="110"/>
      <c r="W755" s="110"/>
      <c r="X755" s="110"/>
      <c r="Y755" s="110"/>
      <c r="Z755" s="110"/>
      <c r="AA755" s="110"/>
      <c r="AB755" s="110"/>
      <c r="AC755" s="110"/>
      <c r="AD755" s="110"/>
      <c r="AE755" s="110"/>
      <c r="AF755" s="54"/>
      <c r="AG755" s="54"/>
      <c r="AH755" s="54"/>
      <c r="AI755" s="54"/>
    </row>
    <row r="756" s="110" customFormat="1" ht="25.5" customHeight="1">
      <c r="A756" s="33">
        <v>6</v>
      </c>
      <c r="B756" s="52" t="s">
        <v>1327</v>
      </c>
      <c r="C756" s="79">
        <f t="shared" si="289"/>
        <v>1397358.3899999999</v>
      </c>
      <c r="D756" s="79">
        <f t="shared" si="290"/>
        <v>848022.69999999995</v>
      </c>
      <c r="E756" s="79">
        <v>848022.69999999995</v>
      </c>
      <c r="F756" s="79">
        <v>0</v>
      </c>
      <c r="G756" s="79">
        <v>0</v>
      </c>
      <c r="H756" s="79">
        <v>0</v>
      </c>
      <c r="I756" s="79">
        <v>0</v>
      </c>
      <c r="J756" s="398">
        <v>0</v>
      </c>
      <c r="K756" s="79">
        <v>0</v>
      </c>
      <c r="L756" s="79">
        <v>0</v>
      </c>
      <c r="M756" s="79">
        <v>0</v>
      </c>
      <c r="N756" s="79">
        <v>0</v>
      </c>
      <c r="O756" s="79">
        <v>0</v>
      </c>
      <c r="P756" s="92">
        <f t="shared" si="291"/>
        <v>531188</v>
      </c>
      <c r="Q756" s="79">
        <v>0</v>
      </c>
      <c r="R756" s="56">
        <v>18147.689999999999</v>
      </c>
      <c r="S756" s="79">
        <v>0</v>
      </c>
      <c r="T756" s="79">
        <v>0</v>
      </c>
      <c r="U756" s="110"/>
      <c r="V756" s="110"/>
      <c r="W756" s="110"/>
      <c r="X756" s="110"/>
      <c r="Y756" s="110"/>
      <c r="Z756" s="110"/>
      <c r="AA756" s="110"/>
      <c r="AB756" s="110"/>
      <c r="AC756" s="110"/>
      <c r="AD756" s="110"/>
      <c r="AE756" s="110"/>
    </row>
    <row r="757" s="110" customFormat="1" ht="25.5" customHeight="1">
      <c r="A757" s="33">
        <v>7</v>
      </c>
      <c r="B757" s="52" t="s">
        <v>1328</v>
      </c>
      <c r="C757" s="158">
        <f t="shared" si="289"/>
        <v>3026233.8600000003</v>
      </c>
      <c r="D757" s="79">
        <f t="shared" si="290"/>
        <v>2424886.7800000003</v>
      </c>
      <c r="E757" s="158">
        <v>0</v>
      </c>
      <c r="F757" s="79">
        <v>1835408.05</v>
      </c>
      <c r="G757" s="158">
        <v>589478.72999999998</v>
      </c>
      <c r="H757" s="79">
        <v>0</v>
      </c>
      <c r="I757" s="158">
        <v>0</v>
      </c>
      <c r="J757" s="398">
        <v>0</v>
      </c>
      <c r="K757" s="158">
        <v>0</v>
      </c>
      <c r="L757" s="79">
        <v>0</v>
      </c>
      <c r="M757" s="158">
        <v>0</v>
      </c>
      <c r="N757" s="79">
        <v>0</v>
      </c>
      <c r="O757" s="158">
        <v>0</v>
      </c>
      <c r="P757" s="92">
        <f t="shared" si="291"/>
        <v>531188</v>
      </c>
      <c r="Q757" s="158">
        <v>0</v>
      </c>
      <c r="R757" s="56">
        <v>70159.080000000002</v>
      </c>
      <c r="S757" s="158">
        <v>0</v>
      </c>
      <c r="T757" s="79">
        <v>0</v>
      </c>
      <c r="U757" s="110"/>
      <c r="V757" s="110"/>
      <c r="W757" s="110"/>
      <c r="X757" s="110"/>
      <c r="Y757" s="110"/>
      <c r="Z757" s="110"/>
      <c r="AA757" s="110"/>
      <c r="AB757" s="110"/>
      <c r="AC757" s="110"/>
      <c r="AD757" s="110"/>
      <c r="AE757" s="110"/>
    </row>
    <row r="758" s="110" customFormat="1" ht="25.5" customHeight="1">
      <c r="A758" s="33">
        <v>8</v>
      </c>
      <c r="B758" s="52" t="s">
        <v>1329</v>
      </c>
      <c r="C758" s="79">
        <f t="shared" si="289"/>
        <v>3041161.2599999998</v>
      </c>
      <c r="D758" s="158">
        <f t="shared" si="290"/>
        <v>2439394.4199999999</v>
      </c>
      <c r="E758" s="79">
        <v>0</v>
      </c>
      <c r="F758" s="158">
        <v>1846388.95</v>
      </c>
      <c r="G758" s="79">
        <v>593005.46999999997</v>
      </c>
      <c r="H758" s="158">
        <v>0</v>
      </c>
      <c r="I758" s="79">
        <v>0</v>
      </c>
      <c r="J758" s="345">
        <v>0</v>
      </c>
      <c r="K758" s="79">
        <v>0</v>
      </c>
      <c r="L758" s="158">
        <v>0</v>
      </c>
      <c r="M758" s="79">
        <v>0</v>
      </c>
      <c r="N758" s="158">
        <v>0</v>
      </c>
      <c r="O758" s="79">
        <v>0</v>
      </c>
      <c r="P758" s="92">
        <f t="shared" si="291"/>
        <v>531188</v>
      </c>
      <c r="Q758" s="79">
        <v>0</v>
      </c>
      <c r="R758" s="58">
        <v>70578.839999999997</v>
      </c>
      <c r="S758" s="79">
        <v>0</v>
      </c>
      <c r="T758" s="79">
        <v>0</v>
      </c>
      <c r="U758" s="110"/>
      <c r="V758" s="110"/>
      <c r="W758" s="110"/>
      <c r="X758" s="110"/>
      <c r="Y758" s="110"/>
      <c r="Z758" s="110"/>
      <c r="AA758" s="110"/>
      <c r="AB758" s="110"/>
      <c r="AC758" s="110"/>
      <c r="AD758" s="110"/>
      <c r="AE758" s="110"/>
      <c r="AF758" s="110"/>
      <c r="AG758" s="110"/>
      <c r="AH758" s="110"/>
      <c r="AI758" s="110"/>
    </row>
    <row r="759" s="350" customFormat="1" ht="22.5" customHeight="1">
      <c r="A759" s="25" t="s">
        <v>722</v>
      </c>
      <c r="B759" s="25"/>
      <c r="C759" s="154">
        <f>SUM(C760:C763)</f>
        <v>7923893.6899999995</v>
      </c>
      <c r="D759" s="154">
        <f>SUM(D760:D763)</f>
        <v>6457728.2999999998</v>
      </c>
      <c r="E759" s="154">
        <f>SUM(E760:E763)</f>
        <v>1613634.3999999999</v>
      </c>
      <c r="F759" s="154">
        <f>SUM(F760:F763)</f>
        <v>4844093.9000000004</v>
      </c>
      <c r="G759" s="154">
        <f>SUM(G760:G763)</f>
        <v>0</v>
      </c>
      <c r="H759" s="154">
        <f>SUM(H760:H763)</f>
        <v>0</v>
      </c>
      <c r="I759" s="154">
        <f>SUM(I760:I763)</f>
        <v>0</v>
      </c>
      <c r="J759" s="155">
        <f>SUM(J760:J763)</f>
        <v>0</v>
      </c>
      <c r="K759" s="154">
        <f>SUM(K760:K763)</f>
        <v>0</v>
      </c>
      <c r="L759" s="154">
        <f>SUM(L760:L763)</f>
        <v>0</v>
      </c>
      <c r="M759" s="154">
        <f>SUM(M760:M763)</f>
        <v>0</v>
      </c>
      <c r="N759" s="154">
        <f>SUM(N760:N763)</f>
        <v>0</v>
      </c>
      <c r="O759" s="154">
        <f>SUM(O760:O763)</f>
        <v>0</v>
      </c>
      <c r="P759" s="154">
        <f>SUM(P760:P763)</f>
        <v>1327970</v>
      </c>
      <c r="Q759" s="154">
        <f>SUM(Q760:Q763)</f>
        <v>0</v>
      </c>
      <c r="R759" s="154">
        <f>SUM(R760:R763)</f>
        <v>138195.38999999998</v>
      </c>
      <c r="S759" s="154">
        <f>SUM(S760:S763)</f>
        <v>0</v>
      </c>
      <c r="T759" s="154">
        <f>SUM(T760:T763)</f>
        <v>0</v>
      </c>
      <c r="U759" s="350"/>
      <c r="V759" s="350"/>
      <c r="W759" s="350"/>
      <c r="X759" s="350"/>
      <c r="Y759" s="350"/>
      <c r="Z759" s="350"/>
      <c r="AA759" s="350"/>
      <c r="AB759" s="350"/>
      <c r="AC759" s="350"/>
      <c r="AD759" s="350"/>
      <c r="AE759" s="350"/>
    </row>
    <row r="760" s="399" customFormat="1" ht="22.5" customHeight="1">
      <c r="A760" s="33">
        <v>1</v>
      </c>
      <c r="B760" s="98" t="s">
        <v>1330</v>
      </c>
      <c r="C760" s="79">
        <f t="shared" ref="C760:C763" si="292">D760+K760+L760+M760+N760+O760+P760+Q760+R760+S760+T760</f>
        <v>1180712.3</v>
      </c>
      <c r="D760" s="79">
        <f t="shared" ref="D760:D763" si="293">SUM(E760:I760)</f>
        <v>635915.69999999995</v>
      </c>
      <c r="E760" s="92">
        <v>635915.69999999995</v>
      </c>
      <c r="F760" s="92">
        <v>0</v>
      </c>
      <c r="G760" s="79">
        <v>0</v>
      </c>
      <c r="H760" s="92">
        <v>0</v>
      </c>
      <c r="I760" s="79">
        <v>0</v>
      </c>
      <c r="J760" s="398">
        <v>0</v>
      </c>
      <c r="K760" s="79">
        <v>0</v>
      </c>
      <c r="L760" s="79">
        <v>0</v>
      </c>
      <c r="M760" s="79">
        <v>0</v>
      </c>
      <c r="N760" s="79">
        <v>0</v>
      </c>
      <c r="O760" s="79">
        <v>0</v>
      </c>
      <c r="P760" s="92">
        <f t="shared" ref="P760:P761" si="294">265594+265594</f>
        <v>531188</v>
      </c>
      <c r="Q760" s="79">
        <v>0</v>
      </c>
      <c r="R760" s="79">
        <v>13608.6</v>
      </c>
      <c r="S760" s="79">
        <v>0</v>
      </c>
      <c r="T760" s="79">
        <v>0</v>
      </c>
      <c r="U760" s="110"/>
      <c r="V760" s="110"/>
      <c r="W760" s="110"/>
      <c r="X760" s="110"/>
      <c r="Y760" s="110"/>
      <c r="Z760" s="110"/>
      <c r="AA760" s="110"/>
      <c r="AB760" s="110"/>
      <c r="AC760" s="110"/>
      <c r="AD760" s="110"/>
      <c r="AE760" s="110"/>
    </row>
    <row r="761" s="399" customFormat="1" ht="22.5" customHeight="1">
      <c r="A761" s="33">
        <v>2</v>
      </c>
      <c r="B761" s="98" t="s">
        <v>1331</v>
      </c>
      <c r="C761" s="79">
        <f t="shared" si="292"/>
        <v>1529829.8799999999</v>
      </c>
      <c r="D761" s="79">
        <f t="shared" si="293"/>
        <v>977718.69999999995</v>
      </c>
      <c r="E761" s="92">
        <v>977718.69999999995</v>
      </c>
      <c r="F761" s="92">
        <v>0</v>
      </c>
      <c r="G761" s="79">
        <v>0</v>
      </c>
      <c r="H761" s="92">
        <v>0</v>
      </c>
      <c r="I761" s="79">
        <v>0</v>
      </c>
      <c r="J761" s="398">
        <v>0</v>
      </c>
      <c r="K761" s="79">
        <v>0</v>
      </c>
      <c r="L761" s="79">
        <v>0</v>
      </c>
      <c r="M761" s="79">
        <v>0</v>
      </c>
      <c r="N761" s="79">
        <v>0</v>
      </c>
      <c r="O761" s="79">
        <v>0</v>
      </c>
      <c r="P761" s="92">
        <f t="shared" si="294"/>
        <v>531188</v>
      </c>
      <c r="Q761" s="79">
        <v>0</v>
      </c>
      <c r="R761" s="79">
        <v>20923.18</v>
      </c>
      <c r="S761" s="79">
        <v>0</v>
      </c>
      <c r="T761" s="79">
        <v>0</v>
      </c>
      <c r="U761" s="110"/>
      <c r="V761" s="110"/>
      <c r="W761" s="110"/>
      <c r="X761" s="110"/>
      <c r="Y761" s="110"/>
      <c r="Z761" s="110"/>
      <c r="AA761" s="110"/>
      <c r="AB761" s="110"/>
      <c r="AC761" s="110"/>
      <c r="AD761" s="110"/>
      <c r="AE761" s="110"/>
    </row>
    <row r="762" s="399" customFormat="1" ht="22.5" customHeight="1">
      <c r="A762" s="33">
        <v>3</v>
      </c>
      <c r="B762" s="98" t="s">
        <v>1332</v>
      </c>
      <c r="C762" s="79">
        <f t="shared" si="292"/>
        <v>3384686.4899999998</v>
      </c>
      <c r="D762" s="79">
        <f t="shared" si="293"/>
        <v>3053742.3999999999</v>
      </c>
      <c r="E762" s="92">
        <v>0</v>
      </c>
      <c r="F762" s="92">
        <v>3053742.3999999999</v>
      </c>
      <c r="G762" s="79">
        <v>0</v>
      </c>
      <c r="H762" s="92">
        <v>0</v>
      </c>
      <c r="I762" s="79">
        <v>0</v>
      </c>
      <c r="J762" s="398">
        <v>0</v>
      </c>
      <c r="K762" s="79">
        <v>0</v>
      </c>
      <c r="L762" s="79">
        <v>0</v>
      </c>
      <c r="M762" s="79">
        <v>0</v>
      </c>
      <c r="N762" s="79">
        <v>0</v>
      </c>
      <c r="O762" s="79">
        <v>0</v>
      </c>
      <c r="P762" s="92">
        <v>265594</v>
      </c>
      <c r="Q762" s="79">
        <v>0</v>
      </c>
      <c r="R762" s="79">
        <v>65350.089999999997</v>
      </c>
      <c r="S762" s="79">
        <v>0</v>
      </c>
      <c r="T762" s="79">
        <v>0</v>
      </c>
      <c r="U762" s="110"/>
      <c r="V762" s="110"/>
      <c r="W762" s="110"/>
      <c r="X762" s="110"/>
      <c r="Y762" s="110"/>
      <c r="Z762" s="110"/>
      <c r="AA762" s="110"/>
      <c r="AB762" s="110"/>
      <c r="AC762" s="110"/>
      <c r="AD762" s="110"/>
      <c r="AE762" s="110"/>
    </row>
    <row r="763" s="54" customFormat="1" ht="22.5" customHeight="1">
      <c r="A763" s="33">
        <v>4</v>
      </c>
      <c r="B763" s="98" t="s">
        <v>482</v>
      </c>
      <c r="C763" s="79">
        <f t="shared" si="292"/>
        <v>1828665.02</v>
      </c>
      <c r="D763" s="79">
        <f t="shared" si="293"/>
        <v>1790351.5</v>
      </c>
      <c r="E763" s="92">
        <v>0</v>
      </c>
      <c r="F763" s="92">
        <v>1790351.5</v>
      </c>
      <c r="G763" s="79">
        <v>0</v>
      </c>
      <c r="H763" s="92">
        <v>0</v>
      </c>
      <c r="I763" s="79">
        <v>0</v>
      </c>
      <c r="J763" s="398">
        <v>0</v>
      </c>
      <c r="K763" s="79">
        <v>0</v>
      </c>
      <c r="L763" s="79">
        <v>0</v>
      </c>
      <c r="M763" s="79">
        <v>0</v>
      </c>
      <c r="N763" s="79">
        <v>0</v>
      </c>
      <c r="O763" s="79">
        <v>0</v>
      </c>
      <c r="P763" s="92">
        <v>0</v>
      </c>
      <c r="Q763" s="79">
        <v>0</v>
      </c>
      <c r="R763" s="79">
        <v>38313.519999999997</v>
      </c>
      <c r="S763" s="79">
        <v>0</v>
      </c>
      <c r="T763" s="79">
        <v>0</v>
      </c>
      <c r="U763" s="54"/>
      <c r="V763" s="54"/>
      <c r="W763" s="54"/>
      <c r="X763" s="54"/>
      <c r="Y763" s="54"/>
      <c r="Z763" s="54"/>
      <c r="AA763" s="54"/>
      <c r="AB763" s="54"/>
      <c r="AC763" s="54"/>
      <c r="AD763" s="54"/>
      <c r="AE763" s="54"/>
    </row>
    <row r="764" s="54" customFormat="1" ht="22.5" customHeight="1">
      <c r="A764" s="150" t="s">
        <v>484</v>
      </c>
      <c r="B764" s="151"/>
      <c r="C764" s="154">
        <f>SUM(C765:C766)</f>
        <v>13882208.83</v>
      </c>
      <c r="D764" s="154">
        <f>SUM(D765:D766)</f>
        <v>0</v>
      </c>
      <c r="E764" s="154">
        <f>SUM(E765:E766)</f>
        <v>0</v>
      </c>
      <c r="F764" s="154">
        <f>SUM(F765:F766)</f>
        <v>0</v>
      </c>
      <c r="G764" s="154">
        <f>SUM(G765:G766)</f>
        <v>0</v>
      </c>
      <c r="H764" s="154">
        <f>SUM(H765:H766)</f>
        <v>0</v>
      </c>
      <c r="I764" s="154">
        <f>SUM(I765:I766)</f>
        <v>0</v>
      </c>
      <c r="J764" s="155">
        <f>SUM(J765:J766)</f>
        <v>0</v>
      </c>
      <c r="K764" s="154">
        <f>SUM(K765:K766)</f>
        <v>0</v>
      </c>
      <c r="L764" s="154">
        <f>SUM(L765:L766)</f>
        <v>13213254.029999999</v>
      </c>
      <c r="M764" s="154">
        <f>SUM(M765:M766)</f>
        <v>0</v>
      </c>
      <c r="N764" s="154">
        <f>SUM(N765:N766)</f>
        <v>0</v>
      </c>
      <c r="O764" s="154">
        <f>SUM(O765:O766)</f>
        <v>0</v>
      </c>
      <c r="P764" s="154">
        <f>SUM(P765:P766)</f>
        <v>265594</v>
      </c>
      <c r="Q764" s="154">
        <f>SUM(Q765:Q766)</f>
        <v>0</v>
      </c>
      <c r="R764" s="154">
        <f>SUM(R765:R766)</f>
        <v>403360.79999999999</v>
      </c>
      <c r="S764" s="154">
        <f>SUM(S765:S766)</f>
        <v>0</v>
      </c>
      <c r="T764" s="154">
        <f>SUM(T765:T766)</f>
        <v>0</v>
      </c>
      <c r="U764" s="399"/>
      <c r="V764" s="399"/>
      <c r="W764" s="399"/>
      <c r="X764" s="399"/>
      <c r="Y764" s="399"/>
      <c r="Z764" s="399"/>
      <c r="AA764" s="399"/>
      <c r="AB764" s="399"/>
      <c r="AC764" s="399"/>
      <c r="AD764" s="399"/>
      <c r="AE764" s="399"/>
    </row>
    <row r="765" s="54" customFormat="1" ht="22.5" customHeight="1">
      <c r="A765" s="33">
        <v>1</v>
      </c>
      <c r="B765" s="50" t="s">
        <v>485</v>
      </c>
      <c r="C765" s="79">
        <f t="shared" ref="C765:C766" si="295">D765+K765+L765+M765+N765+O765+P765+Q765+R765+S765+T765</f>
        <v>8729204.0600000005</v>
      </c>
      <c r="D765" s="450">
        <f t="shared" ref="D765:D766" si="296">SUM(E765:I765)</f>
        <v>0</v>
      </c>
      <c r="E765" s="79">
        <v>0</v>
      </c>
      <c r="F765" s="450">
        <v>0</v>
      </c>
      <c r="G765" s="79">
        <v>0</v>
      </c>
      <c r="H765" s="450">
        <v>0</v>
      </c>
      <c r="I765" s="79">
        <v>0</v>
      </c>
      <c r="J765" s="451">
        <v>0</v>
      </c>
      <c r="K765" s="79">
        <v>0</v>
      </c>
      <c r="L765" s="92">
        <v>8428242.5099999998</v>
      </c>
      <c r="M765" s="79">
        <v>0</v>
      </c>
      <c r="N765" s="92">
        <v>0</v>
      </c>
      <c r="O765" s="79">
        <v>0</v>
      </c>
      <c r="P765" s="92">
        <v>0</v>
      </c>
      <c r="Q765" s="79">
        <v>0</v>
      </c>
      <c r="R765" s="450">
        <v>300961.54999999999</v>
      </c>
      <c r="S765" s="79">
        <v>0</v>
      </c>
      <c r="T765" s="79">
        <v>0</v>
      </c>
      <c r="U765" s="399"/>
      <c r="V765" s="399"/>
      <c r="W765" s="399"/>
      <c r="X765" s="399"/>
      <c r="Y765" s="399"/>
      <c r="Z765" s="399"/>
      <c r="AA765" s="399"/>
      <c r="AB765" s="399"/>
      <c r="AC765" s="399"/>
      <c r="AD765" s="399"/>
      <c r="AE765" s="399"/>
      <c r="AF765" s="54"/>
      <c r="AG765" s="54"/>
      <c r="AH765" s="54"/>
      <c r="AI765" s="54"/>
    </row>
    <row r="766" s="54" customFormat="1" ht="22.5" customHeight="1">
      <c r="A766" s="33">
        <v>2</v>
      </c>
      <c r="B766" s="50" t="s">
        <v>1333</v>
      </c>
      <c r="C766" s="79">
        <f t="shared" si="295"/>
        <v>5153004.7699999996</v>
      </c>
      <c r="D766" s="450">
        <f t="shared" si="296"/>
        <v>0</v>
      </c>
      <c r="E766" s="79">
        <v>0</v>
      </c>
      <c r="F766" s="450">
        <v>0</v>
      </c>
      <c r="G766" s="79">
        <v>0</v>
      </c>
      <c r="H766" s="450">
        <v>0</v>
      </c>
      <c r="I766" s="79">
        <v>0</v>
      </c>
      <c r="J766" s="451">
        <v>0</v>
      </c>
      <c r="K766" s="79">
        <v>0</v>
      </c>
      <c r="L766" s="92">
        <v>4785011.5199999996</v>
      </c>
      <c r="M766" s="79">
        <v>0</v>
      </c>
      <c r="N766" s="92">
        <v>0</v>
      </c>
      <c r="O766" s="79">
        <v>0</v>
      </c>
      <c r="P766" s="92">
        <v>265594</v>
      </c>
      <c r="Q766" s="79">
        <v>0</v>
      </c>
      <c r="R766" s="450">
        <v>102399.25</v>
      </c>
      <c r="S766" s="79">
        <v>0</v>
      </c>
      <c r="T766" s="79">
        <v>0</v>
      </c>
      <c r="U766" s="399"/>
      <c r="V766" s="399"/>
      <c r="W766" s="399"/>
      <c r="X766" s="399"/>
      <c r="Y766" s="399"/>
      <c r="Z766" s="399"/>
      <c r="AA766" s="399"/>
      <c r="AB766" s="399"/>
      <c r="AC766" s="399"/>
      <c r="AD766" s="399"/>
      <c r="AE766" s="399"/>
      <c r="AF766" s="54"/>
      <c r="AG766" s="54"/>
      <c r="AH766" s="54"/>
      <c r="AI766" s="54"/>
    </row>
    <row r="767" s="54" customFormat="1" ht="22.5" customHeight="1">
      <c r="A767" s="208" t="s">
        <v>487</v>
      </c>
      <c r="B767" s="209"/>
      <c r="C767" s="154">
        <f>C768</f>
        <v>14216901.33</v>
      </c>
      <c r="D767" s="154">
        <f>D768</f>
        <v>0</v>
      </c>
      <c r="E767" s="154">
        <f>E768</f>
        <v>0</v>
      </c>
      <c r="F767" s="154">
        <f>F768</f>
        <v>0</v>
      </c>
      <c r="G767" s="154">
        <f>G768</f>
        <v>0</v>
      </c>
      <c r="H767" s="154">
        <f>H768</f>
        <v>0</v>
      </c>
      <c r="I767" s="154">
        <f>I768</f>
        <v>0</v>
      </c>
      <c r="J767" s="155">
        <f>J768</f>
        <v>0</v>
      </c>
      <c r="K767" s="154">
        <f>K768</f>
        <v>0</v>
      </c>
      <c r="L767" s="154">
        <f>L768</f>
        <v>13919034</v>
      </c>
      <c r="M767" s="154">
        <f>M768</f>
        <v>0</v>
      </c>
      <c r="N767" s="154">
        <f>N768</f>
        <v>0</v>
      </c>
      <c r="O767" s="154">
        <f>O768</f>
        <v>0</v>
      </c>
      <c r="P767" s="154">
        <f>P768</f>
        <v>0</v>
      </c>
      <c r="Q767" s="154">
        <f>Q768</f>
        <v>0</v>
      </c>
      <c r="R767" s="154">
        <f>R768</f>
        <v>297867.33000000002</v>
      </c>
      <c r="S767" s="154">
        <f>S768</f>
        <v>0</v>
      </c>
      <c r="T767" s="154">
        <f>T768</f>
        <v>0</v>
      </c>
      <c r="U767" s="399"/>
      <c r="V767" s="399"/>
      <c r="W767" s="399"/>
      <c r="X767" s="399"/>
      <c r="Y767" s="399"/>
      <c r="Z767" s="399"/>
      <c r="AA767" s="399"/>
      <c r="AB767" s="399"/>
      <c r="AC767" s="399"/>
      <c r="AD767" s="399"/>
      <c r="AE767" s="399"/>
      <c r="AF767" s="54"/>
      <c r="AG767" s="54"/>
      <c r="AH767" s="54"/>
      <c r="AI767" s="54"/>
    </row>
    <row r="768" s="54" customFormat="1" ht="22.5" customHeight="1">
      <c r="A768" s="33">
        <v>1</v>
      </c>
      <c r="B768" s="50" t="s">
        <v>488</v>
      </c>
      <c r="C768" s="79">
        <f>D768+K768+L768+M768+N768+O768+P768+Q768+R768+S768+T768</f>
        <v>14216901.33</v>
      </c>
      <c r="D768" s="158">
        <f>SUM(E768:I768)</f>
        <v>0</v>
      </c>
      <c r="E768" s="92">
        <v>0</v>
      </c>
      <c r="F768" s="158">
        <v>0</v>
      </c>
      <c r="G768" s="79">
        <v>0</v>
      </c>
      <c r="H768" s="158">
        <v>0</v>
      </c>
      <c r="I768" s="92">
        <v>0</v>
      </c>
      <c r="J768" s="345">
        <v>0</v>
      </c>
      <c r="K768" s="79">
        <v>0</v>
      </c>
      <c r="L768" s="92">
        <v>13919034</v>
      </c>
      <c r="M768" s="79">
        <v>0</v>
      </c>
      <c r="N768" s="92">
        <v>0</v>
      </c>
      <c r="O768" s="79">
        <v>0</v>
      </c>
      <c r="P768" s="92">
        <v>0</v>
      </c>
      <c r="Q768" s="79">
        <v>0</v>
      </c>
      <c r="R768" s="158">
        <v>297867.33000000002</v>
      </c>
      <c r="S768" s="79">
        <v>0</v>
      </c>
      <c r="T768" s="79">
        <v>0</v>
      </c>
      <c r="U768" s="399"/>
      <c r="V768" s="399"/>
      <c r="W768" s="399"/>
      <c r="X768" s="399"/>
      <c r="Y768" s="399"/>
      <c r="Z768" s="399"/>
      <c r="AA768" s="399"/>
      <c r="AB768" s="399"/>
      <c r="AC768" s="399"/>
      <c r="AD768" s="399"/>
      <c r="AE768" s="399"/>
      <c r="AF768" s="54"/>
      <c r="AG768" s="54"/>
      <c r="AH768" s="54"/>
      <c r="AI768" s="54"/>
    </row>
    <row r="769" s="54" customFormat="1" ht="22.5" customHeight="1">
      <c r="A769" s="208" t="s">
        <v>493</v>
      </c>
      <c r="B769" s="209"/>
      <c r="C769" s="154">
        <f>SUM(C770:C772)</f>
        <v>48332777.939999998</v>
      </c>
      <c r="D769" s="154">
        <f>SUM(D770:D772)</f>
        <v>3170550.5999999996</v>
      </c>
      <c r="E769" s="154">
        <f>SUM(E770:E772)</f>
        <v>3170550.5999999996</v>
      </c>
      <c r="F769" s="154">
        <f>SUM(F770:F772)</f>
        <v>0</v>
      </c>
      <c r="G769" s="154">
        <f>SUM(G770:G772)</f>
        <v>0</v>
      </c>
      <c r="H769" s="154">
        <f>SUM(H770:H772)</f>
        <v>0</v>
      </c>
      <c r="I769" s="154">
        <f>SUM(I770:I772)</f>
        <v>0</v>
      </c>
      <c r="J769" s="155">
        <f>SUM(J770:J772)</f>
        <v>0</v>
      </c>
      <c r="K769" s="154">
        <f>SUM(K770:K772)</f>
        <v>0</v>
      </c>
      <c r="L769" s="154">
        <f>SUM(L770:L772)</f>
        <v>41747311.100000001</v>
      </c>
      <c r="M769" s="154">
        <f>SUM(M770:M772)</f>
        <v>0</v>
      </c>
      <c r="N769" s="154">
        <f>SUM(N770:N772)</f>
        <v>0</v>
      </c>
      <c r="O769" s="154">
        <f>SUM(O770:O772)</f>
        <v>0</v>
      </c>
      <c r="P769" s="154">
        <f>SUM(P770:P772)</f>
        <v>2453674</v>
      </c>
      <c r="Q769" s="154">
        <f>SUM(Q770:Q772)</f>
        <v>0</v>
      </c>
      <c r="R769" s="154">
        <f>SUM(R770:R772)</f>
        <v>961242.23999999999</v>
      </c>
      <c r="S769" s="154">
        <f>SUM(S770:S772)</f>
        <v>0</v>
      </c>
      <c r="T769" s="154">
        <f>SUM(T770:T772)</f>
        <v>0</v>
      </c>
      <c r="U769" s="399"/>
      <c r="V769" s="399"/>
      <c r="W769" s="399"/>
      <c r="X769" s="399"/>
      <c r="Y769" s="399"/>
      <c r="Z769" s="399"/>
      <c r="AA769" s="399"/>
      <c r="AB769" s="399"/>
      <c r="AC769" s="399"/>
      <c r="AD769" s="399"/>
      <c r="AE769" s="399"/>
      <c r="AF769" s="54"/>
      <c r="AG769" s="54"/>
      <c r="AH769" s="54"/>
      <c r="AI769" s="54"/>
    </row>
    <row r="770" s="54" customFormat="1" ht="22.5" customHeight="1">
      <c r="A770" s="33">
        <v>1</v>
      </c>
      <c r="B770" s="50" t="s">
        <v>1334</v>
      </c>
      <c r="C770" s="79">
        <f t="shared" ref="C770:C772" si="297">D770+K770+L770+M770+N770+O770+P770+Q770+R770+S770+T770</f>
        <v>3588782.3799999994</v>
      </c>
      <c r="D770" s="79">
        <f t="shared" ref="D770:D772" si="298">SUM(E770:I770)</f>
        <v>3170550.5999999996</v>
      </c>
      <c r="E770" s="79">
        <v>3170550.5999999996</v>
      </c>
      <c r="F770" s="158">
        <v>0</v>
      </c>
      <c r="G770" s="79">
        <v>0</v>
      </c>
      <c r="H770" s="158">
        <v>0</v>
      </c>
      <c r="I770" s="79">
        <v>0</v>
      </c>
      <c r="J770" s="345">
        <v>0</v>
      </c>
      <c r="K770" s="79">
        <v>0</v>
      </c>
      <c r="L770" s="79">
        <v>0</v>
      </c>
      <c r="M770" s="79">
        <v>0</v>
      </c>
      <c r="N770" s="79">
        <v>0</v>
      </c>
      <c r="O770" s="79">
        <v>0</v>
      </c>
      <c r="P770" s="92">
        <v>350382</v>
      </c>
      <c r="Q770" s="79">
        <v>0</v>
      </c>
      <c r="R770" s="158">
        <v>67849.779999999999</v>
      </c>
      <c r="S770" s="79">
        <v>0</v>
      </c>
      <c r="T770" s="79">
        <v>0</v>
      </c>
      <c r="U770" s="110"/>
      <c r="V770" s="110"/>
      <c r="W770" s="110"/>
      <c r="X770" s="110"/>
      <c r="Y770" s="110"/>
      <c r="Z770" s="110"/>
      <c r="AA770" s="110"/>
      <c r="AB770" s="110"/>
      <c r="AC770" s="110"/>
      <c r="AD770" s="110"/>
      <c r="AE770" s="110"/>
      <c r="AF770" s="54"/>
      <c r="AG770" s="54"/>
      <c r="AH770" s="54"/>
      <c r="AI770" s="54"/>
    </row>
    <row r="771" s="54" customFormat="1" ht="22.5" customHeight="1">
      <c r="A771" s="33">
        <v>2</v>
      </c>
      <c r="B771" s="50" t="s">
        <v>1335</v>
      </c>
      <c r="C771" s="79">
        <f t="shared" si="297"/>
        <v>20901221.59</v>
      </c>
      <c r="D771" s="79">
        <f t="shared" si="298"/>
        <v>0</v>
      </c>
      <c r="E771" s="79">
        <v>0</v>
      </c>
      <c r="F771" s="79">
        <v>0</v>
      </c>
      <c r="G771" s="79">
        <v>0</v>
      </c>
      <c r="H771" s="79">
        <v>0</v>
      </c>
      <c r="I771" s="79">
        <v>0</v>
      </c>
      <c r="J771" s="398">
        <v>0</v>
      </c>
      <c r="K771" s="79">
        <v>0</v>
      </c>
      <c r="L771" s="79">
        <v>19433205</v>
      </c>
      <c r="M771" s="79">
        <v>0</v>
      </c>
      <c r="N771" s="79">
        <v>0</v>
      </c>
      <c r="O771" s="79">
        <v>0</v>
      </c>
      <c r="P771" s="92">
        <f>350382+351382+350382</f>
        <v>1052146</v>
      </c>
      <c r="Q771" s="79">
        <v>0</v>
      </c>
      <c r="R771" s="79">
        <f>415870.59</f>
        <v>415870.59000000003</v>
      </c>
      <c r="S771" s="79">
        <v>0</v>
      </c>
      <c r="T771" s="79">
        <v>0</v>
      </c>
      <c r="U771" s="110"/>
      <c r="V771" s="110"/>
      <c r="W771" s="110"/>
      <c r="X771" s="110"/>
      <c r="Y771" s="110"/>
      <c r="Z771" s="110"/>
      <c r="AA771" s="110"/>
      <c r="AB771" s="110"/>
      <c r="AC771" s="110"/>
      <c r="AD771" s="110"/>
      <c r="AE771" s="110"/>
      <c r="AF771" s="54"/>
      <c r="AG771" s="54"/>
      <c r="AH771" s="54"/>
      <c r="AI771" s="54"/>
    </row>
    <row r="772" s="54" customFormat="1" ht="22.5" customHeight="1">
      <c r="A772" s="33">
        <v>3</v>
      </c>
      <c r="B772" s="50" t="s">
        <v>1336</v>
      </c>
      <c r="C772" s="79">
        <f t="shared" si="297"/>
        <v>23842773.970000003</v>
      </c>
      <c r="D772" s="79">
        <f t="shared" si="298"/>
        <v>0</v>
      </c>
      <c r="E772" s="79">
        <v>0</v>
      </c>
      <c r="F772" s="79">
        <v>0</v>
      </c>
      <c r="G772" s="79">
        <v>0</v>
      </c>
      <c r="H772" s="79">
        <v>0</v>
      </c>
      <c r="I772" s="79">
        <v>0</v>
      </c>
      <c r="J772" s="398">
        <v>0</v>
      </c>
      <c r="K772" s="79">
        <v>0</v>
      </c>
      <c r="L772" s="79">
        <v>22314106.100000001</v>
      </c>
      <c r="M772" s="79">
        <v>0</v>
      </c>
      <c r="N772" s="79">
        <v>0</v>
      </c>
      <c r="O772" s="79">
        <v>0</v>
      </c>
      <c r="P772" s="92">
        <f>350382+350382+350382</f>
        <v>1051146</v>
      </c>
      <c r="Q772" s="79">
        <v>0</v>
      </c>
      <c r="R772" s="79">
        <f>477521.87</f>
        <v>477521.87</v>
      </c>
      <c r="S772" s="79">
        <v>0</v>
      </c>
      <c r="T772" s="79">
        <v>0</v>
      </c>
      <c r="U772" s="110"/>
      <c r="V772" s="110"/>
      <c r="W772" s="110"/>
      <c r="X772" s="110"/>
      <c r="Y772" s="110"/>
      <c r="Z772" s="110"/>
      <c r="AA772" s="110"/>
      <c r="AB772" s="110"/>
      <c r="AC772" s="110"/>
      <c r="AD772" s="110"/>
      <c r="AE772" s="110"/>
      <c r="AF772" s="54"/>
      <c r="AG772" s="54"/>
      <c r="AH772" s="54"/>
      <c r="AI772" s="54"/>
    </row>
    <row r="773" s="350" customFormat="1" ht="22.5" customHeight="1">
      <c r="A773" s="61" t="s">
        <v>501</v>
      </c>
      <c r="B773" s="61"/>
      <c r="C773" s="154">
        <f>SUM(C774:C781)</f>
        <v>64213883.300000004</v>
      </c>
      <c r="D773" s="154">
        <f>SUM(D774:D781)</f>
        <v>7942945</v>
      </c>
      <c r="E773" s="154">
        <f>SUM(E774:E781)</f>
        <v>5772419.7999999998</v>
      </c>
      <c r="F773" s="154">
        <f>SUM(F774:F781)</f>
        <v>2170525.2000000002</v>
      </c>
      <c r="G773" s="154">
        <f>SUM(G774:G781)</f>
        <v>0</v>
      </c>
      <c r="H773" s="154">
        <f>SUM(H774:H781)</f>
        <v>0</v>
      </c>
      <c r="I773" s="154">
        <f>SUM(I774:I781)</f>
        <v>0</v>
      </c>
      <c r="J773" s="155">
        <f>SUM(J774:J781)</f>
        <v>0</v>
      </c>
      <c r="K773" s="154">
        <f>SUM(K774:K781)</f>
        <v>0</v>
      </c>
      <c r="L773" s="154">
        <f>SUM(L774:L781)</f>
        <v>51899206.799999997</v>
      </c>
      <c r="M773" s="154">
        <f>SUM(M774:M781)</f>
        <v>0</v>
      </c>
      <c r="N773" s="154">
        <f>SUM(N774:N781)</f>
        <v>0</v>
      </c>
      <c r="O773" s="154">
        <f>SUM(O774:O781)</f>
        <v>0</v>
      </c>
      <c r="P773" s="154">
        <f>SUM(P774:P781)</f>
        <v>3091110</v>
      </c>
      <c r="Q773" s="154">
        <f>SUM(Q774:Q781)</f>
        <v>0</v>
      </c>
      <c r="R773" s="154">
        <f>SUM(R774:R781)</f>
        <v>1280621.5</v>
      </c>
      <c r="S773" s="154">
        <f>SUM(S774:S781)</f>
        <v>0</v>
      </c>
      <c r="T773" s="154">
        <f>SUM(T774:T781)</f>
        <v>0</v>
      </c>
      <c r="U773" s="350"/>
      <c r="V773" s="350"/>
      <c r="W773" s="350"/>
      <c r="X773" s="350"/>
      <c r="Y773" s="350"/>
      <c r="Z773" s="350"/>
      <c r="AA773" s="350"/>
      <c r="AB773" s="350"/>
      <c r="AC773" s="350"/>
      <c r="AD773" s="350"/>
      <c r="AE773" s="350"/>
      <c r="AF773" s="350"/>
      <c r="AG773" s="350"/>
      <c r="AH773" s="350"/>
      <c r="AI773" s="350"/>
    </row>
    <row r="774" s="350" customFormat="1" ht="22.5" customHeight="1">
      <c r="A774" s="33">
        <v>1</v>
      </c>
      <c r="B774" s="50" t="s">
        <v>1337</v>
      </c>
      <c r="C774" s="158">
        <f t="shared" ref="C774:C781" si="299">D774+K774+L774+M774+N774+O774+P774+Q774+R774+S774+T774</f>
        <v>13433141.65</v>
      </c>
      <c r="D774" s="79">
        <f t="shared" ref="D774:D781" si="300">SUM(E774:I774)</f>
        <v>0</v>
      </c>
      <c r="E774" s="158">
        <v>0</v>
      </c>
      <c r="F774" s="79">
        <v>0</v>
      </c>
      <c r="G774" s="158">
        <v>0</v>
      </c>
      <c r="H774" s="79">
        <v>0</v>
      </c>
      <c r="I774" s="158">
        <v>0</v>
      </c>
      <c r="J774" s="398">
        <v>0</v>
      </c>
      <c r="K774" s="158">
        <v>0</v>
      </c>
      <c r="L774" s="79">
        <v>12891666</v>
      </c>
      <c r="M774" s="158">
        <v>0</v>
      </c>
      <c r="N774" s="79">
        <v>0</v>
      </c>
      <c r="O774" s="158">
        <v>0</v>
      </c>
      <c r="P774" s="79">
        <v>265594</v>
      </c>
      <c r="Q774" s="158">
        <v>0</v>
      </c>
      <c r="R774" s="79">
        <v>275881.65000000002</v>
      </c>
      <c r="S774" s="158">
        <v>0</v>
      </c>
      <c r="T774" s="79">
        <v>0</v>
      </c>
      <c r="U774" s="110"/>
      <c r="V774" s="110"/>
      <c r="W774" s="110"/>
      <c r="X774" s="110"/>
      <c r="Y774" s="110"/>
      <c r="Z774" s="110"/>
      <c r="AA774" s="110"/>
      <c r="AB774" s="110"/>
      <c r="AC774" s="110"/>
      <c r="AD774" s="110"/>
      <c r="AE774" s="110"/>
      <c r="AF774" s="110"/>
      <c r="AG774" s="110"/>
      <c r="AH774" s="110"/>
      <c r="AI774" s="110"/>
    </row>
    <row r="775" s="350" customFormat="1" ht="22.5" customHeight="1">
      <c r="A775" s="33">
        <v>2</v>
      </c>
      <c r="B775" s="50" t="s">
        <v>1338</v>
      </c>
      <c r="C775" s="79">
        <f t="shared" si="299"/>
        <v>3128798.5899999999</v>
      </c>
      <c r="D775" s="79">
        <f t="shared" si="300"/>
        <v>0</v>
      </c>
      <c r="E775" s="79">
        <v>0</v>
      </c>
      <c r="F775" s="79">
        <v>0</v>
      </c>
      <c r="G775" s="79">
        <v>0</v>
      </c>
      <c r="H775" s="79">
        <v>0</v>
      </c>
      <c r="I775" s="79">
        <v>0</v>
      </c>
      <c r="J775" s="398">
        <v>0</v>
      </c>
      <c r="K775" s="79">
        <v>0</v>
      </c>
      <c r="L775" s="79">
        <v>2543186.3999999999</v>
      </c>
      <c r="M775" s="79">
        <v>0</v>
      </c>
      <c r="N775" s="79">
        <v>0</v>
      </c>
      <c r="O775" s="79">
        <v>0</v>
      </c>
      <c r="P775" s="79">
        <f>265594+265594</f>
        <v>531188</v>
      </c>
      <c r="Q775" s="79">
        <v>0</v>
      </c>
      <c r="R775" s="79">
        <v>54424.190000000002</v>
      </c>
      <c r="S775" s="79">
        <v>0</v>
      </c>
      <c r="T775" s="79">
        <v>0</v>
      </c>
      <c r="U775" s="110"/>
      <c r="V775" s="110"/>
      <c r="W775" s="110"/>
      <c r="X775" s="110"/>
      <c r="Y775" s="110"/>
      <c r="Z775" s="110"/>
      <c r="AA775" s="110"/>
      <c r="AB775" s="110"/>
      <c r="AC775" s="110"/>
      <c r="AD775" s="110"/>
      <c r="AE775" s="110"/>
      <c r="AF775" s="110"/>
      <c r="AG775" s="110"/>
      <c r="AH775" s="110"/>
      <c r="AI775" s="110"/>
    </row>
    <row r="776" s="350" customFormat="1" ht="22.5" customHeight="1">
      <c r="A776" s="33">
        <v>3</v>
      </c>
      <c r="B776" s="50" t="s">
        <v>1339</v>
      </c>
      <c r="C776" s="79">
        <f t="shared" si="299"/>
        <v>8287151.1400000006</v>
      </c>
      <c r="D776" s="79">
        <f t="shared" si="300"/>
        <v>2170525.2000000002</v>
      </c>
      <c r="E776" s="79">
        <v>0</v>
      </c>
      <c r="F776" s="79">
        <v>2170525.2000000002</v>
      </c>
      <c r="G776" s="79">
        <v>0</v>
      </c>
      <c r="H776" s="79">
        <v>0</v>
      </c>
      <c r="I776" s="79">
        <v>0</v>
      </c>
      <c r="J776" s="398">
        <v>0</v>
      </c>
      <c r="K776" s="79">
        <v>0</v>
      </c>
      <c r="L776" s="79">
        <v>5682967.2000000002</v>
      </c>
      <c r="M776" s="79">
        <v>0</v>
      </c>
      <c r="N776" s="79">
        <v>0</v>
      </c>
      <c r="O776" s="79">
        <v>0</v>
      </c>
      <c r="P776" s="79">
        <v>265594</v>
      </c>
      <c r="Q776" s="79">
        <v>0</v>
      </c>
      <c r="R776" s="79">
        <f>121615.5+46449.24</f>
        <v>168064.73999999999</v>
      </c>
      <c r="S776" s="79">
        <v>0</v>
      </c>
      <c r="T776" s="79">
        <v>0</v>
      </c>
      <c r="U776" s="54"/>
      <c r="V776" s="54"/>
      <c r="W776" s="54"/>
      <c r="X776" s="54"/>
      <c r="Y776" s="54"/>
      <c r="Z776" s="54"/>
      <c r="AA776" s="54"/>
      <c r="AB776" s="54"/>
      <c r="AC776" s="54"/>
      <c r="AD776" s="54"/>
      <c r="AE776" s="54"/>
      <c r="AF776" s="54"/>
      <c r="AG776" s="54"/>
      <c r="AH776" s="54"/>
      <c r="AI776" s="54"/>
    </row>
    <row r="777" s="350" customFormat="1" ht="22.5" customHeight="1">
      <c r="A777" s="33">
        <v>4</v>
      </c>
      <c r="B777" s="50" t="s">
        <v>1340</v>
      </c>
      <c r="C777" s="79">
        <f t="shared" si="299"/>
        <v>5711500.4199999999</v>
      </c>
      <c r="D777" s="79">
        <f t="shared" si="300"/>
        <v>4905753.2999999998</v>
      </c>
      <c r="E777" s="79">
        <v>4905753.2999999998</v>
      </c>
      <c r="F777" s="79">
        <v>0</v>
      </c>
      <c r="G777" s="79">
        <v>0</v>
      </c>
      <c r="H777" s="79">
        <v>0</v>
      </c>
      <c r="I777" s="79">
        <v>0</v>
      </c>
      <c r="J777" s="398">
        <v>0</v>
      </c>
      <c r="K777" s="79">
        <v>0</v>
      </c>
      <c r="L777" s="79">
        <v>0</v>
      </c>
      <c r="M777" s="79">
        <v>0</v>
      </c>
      <c r="N777" s="79">
        <v>0</v>
      </c>
      <c r="O777" s="79">
        <v>0</v>
      </c>
      <c r="P777" s="79">
        <f>350382+350382</f>
        <v>700764</v>
      </c>
      <c r="Q777" s="79">
        <v>0</v>
      </c>
      <c r="R777" s="79">
        <v>104983.12</v>
      </c>
      <c r="S777" s="79">
        <v>0</v>
      </c>
      <c r="T777" s="79">
        <v>0</v>
      </c>
      <c r="U777" s="110"/>
      <c r="V777" s="110"/>
      <c r="W777" s="110"/>
      <c r="X777" s="110"/>
      <c r="Y777" s="110"/>
      <c r="Z777" s="110"/>
      <c r="AA777" s="110"/>
      <c r="AB777" s="110"/>
      <c r="AC777" s="110"/>
      <c r="AD777" s="110"/>
      <c r="AE777" s="110"/>
      <c r="AF777" s="110"/>
      <c r="AG777" s="110"/>
      <c r="AH777" s="110"/>
      <c r="AI777" s="110"/>
    </row>
    <row r="778" s="350" customFormat="1" ht="22.5" customHeight="1">
      <c r="A778" s="33">
        <v>5</v>
      </c>
      <c r="B778" s="50" t="s">
        <v>1341</v>
      </c>
      <c r="C778" s="79">
        <f t="shared" si="299"/>
        <v>5385335.3500000006</v>
      </c>
      <c r="D778" s="79">
        <f t="shared" si="300"/>
        <v>0</v>
      </c>
      <c r="E778" s="79">
        <v>0</v>
      </c>
      <c r="F778" s="79">
        <v>0</v>
      </c>
      <c r="G778" s="79">
        <v>0</v>
      </c>
      <c r="H778" s="79">
        <v>0</v>
      </c>
      <c r="I778" s="79">
        <v>0</v>
      </c>
      <c r="J778" s="398">
        <v>0</v>
      </c>
      <c r="K778" s="79">
        <v>0</v>
      </c>
      <c r="L778" s="79">
        <v>5012474.4000000004</v>
      </c>
      <c r="M778" s="79">
        <v>0</v>
      </c>
      <c r="N778" s="79">
        <v>0</v>
      </c>
      <c r="O778" s="79">
        <v>0</v>
      </c>
      <c r="P778" s="79">
        <v>265594</v>
      </c>
      <c r="Q778" s="79">
        <v>0</v>
      </c>
      <c r="R778" s="79">
        <v>107266.95</v>
      </c>
      <c r="S778" s="79">
        <v>0</v>
      </c>
      <c r="T778" s="79">
        <v>0</v>
      </c>
      <c r="U778" s="110"/>
      <c r="V778" s="110"/>
      <c r="W778" s="110"/>
      <c r="X778" s="110"/>
      <c r="Y778" s="110"/>
      <c r="Z778" s="110"/>
      <c r="AA778" s="110"/>
      <c r="AB778" s="110"/>
      <c r="AC778" s="110"/>
      <c r="AD778" s="110"/>
      <c r="AE778" s="110"/>
      <c r="AF778" s="110"/>
      <c r="AG778" s="110"/>
      <c r="AH778" s="110"/>
      <c r="AI778" s="110"/>
    </row>
    <row r="779" s="350" customFormat="1" ht="22.5" customHeight="1">
      <c r="A779" s="33">
        <v>6</v>
      </c>
      <c r="B779" s="50" t="s">
        <v>1342</v>
      </c>
      <c r="C779" s="158">
        <f t="shared" si="299"/>
        <v>1416401.1599999999</v>
      </c>
      <c r="D779" s="79">
        <f t="shared" si="300"/>
        <v>866666.5</v>
      </c>
      <c r="E779" s="158">
        <v>866666.5</v>
      </c>
      <c r="F779" s="79">
        <v>0</v>
      </c>
      <c r="G779" s="158">
        <v>0</v>
      </c>
      <c r="H779" s="79">
        <v>0</v>
      </c>
      <c r="I779" s="158">
        <v>0</v>
      </c>
      <c r="J779" s="398">
        <v>0</v>
      </c>
      <c r="K779" s="158">
        <v>0</v>
      </c>
      <c r="L779" s="79">
        <v>0</v>
      </c>
      <c r="M779" s="158">
        <v>0</v>
      </c>
      <c r="N779" s="79">
        <v>0</v>
      </c>
      <c r="O779" s="158">
        <v>0</v>
      </c>
      <c r="P779" s="79">
        <f>265594+265594</f>
        <v>531188</v>
      </c>
      <c r="Q779" s="158">
        <v>0</v>
      </c>
      <c r="R779" s="79">
        <v>18546.66</v>
      </c>
      <c r="S779" s="158">
        <v>0</v>
      </c>
      <c r="T779" s="79">
        <v>0</v>
      </c>
      <c r="U779" s="110"/>
      <c r="V779" s="110"/>
      <c r="W779" s="110"/>
      <c r="X779" s="110"/>
      <c r="Y779" s="110"/>
      <c r="Z779" s="110"/>
      <c r="AA779" s="110"/>
      <c r="AB779" s="110"/>
      <c r="AC779" s="110"/>
      <c r="AD779" s="110"/>
      <c r="AE779" s="110"/>
      <c r="AF779" s="110"/>
      <c r="AG779" s="110"/>
      <c r="AH779" s="110"/>
      <c r="AI779" s="110"/>
    </row>
    <row r="780" s="350" customFormat="1" ht="22.5" customHeight="1">
      <c r="A780" s="33">
        <v>7</v>
      </c>
      <c r="B780" s="50" t="s">
        <v>1343</v>
      </c>
      <c r="C780" s="79">
        <f t="shared" si="299"/>
        <v>13266533.200000001</v>
      </c>
      <c r="D780" s="79">
        <f t="shared" si="300"/>
        <v>0</v>
      </c>
      <c r="E780" s="79">
        <v>0</v>
      </c>
      <c r="F780" s="79">
        <v>0</v>
      </c>
      <c r="G780" s="79">
        <v>0</v>
      </c>
      <c r="H780" s="79">
        <v>0</v>
      </c>
      <c r="I780" s="79">
        <v>0</v>
      </c>
      <c r="J780" s="398">
        <v>0</v>
      </c>
      <c r="K780" s="79">
        <v>0</v>
      </c>
      <c r="L780" s="79">
        <v>12728548.800000001</v>
      </c>
      <c r="M780" s="79">
        <v>0</v>
      </c>
      <c r="N780" s="79">
        <v>0</v>
      </c>
      <c r="O780" s="79">
        <v>0</v>
      </c>
      <c r="P780" s="79">
        <v>265594</v>
      </c>
      <c r="Q780" s="79">
        <v>0</v>
      </c>
      <c r="R780" s="79">
        <v>272390.40000000002</v>
      </c>
      <c r="S780" s="79">
        <v>0</v>
      </c>
      <c r="T780" s="79">
        <v>0</v>
      </c>
      <c r="U780" s="110"/>
      <c r="V780" s="110"/>
      <c r="W780" s="110"/>
      <c r="X780" s="110"/>
      <c r="Y780" s="110"/>
      <c r="Z780" s="110"/>
      <c r="AA780" s="110"/>
      <c r="AB780" s="110"/>
      <c r="AC780" s="110"/>
      <c r="AD780" s="110"/>
      <c r="AE780" s="110"/>
      <c r="AF780" s="110"/>
      <c r="AG780" s="110"/>
      <c r="AH780" s="110"/>
      <c r="AI780" s="110"/>
    </row>
    <row r="781" s="110" customFormat="1" ht="22.5" customHeight="1">
      <c r="A781" s="33">
        <v>8</v>
      </c>
      <c r="B781" s="50" t="s">
        <v>1344</v>
      </c>
      <c r="C781" s="79">
        <f t="shared" si="299"/>
        <v>13585021.789999999</v>
      </c>
      <c r="D781" s="79">
        <f t="shared" si="300"/>
        <v>0</v>
      </c>
      <c r="E781" s="79">
        <v>0</v>
      </c>
      <c r="F781" s="79">
        <v>0</v>
      </c>
      <c r="G781" s="79">
        <v>0</v>
      </c>
      <c r="H781" s="79">
        <v>0</v>
      </c>
      <c r="I781" s="79">
        <v>0</v>
      </c>
      <c r="J781" s="398">
        <v>0</v>
      </c>
      <c r="K781" s="79">
        <v>0</v>
      </c>
      <c r="L781" s="79">
        <v>13040364</v>
      </c>
      <c r="M781" s="79">
        <v>0</v>
      </c>
      <c r="N781" s="79">
        <v>0</v>
      </c>
      <c r="O781" s="79">
        <v>0</v>
      </c>
      <c r="P781" s="79">
        <v>265594</v>
      </c>
      <c r="Q781" s="79">
        <v>0</v>
      </c>
      <c r="R781" s="79">
        <v>279063.78999999998</v>
      </c>
      <c r="S781" s="79">
        <v>0</v>
      </c>
      <c r="T781" s="79">
        <v>0</v>
      </c>
      <c r="U781" s="110"/>
      <c r="V781" s="110"/>
      <c r="W781" s="110"/>
      <c r="X781" s="110"/>
      <c r="Y781" s="110"/>
      <c r="Z781" s="110"/>
      <c r="AA781" s="110"/>
      <c r="AB781" s="110"/>
      <c r="AC781" s="110"/>
      <c r="AD781" s="110"/>
      <c r="AE781" s="110"/>
      <c r="AF781" s="110"/>
      <c r="AG781" s="110"/>
      <c r="AH781" s="110"/>
      <c r="AI781" s="110"/>
    </row>
    <row r="782" s="350" customFormat="1" ht="22.5" customHeight="1">
      <c r="A782" s="25" t="s">
        <v>506</v>
      </c>
      <c r="B782" s="25"/>
      <c r="C782" s="154">
        <f>SUM(C783:C800)</f>
        <v>153489370.90000001</v>
      </c>
      <c r="D782" s="154">
        <f>SUM(D783:D800)</f>
        <v>31947863.699999999</v>
      </c>
      <c r="E782" s="154">
        <f>SUM(E783:E800)</f>
        <v>13506649.800000001</v>
      </c>
      <c r="F782" s="154">
        <f>SUM(F783:F800)</f>
        <v>10244293.199999999</v>
      </c>
      <c r="G782" s="154">
        <f>SUM(G783:G800)</f>
        <v>2799090.3000000003</v>
      </c>
      <c r="H782" s="154">
        <f>SUM(H783:H800)</f>
        <v>1716954.8</v>
      </c>
      <c r="I782" s="154">
        <f>SUM(I783:I800)</f>
        <v>3680875.6000000001</v>
      </c>
      <c r="J782" s="155">
        <f>SUM(J783:J800)</f>
        <v>0</v>
      </c>
      <c r="K782" s="154">
        <f>SUM(K783:K800)</f>
        <v>0</v>
      </c>
      <c r="L782" s="154">
        <f>SUM(L783:L800)</f>
        <v>98031631.600000009</v>
      </c>
      <c r="M782" s="154">
        <f>SUM(M783:M800)</f>
        <v>0</v>
      </c>
      <c r="N782" s="154">
        <f>SUM(N783:N800)</f>
        <v>7801145.5</v>
      </c>
      <c r="O782" s="154">
        <f>SUM(O783:O800)</f>
        <v>0</v>
      </c>
      <c r="P782" s="154">
        <f>SUM(P783:P800)</f>
        <v>12707258.199999999</v>
      </c>
      <c r="Q782" s="154">
        <f>SUM(Q783:Q800)</f>
        <v>0</v>
      </c>
      <c r="R782" s="154">
        <f>SUM(R783:R800)</f>
        <v>3001471.8999999999</v>
      </c>
      <c r="S782" s="154">
        <f>SUM(S783:S800)</f>
        <v>0</v>
      </c>
      <c r="T782" s="154">
        <f>SUM(T783:T800)</f>
        <v>0</v>
      </c>
      <c r="U782" s="350"/>
      <c r="V782" s="350"/>
      <c r="W782" s="350"/>
      <c r="X782" s="350"/>
      <c r="Y782" s="350"/>
      <c r="Z782" s="350"/>
      <c r="AA782" s="350"/>
      <c r="AB782" s="350"/>
      <c r="AC782" s="350"/>
      <c r="AD782" s="350"/>
      <c r="AE782" s="350"/>
      <c r="AF782" s="350"/>
      <c r="AG782" s="350"/>
      <c r="AH782" s="350"/>
      <c r="AI782" s="350"/>
    </row>
    <row r="783" s="54" customFormat="1" ht="22.5" customHeight="1">
      <c r="A783" s="420">
        <v>1</v>
      </c>
      <c r="B783" s="98" t="s">
        <v>1345</v>
      </c>
      <c r="C783" s="79">
        <f t="shared" ref="C783:C800" si="301">D783+K783+L783+M783+N783+O783+P783+Q783+R783+S783+T783</f>
        <v>2808837.0800000001</v>
      </c>
      <c r="D783" s="79">
        <f t="shared" ref="D783:D800" si="302">SUM(E783:I783)</f>
        <v>2072599.2000000002</v>
      </c>
      <c r="E783" s="92">
        <v>0</v>
      </c>
      <c r="F783" s="92">
        <v>0</v>
      </c>
      <c r="G783" s="158">
        <v>1657658.1000000001</v>
      </c>
      <c r="H783" s="79">
        <v>414941.09999999998</v>
      </c>
      <c r="I783" s="158">
        <v>0</v>
      </c>
      <c r="J783" s="398">
        <v>0</v>
      </c>
      <c r="K783" s="158">
        <v>0</v>
      </c>
      <c r="L783" s="79">
        <v>0</v>
      </c>
      <c r="M783" s="158">
        <v>0</v>
      </c>
      <c r="N783" s="79">
        <v>0</v>
      </c>
      <c r="O783" s="92">
        <v>0</v>
      </c>
      <c r="P783" s="92">
        <f>350382+350382</f>
        <v>700764</v>
      </c>
      <c r="Q783" s="158">
        <v>0</v>
      </c>
      <c r="R783" s="79">
        <f>8879.74+26594.14</f>
        <v>35473.879999999997</v>
      </c>
      <c r="S783" s="158">
        <v>0</v>
      </c>
      <c r="T783" s="79">
        <v>0</v>
      </c>
      <c r="U783" s="54"/>
      <c r="V783" s="54"/>
      <c r="W783" s="54"/>
      <c r="X783" s="54"/>
      <c r="Y783" s="54"/>
      <c r="Z783" s="54"/>
      <c r="AA783" s="54"/>
      <c r="AB783" s="54"/>
      <c r="AC783" s="54"/>
      <c r="AD783" s="54"/>
      <c r="AE783" s="54"/>
      <c r="AF783" s="54"/>
      <c r="AG783" s="54"/>
      <c r="AH783" s="54"/>
      <c r="AI783" s="54"/>
    </row>
    <row r="784" s="54" customFormat="1" ht="22.5" customHeight="1">
      <c r="A784" s="420">
        <v>2</v>
      </c>
      <c r="B784" s="98" t="s">
        <v>1346</v>
      </c>
      <c r="C784" s="79">
        <f t="shared" si="301"/>
        <v>2292808.8399999999</v>
      </c>
      <c r="D784" s="79">
        <f t="shared" si="302"/>
        <v>1724712</v>
      </c>
      <c r="E784" s="92">
        <v>0</v>
      </c>
      <c r="F784" s="92">
        <v>0</v>
      </c>
      <c r="G784" s="79">
        <v>771777.59999999998</v>
      </c>
      <c r="H784" s="79"/>
      <c r="I784" s="79">
        <v>952934.40000000002</v>
      </c>
      <c r="J784" s="398">
        <v>0</v>
      </c>
      <c r="K784" s="79">
        <v>0</v>
      </c>
      <c r="L784" s="79">
        <v>0</v>
      </c>
      <c r="M784" s="79">
        <v>0</v>
      </c>
      <c r="N784" s="158">
        <v>0</v>
      </c>
      <c r="O784" s="92">
        <v>0</v>
      </c>
      <c r="P784" s="92">
        <f>265594+265594</f>
        <v>531188</v>
      </c>
      <c r="Q784" s="79">
        <v>0</v>
      </c>
      <c r="R784" s="79">
        <f>16516.04+20392.8</f>
        <v>36908.839999999997</v>
      </c>
      <c r="S784" s="79">
        <v>0</v>
      </c>
      <c r="T784" s="79">
        <v>0</v>
      </c>
      <c r="U784" s="110"/>
      <c r="V784" s="110"/>
      <c r="W784" s="110"/>
      <c r="X784" s="110"/>
      <c r="Y784" s="110"/>
      <c r="Z784" s="110"/>
      <c r="AA784" s="110"/>
      <c r="AB784" s="110"/>
      <c r="AC784" s="110"/>
      <c r="AD784" s="110"/>
      <c r="AE784" s="110"/>
      <c r="AF784" s="54"/>
      <c r="AG784" s="54"/>
      <c r="AH784" s="54"/>
      <c r="AI784" s="54"/>
    </row>
    <row r="785" s="54" customFormat="1" ht="22.5" customHeight="1">
      <c r="A785" s="420">
        <v>3</v>
      </c>
      <c r="B785" s="50" t="s">
        <v>511</v>
      </c>
      <c r="C785" s="79">
        <f t="shared" si="301"/>
        <v>19157147.969999999</v>
      </c>
      <c r="D785" s="79">
        <f t="shared" si="302"/>
        <v>0</v>
      </c>
      <c r="E785" s="79">
        <v>0</v>
      </c>
      <c r="F785" s="79">
        <v>0</v>
      </c>
      <c r="G785" s="79">
        <v>0</v>
      </c>
      <c r="H785" s="79">
        <v>0</v>
      </c>
      <c r="I785" s="79">
        <v>0</v>
      </c>
      <c r="J785" s="398">
        <v>0</v>
      </c>
      <c r="K785" s="79">
        <v>0</v>
      </c>
      <c r="L785" s="92">
        <v>18755774.399999999</v>
      </c>
      <c r="M785" s="79">
        <v>0</v>
      </c>
      <c r="N785" s="79">
        <v>0</v>
      </c>
      <c r="O785" s="79">
        <v>0</v>
      </c>
      <c r="P785" s="79">
        <v>0</v>
      </c>
      <c r="Q785" s="79">
        <v>0</v>
      </c>
      <c r="R785" s="79">
        <v>401373.57000000001</v>
      </c>
      <c r="S785" s="79">
        <v>0</v>
      </c>
      <c r="T785" s="79">
        <v>0</v>
      </c>
      <c r="U785" s="54"/>
      <c r="V785" s="54"/>
      <c r="W785" s="54"/>
      <c r="X785" s="54"/>
      <c r="Y785" s="54"/>
      <c r="Z785" s="54"/>
      <c r="AA785" s="54"/>
      <c r="AB785" s="54"/>
      <c r="AC785" s="54"/>
      <c r="AD785" s="54"/>
      <c r="AE785" s="54"/>
    </row>
    <row r="786" s="54" customFormat="1" ht="24.75" customHeight="1">
      <c r="A786" s="420">
        <v>4</v>
      </c>
      <c r="B786" s="421" t="s">
        <v>1347</v>
      </c>
      <c r="C786" s="79">
        <f t="shared" si="301"/>
        <v>1119373.2700000003</v>
      </c>
      <c r="D786" s="79">
        <f t="shared" si="302"/>
        <v>835891.20000000007</v>
      </c>
      <c r="E786" s="79">
        <v>0</v>
      </c>
      <c r="F786" s="92">
        <v>0</v>
      </c>
      <c r="G786" s="79">
        <v>0</v>
      </c>
      <c r="H786" s="92">
        <v>0</v>
      </c>
      <c r="I786" s="79">
        <v>835891.20000000007</v>
      </c>
      <c r="J786" s="398">
        <v>0</v>
      </c>
      <c r="K786" s="79">
        <v>0</v>
      </c>
      <c r="L786" s="92">
        <v>0</v>
      </c>
      <c r="M786" s="79">
        <v>0</v>
      </c>
      <c r="N786" s="79">
        <v>0</v>
      </c>
      <c r="O786" s="79">
        <v>0</v>
      </c>
      <c r="P786" s="92">
        <v>265594</v>
      </c>
      <c r="Q786" s="79">
        <v>0</v>
      </c>
      <c r="R786" s="79">
        <v>17888.07</v>
      </c>
      <c r="S786" s="79">
        <v>0</v>
      </c>
      <c r="T786" s="79">
        <v>0</v>
      </c>
      <c r="U786" s="54"/>
      <c r="V786" s="54"/>
      <c r="W786" s="54"/>
      <c r="X786" s="54"/>
      <c r="Y786" s="54"/>
      <c r="Z786" s="54"/>
      <c r="AA786" s="54"/>
      <c r="AB786" s="54"/>
      <c r="AC786" s="54"/>
      <c r="AD786" s="54"/>
      <c r="AE786" s="54"/>
      <c r="AF786" s="54"/>
      <c r="AG786" s="54"/>
      <c r="AH786" s="54"/>
      <c r="AI786" s="54"/>
    </row>
    <row r="787" s="54" customFormat="1" ht="24.75" customHeight="1">
      <c r="A787" s="420">
        <v>5</v>
      </c>
      <c r="B787" s="52" t="s">
        <v>1348</v>
      </c>
      <c r="C787" s="79">
        <f t="shared" si="301"/>
        <v>2058927.3400000001</v>
      </c>
      <c r="D787" s="79">
        <f t="shared" si="302"/>
        <v>1495730.7000000002</v>
      </c>
      <c r="E787" s="79">
        <v>0</v>
      </c>
      <c r="F787" s="79">
        <v>0</v>
      </c>
      <c r="G787" s="79">
        <v>0</v>
      </c>
      <c r="H787" s="79">
        <v>503743.5</v>
      </c>
      <c r="I787" s="79">
        <v>991987.20000000007</v>
      </c>
      <c r="J787" s="398">
        <v>0</v>
      </c>
      <c r="K787" s="79">
        <v>0</v>
      </c>
      <c r="L787" s="79">
        <v>0</v>
      </c>
      <c r="M787" s="79">
        <v>0</v>
      </c>
      <c r="N787" s="79">
        <v>0</v>
      </c>
      <c r="O787" s="79">
        <v>0</v>
      </c>
      <c r="P787" s="79">
        <f>265594+265594</f>
        <v>531188</v>
      </c>
      <c r="Q787" s="79">
        <v>0</v>
      </c>
      <c r="R787" s="79">
        <f>21228.53+10780.11</f>
        <v>32008.639999999999</v>
      </c>
      <c r="S787" s="79">
        <v>0</v>
      </c>
      <c r="T787" s="79">
        <v>0</v>
      </c>
      <c r="U787" s="54"/>
      <c r="V787" s="54"/>
      <c r="W787" s="54"/>
      <c r="X787" s="54"/>
      <c r="Y787" s="54"/>
      <c r="Z787" s="54"/>
      <c r="AA787" s="54"/>
      <c r="AB787" s="54"/>
      <c r="AC787" s="54"/>
      <c r="AD787" s="54"/>
      <c r="AE787" s="54"/>
    </row>
    <row r="788" s="54" customFormat="1" ht="24.75" customHeight="1">
      <c r="A788" s="420">
        <v>6</v>
      </c>
      <c r="B788" s="52" t="s">
        <v>1349</v>
      </c>
      <c r="C788" s="79">
        <f t="shared" si="301"/>
        <v>229392.20000000001</v>
      </c>
      <c r="D788" s="79">
        <f t="shared" si="302"/>
        <v>0</v>
      </c>
      <c r="E788" s="79">
        <v>0</v>
      </c>
      <c r="F788" s="79">
        <v>0</v>
      </c>
      <c r="G788" s="79">
        <v>0</v>
      </c>
      <c r="H788" s="79">
        <v>0</v>
      </c>
      <c r="I788" s="79">
        <v>0</v>
      </c>
      <c r="J788" s="398">
        <v>0</v>
      </c>
      <c r="K788" s="79">
        <v>0</v>
      </c>
      <c r="L788" s="79">
        <v>0</v>
      </c>
      <c r="M788" s="79">
        <v>0</v>
      </c>
      <c r="N788" s="79">
        <v>0</v>
      </c>
      <c r="O788" s="79">
        <v>0</v>
      </c>
      <c r="P788" s="79">
        <v>229392.20000000001</v>
      </c>
      <c r="Q788" s="79">
        <v>0</v>
      </c>
      <c r="R788" s="79">
        <v>0</v>
      </c>
      <c r="S788" s="79">
        <v>0</v>
      </c>
      <c r="T788" s="79">
        <v>0</v>
      </c>
      <c r="U788" s="54"/>
      <c r="V788" s="54"/>
      <c r="W788" s="54"/>
      <c r="X788" s="54"/>
      <c r="Y788" s="54"/>
      <c r="Z788" s="54"/>
      <c r="AA788" s="54"/>
      <c r="AB788" s="54"/>
      <c r="AC788" s="54"/>
      <c r="AD788" s="54"/>
      <c r="AE788" s="54"/>
      <c r="AF788" s="54"/>
      <c r="AG788" s="54"/>
      <c r="AH788" s="54"/>
      <c r="AI788" s="54"/>
    </row>
    <row r="789" s="31" customFormat="1" ht="22.800000000000001" customHeight="1">
      <c r="A789" s="420">
        <v>7</v>
      </c>
      <c r="B789" s="52" t="s">
        <v>1350</v>
      </c>
      <c r="C789" s="79">
        <f t="shared" si="301"/>
        <v>1145490.24</v>
      </c>
      <c r="D789" s="79">
        <f t="shared" si="302"/>
        <v>601431.59999999998</v>
      </c>
      <c r="E789" s="79">
        <v>0</v>
      </c>
      <c r="F789" s="79">
        <v>0</v>
      </c>
      <c r="G789" s="79">
        <v>369654.59999999998</v>
      </c>
      <c r="H789" s="79">
        <v>231777</v>
      </c>
      <c r="I789" s="79">
        <v>0</v>
      </c>
      <c r="J789" s="398">
        <v>0</v>
      </c>
      <c r="K789" s="79">
        <v>0</v>
      </c>
      <c r="L789" s="79">
        <v>0</v>
      </c>
      <c r="M789" s="79">
        <v>0</v>
      </c>
      <c r="N789" s="79">
        <v>0</v>
      </c>
      <c r="O789" s="79">
        <v>0</v>
      </c>
      <c r="P789" s="79">
        <f>265594+265594</f>
        <v>531188</v>
      </c>
      <c r="Q789" s="79">
        <v>0</v>
      </c>
      <c r="R789" s="79">
        <f>4960.03+7910.61</f>
        <v>12870.639999999999</v>
      </c>
      <c r="S789" s="79">
        <v>0</v>
      </c>
      <c r="T789" s="79">
        <v>0</v>
      </c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</row>
    <row r="790" s="60" customFormat="1" ht="22.800000000000001" customHeight="1">
      <c r="A790" s="420">
        <v>8</v>
      </c>
      <c r="B790" s="75" t="s">
        <v>1351</v>
      </c>
      <c r="C790" s="79">
        <f t="shared" si="301"/>
        <v>8053282.5999999996</v>
      </c>
      <c r="D790" s="79">
        <f t="shared" si="302"/>
        <v>6855430.3999999994</v>
      </c>
      <c r="E790" s="79">
        <v>0</v>
      </c>
      <c r="F790" s="79">
        <v>5388874.3999999994</v>
      </c>
      <c r="G790" s="79">
        <v>0</v>
      </c>
      <c r="H790" s="79">
        <v>566493.19999999995</v>
      </c>
      <c r="I790" s="79">
        <v>900062.79999999993</v>
      </c>
      <c r="J790" s="398">
        <v>0</v>
      </c>
      <c r="K790" s="79">
        <v>0</v>
      </c>
      <c r="L790" s="79">
        <v>0</v>
      </c>
      <c r="M790" s="79">
        <v>0</v>
      </c>
      <c r="N790" s="79">
        <v>0</v>
      </c>
      <c r="O790" s="79">
        <v>0</v>
      </c>
      <c r="P790" s="79">
        <f>350382+350382+350382</f>
        <v>1051146</v>
      </c>
      <c r="Q790" s="79">
        <v>0</v>
      </c>
      <c r="R790" s="79">
        <f>19261.34+12122.95+115321.91</f>
        <v>146706.20000000001</v>
      </c>
      <c r="S790" s="79">
        <v>0</v>
      </c>
      <c r="T790" s="79">
        <v>0</v>
      </c>
      <c r="U790" s="60"/>
      <c r="V790" s="60"/>
      <c r="W790" s="60"/>
      <c r="X790" s="60"/>
      <c r="Y790" s="60"/>
      <c r="Z790" s="60"/>
      <c r="AA790" s="60"/>
      <c r="AB790" s="60"/>
      <c r="AC790" s="60"/>
      <c r="AD790" s="60"/>
      <c r="AE790" s="60"/>
      <c r="AF790" s="60"/>
      <c r="AG790" s="60"/>
      <c r="AH790" s="60"/>
      <c r="AI790" s="60"/>
    </row>
    <row r="791" s="60" customFormat="1" ht="22.800000000000001" customHeight="1">
      <c r="A791" s="420">
        <v>9</v>
      </c>
      <c r="B791" s="50" t="s">
        <v>514</v>
      </c>
      <c r="C791" s="79">
        <f t="shared" si="301"/>
        <v>11871825.610000001</v>
      </c>
      <c r="D791" s="79">
        <f t="shared" si="302"/>
        <v>3761395.7999999998</v>
      </c>
      <c r="E791" s="79">
        <v>0</v>
      </c>
      <c r="F791" s="79">
        <v>3761395.7999999998</v>
      </c>
      <c r="G791" s="79">
        <v>0</v>
      </c>
      <c r="H791" s="79">
        <v>0</v>
      </c>
      <c r="I791" s="79">
        <v>0</v>
      </c>
      <c r="J791" s="398">
        <v>0</v>
      </c>
      <c r="K791" s="79">
        <v>0</v>
      </c>
      <c r="L791" s="79">
        <v>0</v>
      </c>
      <c r="M791" s="79">
        <v>0</v>
      </c>
      <c r="N791" s="79">
        <v>7801145.5</v>
      </c>
      <c r="O791" s="79">
        <v>0</v>
      </c>
      <c r="P791" s="79">
        <v>0</v>
      </c>
      <c r="Q791" s="79">
        <v>0</v>
      </c>
      <c r="R791" s="79">
        <f>171251.73+138032.58</f>
        <v>309284.31</v>
      </c>
      <c r="S791" s="79">
        <v>0</v>
      </c>
      <c r="T791" s="79">
        <v>0</v>
      </c>
      <c r="U791" s="110"/>
      <c r="V791" s="110"/>
      <c r="W791" s="110"/>
      <c r="X791" s="110"/>
      <c r="Y791" s="110"/>
      <c r="Z791" s="110"/>
      <c r="AA791" s="110"/>
      <c r="AB791" s="110"/>
      <c r="AC791" s="110"/>
      <c r="AD791" s="110"/>
      <c r="AE791" s="110"/>
      <c r="AF791" s="60"/>
      <c r="AG791" s="60"/>
      <c r="AH791" s="60"/>
      <c r="AI791" s="60"/>
    </row>
    <row r="792" s="60" customFormat="1" ht="22.800000000000001" customHeight="1">
      <c r="A792" s="420">
        <v>10</v>
      </c>
      <c r="B792" s="52" t="s">
        <v>741</v>
      </c>
      <c r="C792" s="79">
        <f t="shared" si="301"/>
        <v>21484181.350000001</v>
      </c>
      <c r="D792" s="79">
        <f t="shared" si="302"/>
        <v>4396644</v>
      </c>
      <c r="E792" s="158">
        <v>4396644</v>
      </c>
      <c r="F792" s="79">
        <v>0</v>
      </c>
      <c r="G792" s="158">
        <v>0</v>
      </c>
      <c r="H792" s="79">
        <v>0</v>
      </c>
      <c r="I792" s="158">
        <v>0</v>
      </c>
      <c r="J792" s="398">
        <v>0</v>
      </c>
      <c r="K792" s="158">
        <v>0</v>
      </c>
      <c r="L792" s="79">
        <v>14922204</v>
      </c>
      <c r="M792" s="158">
        <v>0</v>
      </c>
      <c r="N792" s="79">
        <v>0</v>
      </c>
      <c r="O792" s="158">
        <v>0</v>
      </c>
      <c r="P792" s="79">
        <f>350382+350382+350382+350382+350382</f>
        <v>1751910</v>
      </c>
      <c r="Q792" s="158">
        <v>0</v>
      </c>
      <c r="R792" s="79">
        <f>319335.17+94088.18</f>
        <v>413423.34999999998</v>
      </c>
      <c r="S792" s="158">
        <v>0</v>
      </c>
      <c r="T792" s="79">
        <v>0</v>
      </c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  <c r="AG792" s="47"/>
      <c r="AH792" s="47"/>
      <c r="AI792" s="47"/>
    </row>
    <row r="793" s="60" customFormat="1" ht="22.800000000000001" customHeight="1">
      <c r="A793" s="420">
        <v>11</v>
      </c>
      <c r="B793" s="52" t="s">
        <v>518</v>
      </c>
      <c r="C793" s="79">
        <f t="shared" si="301"/>
        <v>4583984.1600000001</v>
      </c>
      <c r="D793" s="79">
        <f t="shared" si="302"/>
        <v>1094023</v>
      </c>
      <c r="E793" s="79">
        <v>0</v>
      </c>
      <c r="F793" s="92">
        <v>1094023</v>
      </c>
      <c r="G793" s="79">
        <v>0</v>
      </c>
      <c r="H793" s="79">
        <v>0</v>
      </c>
      <c r="I793" s="79">
        <v>0</v>
      </c>
      <c r="J793" s="398">
        <v>0</v>
      </c>
      <c r="K793" s="79">
        <v>0</v>
      </c>
      <c r="L793" s="79">
        <v>3393919.2000000002</v>
      </c>
      <c r="M793" s="79">
        <v>0</v>
      </c>
      <c r="N793" s="92">
        <v>0</v>
      </c>
      <c r="O793" s="79">
        <v>0</v>
      </c>
      <c r="P793" s="92">
        <v>0</v>
      </c>
      <c r="Q793" s="79">
        <v>0</v>
      </c>
      <c r="R793" s="79">
        <f>23412.09+72629.87</f>
        <v>96041.959999999992</v>
      </c>
      <c r="S793" s="79">
        <v>0</v>
      </c>
      <c r="T793" s="79">
        <v>0</v>
      </c>
      <c r="U793" s="110"/>
      <c r="V793" s="110"/>
      <c r="W793" s="110"/>
      <c r="X793" s="110"/>
      <c r="Y793" s="110"/>
      <c r="Z793" s="110"/>
      <c r="AA793" s="110"/>
      <c r="AB793" s="110"/>
      <c r="AC793" s="110"/>
      <c r="AD793" s="110"/>
      <c r="AE793" s="110"/>
      <c r="AF793" s="47"/>
      <c r="AG793" s="47"/>
      <c r="AH793" s="47"/>
      <c r="AI793" s="47"/>
    </row>
    <row r="794" s="60" customFormat="1" ht="22.800000000000001" customHeight="1">
      <c r="A794" s="420">
        <v>12</v>
      </c>
      <c r="B794" s="52" t="s">
        <v>1352</v>
      </c>
      <c r="C794" s="79">
        <f t="shared" si="301"/>
        <v>5958371.5700000003</v>
      </c>
      <c r="D794" s="79">
        <f t="shared" si="302"/>
        <v>0</v>
      </c>
      <c r="E794" s="79">
        <v>0</v>
      </c>
      <c r="F794" s="79">
        <v>0</v>
      </c>
      <c r="G794" s="79">
        <v>0</v>
      </c>
      <c r="H794" s="79">
        <v>0</v>
      </c>
      <c r="I794" s="79">
        <v>0</v>
      </c>
      <c r="J794" s="398">
        <v>0</v>
      </c>
      <c r="K794" s="79">
        <v>0</v>
      </c>
      <c r="L794" s="79">
        <v>5313475.2000000002</v>
      </c>
      <c r="M794" s="79">
        <v>0</v>
      </c>
      <c r="N794" s="79">
        <v>0</v>
      </c>
      <c r="O794" s="79">
        <v>0</v>
      </c>
      <c r="P794" s="79">
        <f t="shared" ref="P794:P795" si="303">265594+265594</f>
        <v>531188</v>
      </c>
      <c r="Q794" s="79">
        <v>0</v>
      </c>
      <c r="R794" s="79">
        <f>113708.37</f>
        <v>113708.37</v>
      </c>
      <c r="S794" s="79">
        <v>0</v>
      </c>
      <c r="T794" s="79">
        <v>0</v>
      </c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  <c r="AG794" s="47"/>
      <c r="AH794" s="47"/>
      <c r="AI794" s="47"/>
    </row>
    <row r="795" s="60" customFormat="1" ht="22.800000000000001" customHeight="1">
      <c r="A795" s="420">
        <v>13</v>
      </c>
      <c r="B795" s="52" t="s">
        <v>1353</v>
      </c>
      <c r="C795" s="79">
        <f t="shared" si="301"/>
        <v>5785320.2599999998</v>
      </c>
      <c r="D795" s="79">
        <f t="shared" si="302"/>
        <v>0</v>
      </c>
      <c r="E795" s="79">
        <v>0</v>
      </c>
      <c r="F795" s="79">
        <v>0</v>
      </c>
      <c r="G795" s="79">
        <v>0</v>
      </c>
      <c r="H795" s="79">
        <v>0</v>
      </c>
      <c r="I795" s="79">
        <v>0</v>
      </c>
      <c r="J795" s="398">
        <v>0</v>
      </c>
      <c r="K795" s="79">
        <v>0</v>
      </c>
      <c r="L795" s="79">
        <v>5144049.5999999996</v>
      </c>
      <c r="M795" s="79">
        <v>0</v>
      </c>
      <c r="N795" s="79">
        <v>0</v>
      </c>
      <c r="O795" s="79">
        <v>0</v>
      </c>
      <c r="P795" s="79">
        <f t="shared" si="303"/>
        <v>531188</v>
      </c>
      <c r="Q795" s="79">
        <v>0</v>
      </c>
      <c r="R795" s="79">
        <f>110082.66</f>
        <v>110082.66</v>
      </c>
      <c r="S795" s="79">
        <v>0</v>
      </c>
      <c r="T795" s="79">
        <v>0</v>
      </c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  <c r="AG795" s="47"/>
      <c r="AH795" s="47"/>
      <c r="AI795" s="47"/>
    </row>
    <row r="796" s="60" customFormat="1" ht="22.800000000000001" customHeight="1">
      <c r="A796" s="420">
        <v>14</v>
      </c>
      <c r="B796" s="52" t="s">
        <v>1354</v>
      </c>
      <c r="C796" s="79">
        <f t="shared" si="301"/>
        <v>5951501.8099999996</v>
      </c>
      <c r="D796" s="79">
        <f t="shared" si="302"/>
        <v>0</v>
      </c>
      <c r="E796" s="79">
        <v>0</v>
      </c>
      <c r="F796" s="79">
        <v>0</v>
      </c>
      <c r="G796" s="79">
        <v>0</v>
      </c>
      <c r="H796" s="79">
        <v>0</v>
      </c>
      <c r="I796" s="79">
        <v>0</v>
      </c>
      <c r="J796" s="398">
        <v>0</v>
      </c>
      <c r="K796" s="79">
        <v>0</v>
      </c>
      <c r="L796" s="79">
        <v>5046720</v>
      </c>
      <c r="M796" s="79">
        <v>0</v>
      </c>
      <c r="N796" s="79">
        <v>0</v>
      </c>
      <c r="O796" s="79">
        <v>0</v>
      </c>
      <c r="P796" s="79">
        <f>265594+265594+265594</f>
        <v>796782</v>
      </c>
      <c r="Q796" s="79">
        <v>0</v>
      </c>
      <c r="R796" s="79">
        <f>107999.81</f>
        <v>107999.81</v>
      </c>
      <c r="S796" s="79">
        <v>0</v>
      </c>
      <c r="T796" s="79">
        <v>0</v>
      </c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  <c r="AG796" s="47"/>
      <c r="AH796" s="47"/>
      <c r="AI796" s="47"/>
    </row>
    <row r="797" s="60" customFormat="1" ht="22.800000000000001" customHeight="1">
      <c r="A797" s="420">
        <v>15</v>
      </c>
      <c r="B797" s="52" t="s">
        <v>1355</v>
      </c>
      <c r="C797" s="79">
        <f t="shared" si="301"/>
        <v>16248742.83</v>
      </c>
      <c r="D797" s="79">
        <f t="shared" si="302"/>
        <v>0</v>
      </c>
      <c r="E797" s="79">
        <v>0</v>
      </c>
      <c r="F797" s="79">
        <v>0</v>
      </c>
      <c r="G797" s="79">
        <v>0</v>
      </c>
      <c r="H797" s="79">
        <v>0</v>
      </c>
      <c r="I797" s="79">
        <v>0</v>
      </c>
      <c r="J797" s="398">
        <v>0</v>
      </c>
      <c r="K797" s="79">
        <v>0</v>
      </c>
      <c r="L797" s="79">
        <v>14536141.4</v>
      </c>
      <c r="M797" s="79">
        <v>0</v>
      </c>
      <c r="N797" s="79">
        <v>0</v>
      </c>
      <c r="O797" s="79">
        <v>0</v>
      </c>
      <c r="P797" s="79">
        <f>350382+350382+350382+350382</f>
        <v>1401528</v>
      </c>
      <c r="Q797" s="79">
        <v>0</v>
      </c>
      <c r="R797" s="79">
        <f>311073.43</f>
        <v>311073.42999999999</v>
      </c>
      <c r="S797" s="79">
        <v>0</v>
      </c>
      <c r="T797" s="79">
        <v>0</v>
      </c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  <c r="AG797" s="47"/>
      <c r="AH797" s="47"/>
      <c r="AI797" s="47"/>
    </row>
    <row r="798" s="60" customFormat="1" ht="22.800000000000001" customHeight="1">
      <c r="A798" s="420">
        <v>16</v>
      </c>
      <c r="B798" s="210" t="s">
        <v>1356</v>
      </c>
      <c r="C798" s="79">
        <f t="shared" si="301"/>
        <v>350382</v>
      </c>
      <c r="D798" s="79">
        <f t="shared" si="302"/>
        <v>0</v>
      </c>
      <c r="E798" s="213">
        <v>0</v>
      </c>
      <c r="F798" s="397">
        <v>0</v>
      </c>
      <c r="G798" s="213">
        <v>0</v>
      </c>
      <c r="H798" s="215">
        <v>0</v>
      </c>
      <c r="I798" s="213">
        <v>0</v>
      </c>
      <c r="J798" s="310">
        <v>0</v>
      </c>
      <c r="K798" s="213">
        <v>0</v>
      </c>
      <c r="L798" s="215">
        <v>0</v>
      </c>
      <c r="M798" s="213">
        <v>0</v>
      </c>
      <c r="N798" s="215">
        <v>0</v>
      </c>
      <c r="O798" s="213">
        <v>0</v>
      </c>
      <c r="P798" s="397">
        <v>350382</v>
      </c>
      <c r="Q798" s="213">
        <v>0</v>
      </c>
      <c r="R798" s="215">
        <v>0</v>
      </c>
      <c r="S798" s="213">
        <v>0</v>
      </c>
      <c r="T798" s="215">
        <v>0</v>
      </c>
      <c r="U798" s="452"/>
      <c r="V798" s="452"/>
      <c r="W798" s="452"/>
      <c r="X798" s="452"/>
      <c r="Y798" s="452"/>
      <c r="Z798" s="452"/>
      <c r="AA798" s="452"/>
      <c r="AB798" s="452"/>
      <c r="AC798" s="452"/>
      <c r="AD798" s="452"/>
      <c r="AE798" s="452"/>
      <c r="AF798" s="452"/>
      <c r="AG798" s="452"/>
      <c r="AH798" s="452"/>
      <c r="AI798" s="452"/>
    </row>
    <row r="799" s="60" customFormat="1" ht="22.800000000000001" customHeight="1">
      <c r="A799" s="420">
        <v>17</v>
      </c>
      <c r="B799" s="210" t="s">
        <v>1357</v>
      </c>
      <c r="C799" s="79">
        <f t="shared" si="301"/>
        <v>22901492.329999998</v>
      </c>
      <c r="D799" s="79">
        <f t="shared" si="302"/>
        <v>4712442</v>
      </c>
      <c r="E799" s="215">
        <v>4712442</v>
      </c>
      <c r="F799" s="397">
        <v>0</v>
      </c>
      <c r="G799" s="215">
        <v>0</v>
      </c>
      <c r="H799" s="215">
        <v>0</v>
      </c>
      <c r="I799" s="215">
        <v>0</v>
      </c>
      <c r="J799" s="310">
        <v>0</v>
      </c>
      <c r="K799" s="215">
        <v>0</v>
      </c>
      <c r="L799" s="215">
        <v>15994022</v>
      </c>
      <c r="M799" s="215">
        <v>0</v>
      </c>
      <c r="N799" s="215">
        <v>0</v>
      </c>
      <c r="O799" s="215">
        <v>0</v>
      </c>
      <c r="P799" s="397">
        <f t="shared" ref="P799:P800" si="304">350382*5</f>
        <v>1751910</v>
      </c>
      <c r="Q799" s="215">
        <v>0</v>
      </c>
      <c r="R799" s="215">
        <f>342272.07+100846.26</f>
        <v>443118.33000000002</v>
      </c>
      <c r="S799" s="215">
        <v>0</v>
      </c>
      <c r="T799" s="215">
        <v>0</v>
      </c>
      <c r="U799" s="453"/>
      <c r="V799" s="453"/>
      <c r="W799" s="453"/>
      <c r="X799" s="453"/>
      <c r="Y799" s="453"/>
      <c r="Z799" s="453"/>
      <c r="AA799" s="453"/>
      <c r="AB799" s="453"/>
      <c r="AC799" s="453"/>
      <c r="AD799" s="453"/>
      <c r="AE799" s="453"/>
      <c r="AF799" s="453"/>
      <c r="AG799" s="453"/>
      <c r="AH799" s="453"/>
      <c r="AI799" s="453"/>
    </row>
    <row r="800" s="60" customFormat="1" ht="22.800000000000001" customHeight="1">
      <c r="A800" s="420">
        <v>18</v>
      </c>
      <c r="B800" s="210" t="s">
        <v>1358</v>
      </c>
      <c r="C800" s="79">
        <f t="shared" si="301"/>
        <v>21488309.440000001</v>
      </c>
      <c r="D800" s="79">
        <f t="shared" si="302"/>
        <v>4397563.7999999998</v>
      </c>
      <c r="E800" s="397">
        <v>4397563.7999999998</v>
      </c>
      <c r="F800" s="397">
        <v>0</v>
      </c>
      <c r="G800" s="215">
        <v>0</v>
      </c>
      <c r="H800" s="397">
        <v>0</v>
      </c>
      <c r="I800" s="397">
        <v>0</v>
      </c>
      <c r="J800" s="310">
        <v>0</v>
      </c>
      <c r="K800" s="215">
        <v>0</v>
      </c>
      <c r="L800" s="215">
        <v>14925325.800000001</v>
      </c>
      <c r="M800" s="215">
        <v>0</v>
      </c>
      <c r="N800" s="215">
        <v>0</v>
      </c>
      <c r="O800" s="215">
        <v>0</v>
      </c>
      <c r="P800" s="397">
        <f t="shared" si="304"/>
        <v>1751910</v>
      </c>
      <c r="Q800" s="215">
        <v>0</v>
      </c>
      <c r="R800" s="215">
        <f>319401.97+94107.87</f>
        <v>413509.83999999997</v>
      </c>
      <c r="S800" s="215">
        <v>0</v>
      </c>
      <c r="T800" s="215">
        <v>0</v>
      </c>
      <c r="U800" s="453"/>
      <c r="V800" s="453"/>
      <c r="W800" s="453"/>
      <c r="X800" s="453"/>
      <c r="Y800" s="453"/>
      <c r="Z800" s="453"/>
      <c r="AA800" s="453"/>
      <c r="AB800" s="453"/>
      <c r="AC800" s="453"/>
      <c r="AD800" s="453"/>
      <c r="AE800" s="453"/>
      <c r="AF800" s="453"/>
      <c r="AG800" s="453"/>
      <c r="AH800" s="453"/>
      <c r="AI800" s="453"/>
    </row>
    <row r="801" s="144" customFormat="1" ht="22.800000000000001" customHeight="1">
      <c r="A801" s="150" t="s">
        <v>749</v>
      </c>
      <c r="B801" s="151"/>
      <c r="C801" s="154">
        <f>C802</f>
        <v>7386044.8600000003</v>
      </c>
      <c r="D801" s="154">
        <f>D802</f>
        <v>0</v>
      </c>
      <c r="E801" s="154">
        <f>E802</f>
        <v>0</v>
      </c>
      <c r="F801" s="154">
        <f>F802</f>
        <v>0</v>
      </c>
      <c r="G801" s="154">
        <f>G802</f>
        <v>0</v>
      </c>
      <c r="H801" s="154">
        <f>H802</f>
        <v>0</v>
      </c>
      <c r="I801" s="154">
        <f>I802</f>
        <v>0</v>
      </c>
      <c r="J801" s="155">
        <f>J802</f>
        <v>0</v>
      </c>
      <c r="K801" s="154">
        <f>K802</f>
        <v>0</v>
      </c>
      <c r="L801" s="154">
        <f>L802</f>
        <v>6711236.4000000004</v>
      </c>
      <c r="M801" s="154">
        <f>M802</f>
        <v>0</v>
      </c>
      <c r="N801" s="154">
        <f>N802</f>
        <v>0</v>
      </c>
      <c r="O801" s="154">
        <f>O802</f>
        <v>0</v>
      </c>
      <c r="P801" s="154">
        <f>P802</f>
        <v>531188</v>
      </c>
      <c r="Q801" s="154">
        <f>Q802</f>
        <v>0</v>
      </c>
      <c r="R801" s="154">
        <f>R802</f>
        <v>143620.45999999999</v>
      </c>
      <c r="S801" s="154">
        <f>S802</f>
        <v>0</v>
      </c>
      <c r="T801" s="154">
        <f>T802</f>
        <v>0</v>
      </c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  <c r="AG801" s="47"/>
      <c r="AH801" s="47"/>
      <c r="AI801" s="47"/>
    </row>
    <row r="802" s="144" customFormat="1" ht="22.800000000000001" customHeight="1">
      <c r="A802" s="33">
        <v>1</v>
      </c>
      <c r="B802" s="34" t="s">
        <v>750</v>
      </c>
      <c r="C802" s="450">
        <f>D802+K802+L802+M802+N802+O802+P802+Q802+R802+S802+T802</f>
        <v>7386044.8600000003</v>
      </c>
      <c r="D802" s="450">
        <f>SUM(E802:I802)</f>
        <v>0</v>
      </c>
      <c r="E802" s="450">
        <v>0</v>
      </c>
      <c r="F802" s="450">
        <v>0</v>
      </c>
      <c r="G802" s="450">
        <v>0</v>
      </c>
      <c r="H802" s="450">
        <v>0</v>
      </c>
      <c r="I802" s="92">
        <v>0</v>
      </c>
      <c r="J802" s="451">
        <v>0</v>
      </c>
      <c r="K802" s="450">
        <v>0</v>
      </c>
      <c r="L802" s="92">
        <v>6711236.4000000004</v>
      </c>
      <c r="M802" s="450">
        <v>0</v>
      </c>
      <c r="N802" s="92">
        <v>0</v>
      </c>
      <c r="O802" s="454">
        <v>0</v>
      </c>
      <c r="P802" s="455">
        <f>265594+265594</f>
        <v>531188</v>
      </c>
      <c r="Q802" s="456">
        <v>0</v>
      </c>
      <c r="R802" s="450">
        <v>143620.45999999999</v>
      </c>
      <c r="S802" s="450">
        <v>0</v>
      </c>
      <c r="T802" s="79">
        <v>0</v>
      </c>
      <c r="U802" s="59"/>
      <c r="V802" s="59"/>
      <c r="W802" s="59"/>
      <c r="X802" s="59"/>
      <c r="Y802" s="59"/>
      <c r="Z802" s="59"/>
      <c r="AA802" s="59"/>
      <c r="AB802" s="59"/>
      <c r="AC802" s="59"/>
      <c r="AD802" s="59"/>
      <c r="AE802" s="59"/>
      <c r="AF802" s="59"/>
      <c r="AG802" s="59"/>
      <c r="AH802" s="59"/>
      <c r="AI802" s="59"/>
      <c r="AJ802" s="144"/>
      <c r="AK802" s="144"/>
      <c r="AL802" s="144"/>
      <c r="AM802" s="144"/>
      <c r="AN802" s="144"/>
      <c r="AO802" s="144"/>
    </row>
    <row r="803" s="31" customFormat="1" ht="22.800000000000001" customHeight="1">
      <c r="A803" s="25" t="s">
        <v>519</v>
      </c>
      <c r="B803" s="25"/>
      <c r="C803" s="154">
        <f>SUM(C804:C823)</f>
        <v>86201098.680000022</v>
      </c>
      <c r="D803" s="154">
        <f>SUM(D804:D823)</f>
        <v>19403687.359999999</v>
      </c>
      <c r="E803" s="154">
        <f>SUM(E804:E823)</f>
        <v>8740241.790000001</v>
      </c>
      <c r="F803" s="154">
        <f>SUM(F804:F823)</f>
        <v>6589366.9099999992</v>
      </c>
      <c r="G803" s="154">
        <f>SUM(G804:G823)</f>
        <v>966174.40000000002</v>
      </c>
      <c r="H803" s="154">
        <f>SUM(H804:H823)</f>
        <v>1172669.75</v>
      </c>
      <c r="I803" s="154">
        <f>SUM(I804:I823)</f>
        <v>1935234.5100000002</v>
      </c>
      <c r="J803" s="155">
        <f>SUM(J804:J823)</f>
        <v>0</v>
      </c>
      <c r="K803" s="154">
        <f>SUM(K804:K823)</f>
        <v>0</v>
      </c>
      <c r="L803" s="154">
        <f>SUM(L804:L823)</f>
        <v>47435677.600000001</v>
      </c>
      <c r="M803" s="154">
        <f>SUM(M804:M823)</f>
        <v>0</v>
      </c>
      <c r="N803" s="154">
        <f>SUM(N804:N823)</f>
        <v>13048359.970000001</v>
      </c>
      <c r="O803" s="154">
        <f>SUM(O804:O823)</f>
        <v>0</v>
      </c>
      <c r="P803" s="154">
        <f>SUM(P804:P823)</f>
        <v>4503868</v>
      </c>
      <c r="Q803" s="154">
        <f>SUM(Q804:Q823)</f>
        <v>0</v>
      </c>
      <c r="R803" s="154">
        <f>SUM(R804:R823)</f>
        <v>1809505.7499999998</v>
      </c>
      <c r="S803" s="154">
        <f>SUM(S804:S823)</f>
        <v>0</v>
      </c>
      <c r="T803" s="154">
        <f>SUM(T804:T823)</f>
        <v>0</v>
      </c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</row>
    <row r="804" s="457" customFormat="1" ht="21.600000000000001" customHeight="1">
      <c r="A804" s="33">
        <v>1</v>
      </c>
      <c r="B804" s="34" t="s">
        <v>532</v>
      </c>
      <c r="C804" s="400">
        <f t="shared" ref="C804:C823" si="305">D804+K804+L804+M804+N804+O804+P804+Q804+R804+S804+T804</f>
        <v>7045039.8099999996</v>
      </c>
      <c r="D804" s="158">
        <f t="shared" ref="D804:D823" si="306">SUM(E804:I804)</f>
        <v>0</v>
      </c>
      <c r="E804" s="400">
        <v>0</v>
      </c>
      <c r="F804" s="400">
        <v>0</v>
      </c>
      <c r="G804" s="158">
        <v>0</v>
      </c>
      <c r="H804" s="400">
        <v>0</v>
      </c>
      <c r="I804" s="92">
        <v>0</v>
      </c>
      <c r="J804" s="402">
        <v>0</v>
      </c>
      <c r="K804" s="400">
        <v>0</v>
      </c>
      <c r="L804" s="92">
        <v>1260382.5</v>
      </c>
      <c r="M804" s="400">
        <v>0</v>
      </c>
      <c r="N804" s="92">
        <v>5637006</v>
      </c>
      <c r="O804" s="423">
        <v>0</v>
      </c>
      <c r="P804" s="458">
        <v>0</v>
      </c>
      <c r="Q804" s="425">
        <v>0</v>
      </c>
      <c r="R804" s="400">
        <f>120670.5+26980.81</f>
        <v>147651.31</v>
      </c>
      <c r="S804" s="400">
        <v>0</v>
      </c>
      <c r="T804" s="79">
        <v>0</v>
      </c>
      <c r="U804" s="457"/>
      <c r="V804" s="457"/>
      <c r="W804" s="457"/>
      <c r="X804" s="457"/>
      <c r="Y804" s="457"/>
      <c r="Z804" s="457"/>
      <c r="AA804" s="457"/>
      <c r="AB804" s="457"/>
      <c r="AC804" s="457"/>
      <c r="AD804" s="457"/>
      <c r="AE804" s="457"/>
      <c r="AF804" s="457"/>
      <c r="AG804" s="457"/>
      <c r="AH804" s="457"/>
      <c r="AI804" s="457"/>
    </row>
    <row r="805" s="144" customFormat="1" ht="21.600000000000001" customHeight="1">
      <c r="A805" s="33">
        <v>2</v>
      </c>
      <c r="B805" s="34" t="s">
        <v>1359</v>
      </c>
      <c r="C805" s="79">
        <f t="shared" si="305"/>
        <v>664337.72999999998</v>
      </c>
      <c r="D805" s="79">
        <f t="shared" si="306"/>
        <v>390389.40000000002</v>
      </c>
      <c r="E805" s="92">
        <v>0</v>
      </c>
      <c r="F805" s="92">
        <v>0</v>
      </c>
      <c r="G805" s="79">
        <v>0</v>
      </c>
      <c r="H805" s="92">
        <v>390389.40000000002</v>
      </c>
      <c r="I805" s="158">
        <v>0</v>
      </c>
      <c r="J805" s="398">
        <v>0</v>
      </c>
      <c r="K805" s="92">
        <v>0</v>
      </c>
      <c r="L805" s="111">
        <v>0</v>
      </c>
      <c r="M805" s="56">
        <v>0</v>
      </c>
      <c r="N805" s="111">
        <v>0</v>
      </c>
      <c r="O805" s="79">
        <v>0</v>
      </c>
      <c r="P805" s="92">
        <v>265594</v>
      </c>
      <c r="Q805" s="79">
        <v>0</v>
      </c>
      <c r="R805" s="79">
        <v>8354.3299999999999</v>
      </c>
      <c r="S805" s="79">
        <v>0</v>
      </c>
      <c r="T805" s="79">
        <v>0</v>
      </c>
      <c r="U805" s="399"/>
      <c r="V805" s="399"/>
      <c r="W805" s="399"/>
      <c r="X805" s="399"/>
      <c r="Y805" s="399"/>
      <c r="Z805" s="399"/>
      <c r="AA805" s="399"/>
      <c r="AB805" s="399"/>
      <c r="AC805" s="399"/>
      <c r="AD805" s="399"/>
      <c r="AE805" s="399"/>
      <c r="AF805" s="59"/>
      <c r="AG805" s="59"/>
      <c r="AH805" s="59"/>
      <c r="AI805" s="59"/>
    </row>
    <row r="806" s="60" customFormat="1" ht="21.600000000000001" customHeight="1">
      <c r="A806" s="33">
        <v>3</v>
      </c>
      <c r="B806" s="34" t="s">
        <v>533</v>
      </c>
      <c r="C806" s="79">
        <f t="shared" si="305"/>
        <v>3346180.1200000001</v>
      </c>
      <c r="D806" s="79">
        <f t="shared" si="306"/>
        <v>0</v>
      </c>
      <c r="E806" s="92">
        <v>0</v>
      </c>
      <c r="F806" s="92">
        <v>0</v>
      </c>
      <c r="G806" s="79">
        <v>0</v>
      </c>
      <c r="H806" s="92">
        <v>0</v>
      </c>
      <c r="I806" s="79">
        <v>0</v>
      </c>
      <c r="J806" s="398">
        <v>0</v>
      </c>
      <c r="K806" s="92">
        <v>0</v>
      </c>
      <c r="L806" s="111">
        <v>0</v>
      </c>
      <c r="M806" s="56">
        <v>0</v>
      </c>
      <c r="N806" s="111">
        <v>3248210.4700000002</v>
      </c>
      <c r="O806" s="79">
        <v>0</v>
      </c>
      <c r="P806" s="92">
        <v>0</v>
      </c>
      <c r="Q806" s="79">
        <v>0</v>
      </c>
      <c r="R806" s="79">
        <v>97969.649999999994</v>
      </c>
      <c r="S806" s="79">
        <v>0</v>
      </c>
      <c r="T806" s="79">
        <v>0</v>
      </c>
      <c r="U806" s="350"/>
      <c r="V806" s="350"/>
      <c r="W806" s="350"/>
      <c r="X806" s="350"/>
      <c r="Y806" s="350"/>
      <c r="Z806" s="350"/>
      <c r="AA806" s="350"/>
      <c r="AB806" s="350"/>
      <c r="AC806" s="350"/>
      <c r="AD806" s="350"/>
      <c r="AE806" s="350"/>
      <c r="AF806" s="60"/>
      <c r="AG806" s="60"/>
      <c r="AH806" s="60"/>
      <c r="AI806" s="60"/>
    </row>
    <row r="807" s="60" customFormat="1" ht="21.600000000000001" customHeight="1">
      <c r="A807" s="33">
        <v>4</v>
      </c>
      <c r="B807" s="34" t="s">
        <v>1360</v>
      </c>
      <c r="C807" s="158">
        <f t="shared" si="305"/>
        <v>18473186.109999999</v>
      </c>
      <c r="D807" s="79">
        <f t="shared" si="306"/>
        <v>0</v>
      </c>
      <c r="E807" s="79">
        <v>0</v>
      </c>
      <c r="F807" s="79">
        <v>0</v>
      </c>
      <c r="G807" s="79">
        <v>0</v>
      </c>
      <c r="H807" s="79">
        <v>0</v>
      </c>
      <c r="I807" s="92">
        <v>0</v>
      </c>
      <c r="J807" s="398">
        <v>0</v>
      </c>
      <c r="K807" s="79">
        <v>0</v>
      </c>
      <c r="L807" s="158">
        <v>13606365.300000001</v>
      </c>
      <c r="M807" s="92">
        <v>0</v>
      </c>
      <c r="N807" s="92">
        <v>4163143.5</v>
      </c>
      <c r="O807" s="79">
        <v>0</v>
      </c>
      <c r="P807" s="428">
        <v>350382</v>
      </c>
      <c r="Q807" s="459">
        <v>0</v>
      </c>
      <c r="R807" s="158">
        <f>291176.22+62119.09</f>
        <v>353295.30999999994</v>
      </c>
      <c r="S807" s="400">
        <v>0</v>
      </c>
      <c r="T807" s="79">
        <v>0</v>
      </c>
      <c r="U807" s="60"/>
      <c r="V807" s="60"/>
      <c r="W807" s="60"/>
      <c r="X807" s="60"/>
      <c r="Y807" s="60"/>
      <c r="Z807" s="60"/>
      <c r="AA807" s="60"/>
      <c r="AB807" s="60"/>
      <c r="AC807" s="60"/>
      <c r="AD807" s="60"/>
      <c r="AE807" s="60"/>
      <c r="AF807" s="60"/>
      <c r="AG807" s="60"/>
      <c r="AH807" s="60"/>
      <c r="AI807" s="60"/>
    </row>
    <row r="808" s="60" customFormat="1" ht="21.600000000000001" customHeight="1">
      <c r="A808" s="33">
        <v>5</v>
      </c>
      <c r="B808" s="34" t="s">
        <v>537</v>
      </c>
      <c r="C808" s="79">
        <f t="shared" si="305"/>
        <v>14824129.32</v>
      </c>
      <c r="D808" s="79">
        <f t="shared" si="306"/>
        <v>0</v>
      </c>
      <c r="E808" s="79">
        <v>0</v>
      </c>
      <c r="F808" s="79">
        <v>0</v>
      </c>
      <c r="G808" s="79">
        <v>0</v>
      </c>
      <c r="H808" s="79">
        <v>0</v>
      </c>
      <c r="I808" s="92">
        <v>0</v>
      </c>
      <c r="J808" s="398">
        <v>0</v>
      </c>
      <c r="K808" s="79">
        <v>0</v>
      </c>
      <c r="L808" s="92">
        <v>14513768.5</v>
      </c>
      <c r="M808" s="79">
        <v>0</v>
      </c>
      <c r="N808" s="92">
        <v>0</v>
      </c>
      <c r="O808" s="79">
        <v>0</v>
      </c>
      <c r="P808" s="428">
        <v>0</v>
      </c>
      <c r="Q808" s="79">
        <v>0</v>
      </c>
      <c r="R808" s="79">
        <v>310360.82000000001</v>
      </c>
      <c r="S808" s="79">
        <v>0</v>
      </c>
      <c r="T808" s="79">
        <v>0</v>
      </c>
      <c r="U808" s="60"/>
      <c r="V808" s="60"/>
      <c r="W808" s="60"/>
      <c r="X808" s="60"/>
      <c r="Y808" s="60"/>
      <c r="Z808" s="60"/>
      <c r="AA808" s="60"/>
      <c r="AB808" s="60"/>
      <c r="AC808" s="60"/>
      <c r="AD808" s="60"/>
      <c r="AE808" s="60"/>
      <c r="AF808" s="60"/>
      <c r="AG808" s="60"/>
      <c r="AH808" s="60"/>
      <c r="AI808" s="60"/>
    </row>
    <row r="809" s="60" customFormat="1" ht="21.600000000000001" customHeight="1">
      <c r="A809" s="33">
        <v>6</v>
      </c>
      <c r="B809" s="42" t="s">
        <v>1361</v>
      </c>
      <c r="C809" s="158">
        <f t="shared" si="305"/>
        <v>390184.41999999998</v>
      </c>
      <c r="D809" s="79">
        <f t="shared" si="306"/>
        <v>356928.59999999998</v>
      </c>
      <c r="E809" s="79">
        <v>0</v>
      </c>
      <c r="F809" s="79">
        <v>0</v>
      </c>
      <c r="G809" s="79">
        <v>356928.59999999998</v>
      </c>
      <c r="H809" s="79">
        <v>0</v>
      </c>
      <c r="I809" s="79">
        <v>0</v>
      </c>
      <c r="J809" s="398">
        <v>0</v>
      </c>
      <c r="K809" s="79">
        <v>0</v>
      </c>
      <c r="L809" s="79">
        <v>0</v>
      </c>
      <c r="M809" s="79">
        <v>0</v>
      </c>
      <c r="N809" s="79">
        <v>0</v>
      </c>
      <c r="O809" s="79">
        <v>0</v>
      </c>
      <c r="P809" s="79">
        <v>0</v>
      </c>
      <c r="Q809" s="158">
        <v>0</v>
      </c>
      <c r="R809" s="79">
        <v>33255.82</v>
      </c>
      <c r="S809" s="158">
        <v>0</v>
      </c>
      <c r="T809" s="79">
        <v>0</v>
      </c>
      <c r="U809" s="350"/>
      <c r="V809" s="350"/>
      <c r="W809" s="350"/>
      <c r="X809" s="350"/>
      <c r="Y809" s="350"/>
      <c r="Z809" s="350"/>
      <c r="AA809" s="350"/>
      <c r="AB809" s="350"/>
      <c r="AC809" s="350"/>
      <c r="AD809" s="350"/>
      <c r="AE809" s="350"/>
      <c r="AF809" s="60"/>
      <c r="AG809" s="60"/>
      <c r="AH809" s="60"/>
      <c r="AI809" s="60"/>
    </row>
    <row r="810" s="54" customFormat="1" ht="24.75" customHeight="1">
      <c r="A810" s="33">
        <v>7</v>
      </c>
      <c r="B810" s="34" t="s">
        <v>752</v>
      </c>
      <c r="C810" s="79">
        <f t="shared" si="305"/>
        <v>2972346.3300000001</v>
      </c>
      <c r="D810" s="79">
        <f t="shared" si="306"/>
        <v>2898507.2800000003</v>
      </c>
      <c r="E810" s="79">
        <v>0</v>
      </c>
      <c r="F810" s="79">
        <v>1778609.5700000001</v>
      </c>
      <c r="G810" s="79">
        <v>205179.72</v>
      </c>
      <c r="H810" s="79">
        <v>262548.48999999999</v>
      </c>
      <c r="I810" s="79">
        <v>652169.5</v>
      </c>
      <c r="J810" s="398">
        <v>0</v>
      </c>
      <c r="K810" s="79">
        <v>0</v>
      </c>
      <c r="L810" s="79">
        <v>0</v>
      </c>
      <c r="M810" s="79">
        <v>0</v>
      </c>
      <c r="N810" s="79">
        <v>0</v>
      </c>
      <c r="O810" s="79">
        <v>0</v>
      </c>
      <c r="P810" s="79">
        <v>0</v>
      </c>
      <c r="Q810" s="79">
        <v>0</v>
      </c>
      <c r="R810" s="56">
        <f>15257.86+38475.78+12357.28+7748.13</f>
        <v>73839.050000000003</v>
      </c>
      <c r="S810" s="79">
        <v>0</v>
      </c>
      <c r="T810" s="79">
        <v>0</v>
      </c>
      <c r="U810" s="54"/>
      <c r="V810" s="54"/>
      <c r="W810" s="54"/>
      <c r="X810" s="54"/>
      <c r="Y810" s="54"/>
      <c r="Z810" s="54"/>
      <c r="AA810" s="54"/>
      <c r="AB810" s="54"/>
      <c r="AC810" s="54"/>
      <c r="AD810" s="54"/>
      <c r="AE810" s="54"/>
      <c r="AF810" s="54"/>
      <c r="AG810" s="54"/>
      <c r="AH810" s="54"/>
      <c r="AI810" s="54"/>
    </row>
    <row r="811" s="54" customFormat="1" ht="24.75" customHeight="1">
      <c r="A811" s="33">
        <v>8</v>
      </c>
      <c r="B811" s="34" t="s">
        <v>1362</v>
      </c>
      <c r="C811" s="79">
        <f t="shared" si="305"/>
        <v>1248522.01</v>
      </c>
      <c r="D811" s="79">
        <f t="shared" si="306"/>
        <v>704262.79000000004</v>
      </c>
      <c r="E811" s="79">
        <v>704262.79000000004</v>
      </c>
      <c r="F811" s="79">
        <v>0</v>
      </c>
      <c r="G811" s="79">
        <v>0</v>
      </c>
      <c r="H811" s="79">
        <v>0</v>
      </c>
      <c r="I811" s="79">
        <v>0</v>
      </c>
      <c r="J811" s="398">
        <v>0</v>
      </c>
      <c r="K811" s="79">
        <v>0</v>
      </c>
      <c r="L811" s="79">
        <v>0</v>
      </c>
      <c r="M811" s="79">
        <v>0</v>
      </c>
      <c r="N811" s="79">
        <v>0</v>
      </c>
      <c r="O811" s="79">
        <v>0</v>
      </c>
      <c r="P811" s="79">
        <f t="shared" ref="P811:P814" si="307">265594+265594</f>
        <v>531188</v>
      </c>
      <c r="Q811" s="79">
        <v>0</v>
      </c>
      <c r="R811" s="56">
        <v>13071.219999999999</v>
      </c>
      <c r="S811" s="79">
        <v>0</v>
      </c>
      <c r="T811" s="79">
        <v>0</v>
      </c>
      <c r="U811" s="110"/>
      <c r="V811" s="110"/>
      <c r="W811" s="110"/>
      <c r="X811" s="110"/>
      <c r="Y811" s="110"/>
      <c r="Z811" s="110"/>
      <c r="AA811" s="110"/>
      <c r="AB811" s="110"/>
      <c r="AC811" s="110"/>
      <c r="AD811" s="110"/>
      <c r="AE811" s="110"/>
      <c r="AF811" s="110"/>
      <c r="AG811" s="110"/>
      <c r="AH811" s="110"/>
      <c r="AI811" s="110"/>
    </row>
    <row r="812" s="54" customFormat="1" ht="24.75" customHeight="1">
      <c r="A812" s="33">
        <v>9</v>
      </c>
      <c r="B812" s="34" t="s">
        <v>1363</v>
      </c>
      <c r="C812" s="79">
        <f t="shared" si="305"/>
        <v>1181954.2200000002</v>
      </c>
      <c r="D812" s="79">
        <f t="shared" si="306"/>
        <v>637131.59999999998</v>
      </c>
      <c r="E812" s="79">
        <v>637131.59999999998</v>
      </c>
      <c r="F812" s="79">
        <v>0</v>
      </c>
      <c r="G812" s="79">
        <v>0</v>
      </c>
      <c r="H812" s="79">
        <v>0</v>
      </c>
      <c r="I812" s="79">
        <v>0</v>
      </c>
      <c r="J812" s="398">
        <v>0</v>
      </c>
      <c r="K812" s="79">
        <v>0</v>
      </c>
      <c r="L812" s="79">
        <v>0</v>
      </c>
      <c r="M812" s="79">
        <v>0</v>
      </c>
      <c r="N812" s="79">
        <v>0</v>
      </c>
      <c r="O812" s="79">
        <v>0</v>
      </c>
      <c r="P812" s="79">
        <f t="shared" si="307"/>
        <v>531188</v>
      </c>
      <c r="Q812" s="79">
        <v>0</v>
      </c>
      <c r="R812" s="56">
        <v>13634.620000000001</v>
      </c>
      <c r="S812" s="79">
        <v>0</v>
      </c>
      <c r="T812" s="79">
        <v>0</v>
      </c>
      <c r="U812" s="110"/>
      <c r="V812" s="110"/>
      <c r="W812" s="110"/>
      <c r="X812" s="110"/>
      <c r="Y812" s="110"/>
      <c r="Z812" s="110"/>
      <c r="AA812" s="110"/>
      <c r="AB812" s="110"/>
      <c r="AC812" s="110"/>
      <c r="AD812" s="110"/>
      <c r="AE812" s="110"/>
      <c r="AF812" s="110"/>
      <c r="AG812" s="110"/>
      <c r="AH812" s="110"/>
      <c r="AI812" s="110"/>
    </row>
    <row r="813" s="54" customFormat="1" ht="24.75" customHeight="1">
      <c r="A813" s="33">
        <v>10</v>
      </c>
      <c r="B813" s="34" t="s">
        <v>1364</v>
      </c>
      <c r="C813" s="79">
        <f t="shared" si="305"/>
        <v>2528747.7400000002</v>
      </c>
      <c r="D813" s="79">
        <f t="shared" si="306"/>
        <v>1955707.6000000001</v>
      </c>
      <c r="E813" s="79">
        <v>1955707.6000000001</v>
      </c>
      <c r="F813" s="79">
        <v>0</v>
      </c>
      <c r="G813" s="79">
        <v>0</v>
      </c>
      <c r="H813" s="79">
        <v>0</v>
      </c>
      <c r="I813" s="79">
        <v>0</v>
      </c>
      <c r="J813" s="398">
        <v>0</v>
      </c>
      <c r="K813" s="79">
        <v>0</v>
      </c>
      <c r="L813" s="79">
        <v>0</v>
      </c>
      <c r="M813" s="79">
        <v>0</v>
      </c>
      <c r="N813" s="79">
        <v>0</v>
      </c>
      <c r="O813" s="79">
        <v>0</v>
      </c>
      <c r="P813" s="79">
        <f t="shared" si="307"/>
        <v>531188</v>
      </c>
      <c r="Q813" s="79">
        <v>0</v>
      </c>
      <c r="R813" s="56">
        <v>41852.139999999999</v>
      </c>
      <c r="S813" s="79">
        <v>0</v>
      </c>
      <c r="T813" s="79">
        <v>0</v>
      </c>
      <c r="U813" s="110"/>
      <c r="V813" s="110"/>
      <c r="W813" s="110"/>
      <c r="X813" s="110"/>
      <c r="Y813" s="110"/>
      <c r="Z813" s="110"/>
      <c r="AA813" s="110"/>
      <c r="AB813" s="110"/>
      <c r="AC813" s="110"/>
      <c r="AD813" s="110"/>
      <c r="AE813" s="110"/>
      <c r="AF813" s="110"/>
      <c r="AG813" s="110"/>
      <c r="AH813" s="110"/>
      <c r="AI813" s="110"/>
    </row>
    <row r="814" s="54" customFormat="1" ht="24.75" customHeight="1">
      <c r="A814" s="33">
        <v>11</v>
      </c>
      <c r="B814" s="34" t="s">
        <v>1365</v>
      </c>
      <c r="C814" s="79">
        <f t="shared" si="305"/>
        <v>1240462.46</v>
      </c>
      <c r="D814" s="79">
        <f t="shared" si="306"/>
        <v>694414</v>
      </c>
      <c r="E814" s="79">
        <v>694414</v>
      </c>
      <c r="F814" s="79">
        <v>0</v>
      </c>
      <c r="G814" s="79">
        <v>0</v>
      </c>
      <c r="H814" s="79">
        <v>0</v>
      </c>
      <c r="I814" s="79">
        <v>0</v>
      </c>
      <c r="J814" s="398">
        <v>0</v>
      </c>
      <c r="K814" s="79">
        <v>0</v>
      </c>
      <c r="L814" s="79">
        <v>0</v>
      </c>
      <c r="M814" s="79">
        <v>0</v>
      </c>
      <c r="N814" s="79">
        <v>0</v>
      </c>
      <c r="O814" s="79">
        <v>0</v>
      </c>
      <c r="P814" s="79">
        <f t="shared" si="307"/>
        <v>531188</v>
      </c>
      <c r="Q814" s="79">
        <v>0</v>
      </c>
      <c r="R814" s="56">
        <v>14860.459999999999</v>
      </c>
      <c r="S814" s="79">
        <v>0</v>
      </c>
      <c r="T814" s="79">
        <v>0</v>
      </c>
      <c r="U814" s="110"/>
      <c r="V814" s="110"/>
      <c r="W814" s="110"/>
      <c r="X814" s="110"/>
      <c r="Y814" s="110"/>
      <c r="Z814" s="110"/>
      <c r="AA814" s="110"/>
      <c r="AB814" s="110"/>
      <c r="AC814" s="110"/>
      <c r="AD814" s="110"/>
      <c r="AE814" s="110"/>
      <c r="AF814" s="110"/>
      <c r="AG814" s="110"/>
      <c r="AH814" s="110"/>
      <c r="AI814" s="110"/>
    </row>
    <row r="815" s="54" customFormat="1" ht="24.75" customHeight="1">
      <c r="A815" s="33">
        <v>12</v>
      </c>
      <c r="B815" s="34" t="s">
        <v>1366</v>
      </c>
      <c r="C815" s="79">
        <f t="shared" si="305"/>
        <v>5031868.8499999996</v>
      </c>
      <c r="D815" s="79">
        <f t="shared" si="306"/>
        <v>0</v>
      </c>
      <c r="E815" s="79">
        <v>0</v>
      </c>
      <c r="F815" s="79">
        <v>0</v>
      </c>
      <c r="G815" s="79">
        <v>0</v>
      </c>
      <c r="H815" s="79">
        <v>0</v>
      </c>
      <c r="I815" s="79">
        <v>0</v>
      </c>
      <c r="J815" s="398">
        <v>0</v>
      </c>
      <c r="K815" s="79">
        <v>0</v>
      </c>
      <c r="L815" s="79">
        <v>4666413.5999999996</v>
      </c>
      <c r="M815" s="79">
        <v>0</v>
      </c>
      <c r="N815" s="79">
        <v>0</v>
      </c>
      <c r="O815" s="79">
        <v>0</v>
      </c>
      <c r="P815" s="79">
        <f>265594</f>
        <v>265594</v>
      </c>
      <c r="Q815" s="79">
        <v>0</v>
      </c>
      <c r="R815" s="56">
        <v>99861.25</v>
      </c>
      <c r="S815" s="79">
        <v>0</v>
      </c>
      <c r="T815" s="79">
        <v>0</v>
      </c>
      <c r="U815" s="110"/>
      <c r="V815" s="110"/>
      <c r="W815" s="110"/>
      <c r="X815" s="110"/>
      <c r="Y815" s="110"/>
      <c r="Z815" s="110"/>
      <c r="AA815" s="110"/>
      <c r="AB815" s="110"/>
      <c r="AC815" s="110"/>
      <c r="AD815" s="110"/>
      <c r="AE815" s="110"/>
      <c r="AF815" s="110"/>
      <c r="AG815" s="110"/>
      <c r="AH815" s="110"/>
      <c r="AI815" s="110"/>
    </row>
    <row r="816" s="60" customFormat="1" ht="25.199999999999999" customHeight="1">
      <c r="A816" s="33">
        <v>13</v>
      </c>
      <c r="B816" s="34" t="s">
        <v>1367</v>
      </c>
      <c r="C816" s="158">
        <f t="shared" si="305"/>
        <v>8170439.4900000002</v>
      </c>
      <c r="D816" s="79">
        <f t="shared" si="306"/>
        <v>0</v>
      </c>
      <c r="E816" s="158">
        <v>0</v>
      </c>
      <c r="F816" s="79">
        <v>0</v>
      </c>
      <c r="G816" s="158">
        <v>0</v>
      </c>
      <c r="H816" s="79">
        <v>0</v>
      </c>
      <c r="I816" s="158">
        <v>0</v>
      </c>
      <c r="J816" s="398">
        <v>0</v>
      </c>
      <c r="K816" s="158">
        <v>0</v>
      </c>
      <c r="L816" s="79">
        <v>7656214.5</v>
      </c>
      <c r="M816" s="158">
        <v>0</v>
      </c>
      <c r="N816" s="79">
        <v>0</v>
      </c>
      <c r="O816" s="158">
        <v>0</v>
      </c>
      <c r="P816" s="79">
        <v>350382</v>
      </c>
      <c r="Q816" s="158">
        <v>0</v>
      </c>
      <c r="R816" s="56">
        <v>163842.98999999999</v>
      </c>
      <c r="S816" s="158">
        <v>0</v>
      </c>
      <c r="T816" s="79">
        <v>0</v>
      </c>
      <c r="U816" s="60"/>
      <c r="V816" s="60"/>
      <c r="W816" s="60"/>
      <c r="X816" s="60"/>
      <c r="Y816" s="60"/>
      <c r="Z816" s="60"/>
      <c r="AA816" s="60"/>
      <c r="AB816" s="60"/>
      <c r="AC816" s="60"/>
      <c r="AD816" s="60"/>
      <c r="AE816" s="60"/>
      <c r="AF816" s="60"/>
      <c r="AG816" s="60"/>
      <c r="AH816" s="60"/>
      <c r="AI816" s="60"/>
      <c r="AJ816" s="60"/>
      <c r="AK816" s="60"/>
      <c r="AL816" s="60"/>
    </row>
    <row r="817" s="60" customFormat="1" ht="25.199999999999999" customHeight="1">
      <c r="A817" s="33">
        <v>14</v>
      </c>
      <c r="B817" s="34" t="s">
        <v>1368</v>
      </c>
      <c r="C817" s="79">
        <f t="shared" si="305"/>
        <v>4699408.7199999997</v>
      </c>
      <c r="D817" s="79">
        <f t="shared" si="306"/>
        <v>4257907.5</v>
      </c>
      <c r="E817" s="79">
        <v>4257907.5</v>
      </c>
      <c r="F817" s="79">
        <v>0</v>
      </c>
      <c r="G817" s="79">
        <v>0</v>
      </c>
      <c r="H817" s="79">
        <v>0</v>
      </c>
      <c r="I817" s="79">
        <v>0</v>
      </c>
      <c r="J817" s="398">
        <v>0</v>
      </c>
      <c r="K817" s="79">
        <v>0</v>
      </c>
      <c r="L817" s="79">
        <v>0</v>
      </c>
      <c r="M817" s="79">
        <v>0</v>
      </c>
      <c r="N817" s="79">
        <v>0</v>
      </c>
      <c r="O817" s="79">
        <v>0</v>
      </c>
      <c r="P817" s="79">
        <v>350382</v>
      </c>
      <c r="Q817" s="79">
        <v>0</v>
      </c>
      <c r="R817" s="56">
        <v>91119.220000000001</v>
      </c>
      <c r="S817" s="79">
        <v>0</v>
      </c>
      <c r="T817" s="79">
        <v>0</v>
      </c>
      <c r="U817" s="110"/>
      <c r="V817" s="110"/>
      <c r="W817" s="110"/>
      <c r="X817" s="110"/>
      <c r="Y817" s="110"/>
      <c r="Z817" s="110"/>
      <c r="AA817" s="110"/>
      <c r="AB817" s="110"/>
      <c r="AC817" s="110"/>
      <c r="AD817" s="110"/>
      <c r="AE817" s="110"/>
      <c r="AF817" s="110"/>
      <c r="AG817" s="110"/>
      <c r="AH817" s="110"/>
      <c r="AI817" s="110"/>
      <c r="AJ817" s="60"/>
      <c r="AK817" s="60"/>
      <c r="AL817" s="60"/>
    </row>
    <row r="818" s="60" customFormat="1" ht="25.199999999999999" customHeight="1">
      <c r="A818" s="33">
        <v>15</v>
      </c>
      <c r="B818" s="34" t="s">
        <v>557</v>
      </c>
      <c r="C818" s="79">
        <f t="shared" si="305"/>
        <v>2907278.3900000001</v>
      </c>
      <c r="D818" s="79">
        <f t="shared" si="306"/>
        <v>2815130.7600000002</v>
      </c>
      <c r="E818" s="79">
        <v>0</v>
      </c>
      <c r="F818" s="79">
        <v>1718233.1499999999</v>
      </c>
      <c r="G818" s="79">
        <v>202033.04000000001</v>
      </c>
      <c r="H818" s="79">
        <v>259865.92999999999</v>
      </c>
      <c r="I818" s="79">
        <v>634998.64000000001</v>
      </c>
      <c r="J818" s="398">
        <v>0</v>
      </c>
      <c r="K818" s="79">
        <v>0</v>
      </c>
      <c r="L818" s="79">
        <v>0</v>
      </c>
      <c r="M818" s="79">
        <v>0</v>
      </c>
      <c r="N818" s="79">
        <v>0</v>
      </c>
      <c r="O818" s="79">
        <v>0</v>
      </c>
      <c r="P818" s="79">
        <v>0</v>
      </c>
      <c r="Q818" s="79">
        <v>0</v>
      </c>
      <c r="R818" s="56">
        <f>15326.89+38649.85+17974.51+12413.19+7783.19</f>
        <v>92147.630000000005</v>
      </c>
      <c r="S818" s="79">
        <v>0</v>
      </c>
      <c r="T818" s="79">
        <v>0</v>
      </c>
      <c r="U818" s="60"/>
      <c r="V818" s="60"/>
      <c r="W818" s="60"/>
      <c r="X818" s="60"/>
      <c r="Y818" s="60"/>
      <c r="Z818" s="60"/>
      <c r="AA818" s="60"/>
      <c r="AB818" s="60"/>
      <c r="AC818" s="60"/>
      <c r="AD818" s="60"/>
      <c r="AE818" s="60"/>
      <c r="AF818" s="60"/>
      <c r="AG818" s="60"/>
      <c r="AH818" s="60"/>
      <c r="AI818" s="60"/>
      <c r="AJ818" s="60"/>
      <c r="AK818" s="60"/>
      <c r="AL818" s="60"/>
    </row>
    <row r="819" s="54" customFormat="1" ht="24" customHeight="1">
      <c r="A819" s="33">
        <v>16</v>
      </c>
      <c r="B819" s="34" t="s">
        <v>558</v>
      </c>
      <c r="C819" s="79">
        <f t="shared" si="305"/>
        <v>2930770.8100000001</v>
      </c>
      <c r="D819" s="79">
        <f t="shared" si="306"/>
        <v>2838744.73</v>
      </c>
      <c r="E819" s="79">
        <v>0</v>
      </c>
      <c r="F819" s="79">
        <v>1728779.3899999999</v>
      </c>
      <c r="G819" s="79">
        <v>202033.04000000001</v>
      </c>
      <c r="H819" s="79">
        <v>259865.92999999999</v>
      </c>
      <c r="I819" s="79">
        <v>648066.37</v>
      </c>
      <c r="J819" s="398">
        <v>0</v>
      </c>
      <c r="K819" s="79">
        <v>0</v>
      </c>
      <c r="L819" s="79">
        <v>0</v>
      </c>
      <c r="M819" s="79">
        <v>0</v>
      </c>
      <c r="N819" s="79">
        <v>0</v>
      </c>
      <c r="O819" s="79">
        <v>0</v>
      </c>
      <c r="P819" s="79">
        <v>0</v>
      </c>
      <c r="Q819" s="79">
        <v>0</v>
      </c>
      <c r="R819" s="56">
        <f>15306.68+38598.87+17950.8+12396.81+7772.92</f>
        <v>92026.080000000002</v>
      </c>
      <c r="S819" s="79">
        <v>0</v>
      </c>
      <c r="T819" s="79">
        <v>0</v>
      </c>
      <c r="U819" s="54"/>
      <c r="V819" s="54"/>
      <c r="W819" s="54"/>
      <c r="X819" s="54"/>
      <c r="Y819" s="54"/>
      <c r="Z819" s="54"/>
      <c r="AA819" s="54"/>
      <c r="AB819" s="54"/>
      <c r="AC819" s="54"/>
      <c r="AD819" s="54"/>
      <c r="AE819" s="54"/>
      <c r="AF819" s="54"/>
      <c r="AG819" s="54"/>
      <c r="AH819" s="54"/>
      <c r="AI819" s="54"/>
    </row>
    <row r="820" s="110" customFormat="1" ht="24" customHeight="1">
      <c r="A820" s="33">
        <v>17</v>
      </c>
      <c r="B820" s="34" t="s">
        <v>559</v>
      </c>
      <c r="C820" s="158">
        <f t="shared" si="305"/>
        <v>1392928.9299999999</v>
      </c>
      <c r="D820" s="79">
        <f t="shared" si="306"/>
        <v>1363744.8</v>
      </c>
      <c r="E820" s="158">
        <v>0</v>
      </c>
      <c r="F820" s="79">
        <v>1363744.8</v>
      </c>
      <c r="G820" s="158">
        <v>0</v>
      </c>
      <c r="H820" s="79">
        <v>0</v>
      </c>
      <c r="I820" s="158">
        <v>0</v>
      </c>
      <c r="J820" s="398">
        <v>0</v>
      </c>
      <c r="K820" s="158">
        <v>0</v>
      </c>
      <c r="L820" s="79">
        <v>0</v>
      </c>
      <c r="M820" s="158">
        <v>0</v>
      </c>
      <c r="N820" s="79">
        <v>0</v>
      </c>
      <c r="O820" s="158">
        <v>0</v>
      </c>
      <c r="P820" s="79">
        <v>0</v>
      </c>
      <c r="Q820" s="158">
        <v>0</v>
      </c>
      <c r="R820" s="79">
        <v>29184.130000000001</v>
      </c>
      <c r="S820" s="158">
        <v>0</v>
      </c>
      <c r="T820" s="79">
        <v>0</v>
      </c>
      <c r="U820" s="399"/>
      <c r="V820" s="399"/>
      <c r="W820" s="399"/>
      <c r="X820" s="399"/>
      <c r="Y820" s="399"/>
      <c r="Z820" s="399"/>
      <c r="AA820" s="399"/>
      <c r="AB820" s="399"/>
      <c r="AC820" s="399"/>
      <c r="AD820" s="399"/>
      <c r="AE820" s="399"/>
      <c r="AF820" s="399"/>
      <c r="AG820" s="399"/>
      <c r="AH820" s="399"/>
      <c r="AI820" s="399"/>
      <c r="AJ820" s="399"/>
      <c r="AK820" s="399"/>
      <c r="AL820" s="399"/>
    </row>
    <row r="821" s="54" customFormat="1" ht="24" customHeight="1">
      <c r="A821" s="33">
        <v>18</v>
      </c>
      <c r="B821" s="118" t="s">
        <v>1369</v>
      </c>
      <c r="C821" s="215">
        <f t="shared" si="305"/>
        <v>1032509.8100000001</v>
      </c>
      <c r="D821" s="215">
        <f t="shared" si="306"/>
        <v>490818.29999999999</v>
      </c>
      <c r="E821" s="397">
        <v>490818.29999999999</v>
      </c>
      <c r="F821" s="397">
        <v>0</v>
      </c>
      <c r="G821" s="397">
        <v>0</v>
      </c>
      <c r="H821" s="397">
        <v>0</v>
      </c>
      <c r="I821" s="397">
        <v>0</v>
      </c>
      <c r="J821" s="430">
        <v>0</v>
      </c>
      <c r="K821" s="397">
        <v>0</v>
      </c>
      <c r="L821" s="397">
        <v>0</v>
      </c>
      <c r="M821" s="397">
        <v>0</v>
      </c>
      <c r="N821" s="397">
        <v>0</v>
      </c>
      <c r="O821" s="397">
        <v>0</v>
      </c>
      <c r="P821" s="397">
        <f>265594+265594</f>
        <v>531188</v>
      </c>
      <c r="Q821" s="397">
        <v>0</v>
      </c>
      <c r="R821" s="397">
        <v>10503.51</v>
      </c>
      <c r="S821" s="397">
        <v>0</v>
      </c>
      <c r="T821" s="397">
        <v>0</v>
      </c>
      <c r="U821" s="399"/>
      <c r="V821" s="399"/>
      <c r="W821" s="399"/>
      <c r="X821" s="399"/>
      <c r="Y821" s="399"/>
      <c r="Z821" s="399"/>
      <c r="AA821" s="399"/>
      <c r="AB821" s="399"/>
      <c r="AC821" s="399"/>
      <c r="AD821" s="399"/>
      <c r="AE821" s="399"/>
      <c r="AF821" s="302"/>
      <c r="AG821" s="302"/>
      <c r="AH821" s="302"/>
      <c r="AI821" s="302"/>
    </row>
    <row r="822" s="54" customFormat="1" ht="24" customHeight="1">
      <c r="A822" s="33">
        <v>19</v>
      </c>
      <c r="B822" s="118" t="s">
        <v>564</v>
      </c>
      <c r="C822" s="215">
        <f t="shared" si="305"/>
        <v>3139776.6500000004</v>
      </c>
      <c r="D822" s="215">
        <f t="shared" si="306"/>
        <v>0</v>
      </c>
      <c r="E822" s="397">
        <v>0</v>
      </c>
      <c r="F822" s="397">
        <v>0</v>
      </c>
      <c r="G822" s="397">
        <v>0</v>
      </c>
      <c r="H822" s="397">
        <v>0</v>
      </c>
      <c r="I822" s="397">
        <v>0</v>
      </c>
      <c r="J822" s="430">
        <v>0</v>
      </c>
      <c r="K822" s="397">
        <v>0</v>
      </c>
      <c r="L822" s="397">
        <v>3073993.2000000002</v>
      </c>
      <c r="M822" s="397">
        <v>0</v>
      </c>
      <c r="N822" s="397">
        <v>0</v>
      </c>
      <c r="O822" s="397">
        <v>0</v>
      </c>
      <c r="P822" s="397">
        <v>0</v>
      </c>
      <c r="Q822" s="397">
        <v>0</v>
      </c>
      <c r="R822" s="397">
        <v>65783.449999999997</v>
      </c>
      <c r="S822" s="397">
        <v>0</v>
      </c>
      <c r="T822" s="397">
        <v>0</v>
      </c>
      <c r="U822" s="350"/>
      <c r="V822" s="350"/>
      <c r="W822" s="350"/>
      <c r="X822" s="350"/>
      <c r="Y822" s="350"/>
      <c r="Z822" s="350"/>
      <c r="AA822" s="350"/>
      <c r="AB822" s="350"/>
      <c r="AC822" s="350"/>
      <c r="AD822" s="350"/>
      <c r="AE822" s="350"/>
      <c r="AF822" s="294"/>
      <c r="AG822" s="294"/>
      <c r="AH822" s="294"/>
      <c r="AI822" s="294"/>
    </row>
    <row r="823" s="302" customFormat="1" ht="24" customHeight="1">
      <c r="A823" s="33">
        <v>20</v>
      </c>
      <c r="B823" s="118" t="s">
        <v>1370</v>
      </c>
      <c r="C823" s="215">
        <f t="shared" si="305"/>
        <v>2981026.7599999998</v>
      </c>
      <c r="D823" s="215">
        <f t="shared" si="306"/>
        <v>0</v>
      </c>
      <c r="E823" s="397">
        <v>0</v>
      </c>
      <c r="F823" s="397">
        <v>0</v>
      </c>
      <c r="G823" s="397">
        <v>0</v>
      </c>
      <c r="H823" s="397">
        <v>0</v>
      </c>
      <c r="I823" s="397">
        <v>0</v>
      </c>
      <c r="J823" s="430">
        <v>0</v>
      </c>
      <c r="K823" s="397">
        <v>0</v>
      </c>
      <c r="L823" s="397">
        <v>2658540</v>
      </c>
      <c r="M823" s="397">
        <v>0</v>
      </c>
      <c r="N823" s="397">
        <v>0</v>
      </c>
      <c r="O823" s="397">
        <v>0</v>
      </c>
      <c r="P823" s="397">
        <v>265594</v>
      </c>
      <c r="Q823" s="397">
        <v>0</v>
      </c>
      <c r="R823" s="397">
        <v>56892.760000000002</v>
      </c>
      <c r="S823" s="397">
        <v>0</v>
      </c>
      <c r="T823" s="397">
        <v>0</v>
      </c>
      <c r="U823" s="399"/>
      <c r="V823" s="399"/>
      <c r="W823" s="399"/>
      <c r="X823" s="399"/>
      <c r="Y823" s="399"/>
      <c r="Z823" s="399"/>
      <c r="AA823" s="399"/>
      <c r="AB823" s="399"/>
      <c r="AC823" s="399"/>
      <c r="AD823" s="399"/>
      <c r="AE823" s="399"/>
      <c r="AF823" s="302"/>
      <c r="AG823" s="302"/>
      <c r="AH823" s="302"/>
      <c r="AI823" s="302"/>
    </row>
    <row r="824" s="332" customFormat="1" ht="22.5" customHeight="1">
      <c r="A824" s="391" t="s">
        <v>759</v>
      </c>
      <c r="B824" s="391"/>
      <c r="C824" s="432"/>
      <c r="D824" s="432"/>
      <c r="E824" s="432"/>
      <c r="F824" s="432"/>
      <c r="G824" s="432"/>
      <c r="H824" s="432"/>
      <c r="I824" s="432"/>
      <c r="J824" s="433"/>
      <c r="K824" s="432"/>
      <c r="L824" s="432"/>
      <c r="M824" s="432"/>
      <c r="N824" s="432"/>
      <c r="O824" s="432"/>
      <c r="P824" s="432"/>
      <c r="Q824" s="432"/>
      <c r="R824" s="432"/>
      <c r="S824" s="432"/>
      <c r="T824" s="432"/>
      <c r="U824" s="332"/>
      <c r="V824" s="332"/>
      <c r="W824" s="332"/>
      <c r="X824" s="332"/>
      <c r="Y824" s="332"/>
      <c r="Z824" s="332"/>
      <c r="AA824" s="332"/>
      <c r="AB824" s="332"/>
      <c r="AC824" s="332"/>
      <c r="AD824" s="332"/>
      <c r="AE824" s="332"/>
      <c r="AF824" s="332"/>
      <c r="AG824" s="332"/>
      <c r="AH824" s="332"/>
      <c r="AI824" s="332"/>
    </row>
    <row r="825" s="365" customFormat="1" ht="22.5" customHeight="1">
      <c r="A825" s="393" t="s">
        <v>38</v>
      </c>
      <c r="B825" s="393"/>
      <c r="C825" s="460">
        <f>C826+C856+C858+C860+C870+C872+C881+C883+C889+C893+C898+C902+C905+C910+C914+C917+C923+C926+C941</f>
        <v>782680752.38999999</v>
      </c>
      <c r="D825" s="460">
        <f>D826+D856+D858+D860+D870+D872+D881+D883+D889+D893+D898+D902+D905+D910+D914+D917+D923+D926+D941</f>
        <v>297764128.58000004</v>
      </c>
      <c r="E825" s="460">
        <f>E826+E856+E858+E860+E870+E872+E881+E883+E889+E893+E898+E902+E905+E910+E914+E917+E923+E926+E941</f>
        <v>53835305.870000005</v>
      </c>
      <c r="F825" s="460">
        <f>F826+F856+F858+F860+F870+F872+F881+F883+F889+F893+F898+F902+F905+F910+F914+F917+F923+F926+F941</f>
        <v>134923814.52000001</v>
      </c>
      <c r="G825" s="460">
        <f>G826+G856+G858+G860+G870+G872+G881+G883+G889+G893+G898+G902+G905+G910+G914+G917+G923+G926+G941</f>
        <v>60629588.479999989</v>
      </c>
      <c r="H825" s="460">
        <f>H826+H856+H858+H860+H870+H872+H881+H883+H889+H893+H898+H902+H905+H910+H914+H917+H923+H926+H941</f>
        <v>16785439.830000002</v>
      </c>
      <c r="I825" s="460">
        <f>I826+I856+I858+I860+I870+I872+I881+I883+I889+I893+I898+I902+I905+I910+I914+I917+I923+I926+I941</f>
        <v>31589979.879999995</v>
      </c>
      <c r="J825" s="461">
        <f>J826+J856+J858+J860+J870+J872+J881+J883+J889+J893+J898+J902+J905+J910+J914+J917+J923+J926+J941</f>
        <v>7</v>
      </c>
      <c r="K825" s="460">
        <f>K826+K856+K858+K860+K870+K872+K881+K883+K889+K893+K898+K902+K905+K910+K914+K917+K923+K926+K941</f>
        <v>36839649</v>
      </c>
      <c r="L825" s="460">
        <f>L826+L856+L858+L860+L870+L872+L881+L883+L889+L893+L898+L902+L905+L910+L914+L917+L923+L926+L941</f>
        <v>172785180.47</v>
      </c>
      <c r="M825" s="460">
        <f>M826+M856+M858+M860+M870+M872+M881+M883+M889+M893+M898+M902+M905+M910+M914+M917+M923+M926+M941</f>
        <v>1222277.3999999999</v>
      </c>
      <c r="N825" s="460">
        <f>N826+N856+N858+N860+N870+N872+N881+N883+N889+N893+N898+N902+N905+N910+N914+N917+N923+N926+N941</f>
        <v>172085875.88</v>
      </c>
      <c r="O825" s="460">
        <f>O826+O856+O858+O860+O870+O872+O881+O883+O889+O893+O898+O902+O905+O910+O914+O917+O923+O926+O941</f>
        <v>0</v>
      </c>
      <c r="P825" s="460">
        <f>P826+P856+P858+P860+P870+P872+P881+P883+P889+P893+P898+P902+P905+P910+P914+P917+P923+P926+P941</f>
        <v>13201403.59</v>
      </c>
      <c r="Q825" s="460">
        <f>Q826+Q856+Q858+Q860+Q870+Q872+Q881+Q883+Q889+Q893+Q898+Q902+Q905+Q910+Q914+Q917+Q923+Q926+Q941</f>
        <v>0</v>
      </c>
      <c r="R825" s="460">
        <f>R826+R856+R858+R860+R870+R872+R881+R883+R889+R893+R898+R902+R905+R910+R914+R917+R923+R926+R941</f>
        <v>14283922.969999999</v>
      </c>
      <c r="S825" s="460">
        <f>S826+S856+S858+S860+S870+S872+S881+S883+S889+S893+S898+S902+S905+S910+S914+S917+S923+S926+S941</f>
        <v>74498314.5</v>
      </c>
      <c r="T825" s="460">
        <f>T826+T856+T858+T860+T870+T872+T881+T883+T889+T893+T898+T902+T905+T910+T914+T917+T923+T926+T941</f>
        <v>0</v>
      </c>
      <c r="U825" s="365"/>
      <c r="V825" s="365"/>
      <c r="W825" s="365"/>
      <c r="X825" s="365"/>
      <c r="Y825" s="365"/>
      <c r="Z825" s="365"/>
      <c r="AA825" s="365"/>
      <c r="AB825" s="365"/>
      <c r="AC825" s="365"/>
      <c r="AD825" s="365"/>
      <c r="AE825" s="365"/>
      <c r="AF825" s="365"/>
      <c r="AG825" s="365"/>
      <c r="AH825" s="365"/>
      <c r="AI825" s="365"/>
    </row>
    <row r="826" s="350" customFormat="1" ht="22.5" customHeight="1">
      <c r="A826" s="25" t="s">
        <v>41</v>
      </c>
      <c r="B826" s="25"/>
      <c r="C826" s="154">
        <f>SUM(C827:C855)</f>
        <v>280240018.03000003</v>
      </c>
      <c r="D826" s="154">
        <f>SUM(D827:D855)</f>
        <v>95539490.300000012</v>
      </c>
      <c r="E826" s="154">
        <f>SUM(E827:E855)</f>
        <v>44093832.300000004</v>
      </c>
      <c r="F826" s="154">
        <f>SUM(F827:F855)</f>
        <v>14879428.1</v>
      </c>
      <c r="G826" s="154">
        <f>SUM(G827:G855)</f>
        <v>24285482.099999998</v>
      </c>
      <c r="H826" s="154">
        <f>SUM(H827:H855)</f>
        <v>4732575.9700000007</v>
      </c>
      <c r="I826" s="154">
        <f>SUM(I827:I855)</f>
        <v>7548171.8300000001</v>
      </c>
      <c r="J826" s="155">
        <f>SUM(J827:J855)</f>
        <v>7</v>
      </c>
      <c r="K826" s="154">
        <f>SUM(K827:K855)</f>
        <v>36839649</v>
      </c>
      <c r="L826" s="154">
        <f>SUM(L827:L855)</f>
        <v>51660593.910000004</v>
      </c>
      <c r="M826" s="154">
        <f>SUM(M827:M855)</f>
        <v>0</v>
      </c>
      <c r="N826" s="154">
        <f>SUM(N827:N855)</f>
        <v>90221864.609999999</v>
      </c>
      <c r="O826" s="154">
        <f>SUM(O827:O855)</f>
        <v>0</v>
      </c>
      <c r="P826" s="154">
        <f>SUM(P827:P855)</f>
        <v>1678665.5900000001</v>
      </c>
      <c r="Q826" s="154">
        <f>SUM(Q827:Q855)</f>
        <v>0</v>
      </c>
      <c r="R826" s="154">
        <f>SUM(R827:R855)</f>
        <v>4299754.6200000001</v>
      </c>
      <c r="S826" s="154">
        <f>SUM(S827:S855)</f>
        <v>0</v>
      </c>
      <c r="T826" s="154">
        <f>SUM(T827:T855)</f>
        <v>0</v>
      </c>
      <c r="U826" s="350"/>
      <c r="V826" s="350"/>
      <c r="W826" s="350"/>
      <c r="X826" s="350"/>
      <c r="Y826" s="350"/>
      <c r="Z826" s="350"/>
      <c r="AA826" s="350"/>
      <c r="AB826" s="350"/>
      <c r="AC826" s="350"/>
      <c r="AD826" s="350"/>
      <c r="AE826" s="350"/>
    </row>
    <row r="827" s="54" customFormat="1" ht="21.75" customHeight="1">
      <c r="A827" s="414">
        <v>1</v>
      </c>
      <c r="B827" s="42" t="s">
        <v>66</v>
      </c>
      <c r="C827" s="79">
        <f t="shared" ref="C827:C855" si="308">D827+K827+L827+M827+N827+O827+P827+Q827+R827+S827+T827</f>
        <v>10658612.869999999</v>
      </c>
      <c r="D827" s="79">
        <f t="shared" ref="D827:D855" si="309">SUM(E827:I827)</f>
        <v>0</v>
      </c>
      <c r="E827" s="418">
        <v>0</v>
      </c>
      <c r="F827" s="416">
        <v>0</v>
      </c>
      <c r="G827" s="418">
        <v>0</v>
      </c>
      <c r="H827" s="418">
        <v>0</v>
      </c>
      <c r="I827" s="418">
        <v>0</v>
      </c>
      <c r="J827" s="417">
        <v>0</v>
      </c>
      <c r="K827" s="416">
        <v>0</v>
      </c>
      <c r="L827" s="416">
        <v>0</v>
      </c>
      <c r="M827" s="416">
        <v>0</v>
      </c>
      <c r="N827" s="418">
        <v>10435297.5</v>
      </c>
      <c r="O827" s="416">
        <v>0</v>
      </c>
      <c r="P827" s="418">
        <v>0</v>
      </c>
      <c r="Q827" s="416">
        <v>0</v>
      </c>
      <c r="R827" s="416">
        <v>223315.37</v>
      </c>
      <c r="S827" s="416">
        <v>0</v>
      </c>
      <c r="T827" s="416">
        <v>0</v>
      </c>
      <c r="U827" s="54"/>
      <c r="V827" s="54"/>
      <c r="W827" s="54"/>
      <c r="X827" s="54"/>
      <c r="Y827" s="54"/>
      <c r="Z827" s="54"/>
      <c r="AA827" s="54"/>
      <c r="AB827" s="54"/>
      <c r="AC827" s="54"/>
      <c r="AD827" s="54"/>
      <c r="AE827" s="54"/>
    </row>
    <row r="828" s="110" customFormat="1" ht="21.75" customHeight="1">
      <c r="A828" s="414">
        <v>2</v>
      </c>
      <c r="B828" s="42" t="s">
        <v>71</v>
      </c>
      <c r="C828" s="158">
        <f t="shared" si="308"/>
        <v>5608933.8300000001</v>
      </c>
      <c r="D828" s="79">
        <f t="shared" si="309"/>
        <v>0</v>
      </c>
      <c r="E828" s="418">
        <v>0</v>
      </c>
      <c r="F828" s="419">
        <v>0</v>
      </c>
      <c r="G828" s="416">
        <v>0</v>
      </c>
      <c r="H828" s="418">
        <v>0</v>
      </c>
      <c r="I828" s="419">
        <v>0</v>
      </c>
      <c r="J828" s="417">
        <v>0</v>
      </c>
      <c r="K828" s="419">
        <v>0</v>
      </c>
      <c r="L828" s="416">
        <v>0</v>
      </c>
      <c r="M828" s="419">
        <v>0</v>
      </c>
      <c r="N828" s="418">
        <v>5491417.5</v>
      </c>
      <c r="O828" s="419">
        <v>0</v>
      </c>
      <c r="P828" s="416">
        <v>0</v>
      </c>
      <c r="Q828" s="419">
        <v>0</v>
      </c>
      <c r="R828" s="416">
        <v>117516.33</v>
      </c>
      <c r="S828" s="419">
        <v>0</v>
      </c>
      <c r="T828" s="416">
        <v>0</v>
      </c>
      <c r="U828" s="399"/>
      <c r="V828" s="399"/>
      <c r="W828" s="399"/>
      <c r="X828" s="399"/>
      <c r="Y828" s="399"/>
      <c r="Z828" s="399"/>
      <c r="AA828" s="399"/>
      <c r="AB828" s="399"/>
      <c r="AC828" s="399"/>
      <c r="AD828" s="399"/>
      <c r="AE828" s="399"/>
      <c r="AF828" s="110"/>
      <c r="AG828" s="110"/>
      <c r="AH828" s="110"/>
      <c r="AI828" s="110"/>
      <c r="AJ828" s="110"/>
      <c r="AK828" s="110"/>
    </row>
    <row r="829" s="54" customFormat="1" ht="21.75" customHeight="1">
      <c r="A829" s="414">
        <v>3</v>
      </c>
      <c r="B829" s="436" t="s">
        <v>579</v>
      </c>
      <c r="C829" s="79">
        <f t="shared" si="308"/>
        <v>63242316.950000003</v>
      </c>
      <c r="D829" s="79">
        <f t="shared" si="309"/>
        <v>61917287</v>
      </c>
      <c r="E829" s="418">
        <v>33540353.700000003</v>
      </c>
      <c r="F829" s="416">
        <v>0</v>
      </c>
      <c r="G829" s="418">
        <v>17218694.300000001</v>
      </c>
      <c r="H829" s="418">
        <v>4310143.3000000007</v>
      </c>
      <c r="I829" s="418">
        <v>6848095.7000000002</v>
      </c>
      <c r="J829" s="417">
        <v>0</v>
      </c>
      <c r="K829" s="416">
        <v>0</v>
      </c>
      <c r="L829" s="416">
        <v>0</v>
      </c>
      <c r="M829" s="416">
        <v>0</v>
      </c>
      <c r="N829" s="416">
        <v>0</v>
      </c>
      <c r="O829" s="416">
        <v>0</v>
      </c>
      <c r="P829" s="416">
        <v>0</v>
      </c>
      <c r="Q829" s="416">
        <v>0</v>
      </c>
      <c r="R829" s="416">
        <f>146549.25+717763.57+368480.06+92237.07</f>
        <v>1325029.95</v>
      </c>
      <c r="S829" s="416">
        <v>0</v>
      </c>
      <c r="T829" s="416">
        <v>0</v>
      </c>
      <c r="U829" s="54"/>
      <c r="V829" s="54"/>
      <c r="W829" s="54"/>
      <c r="X829" s="54"/>
      <c r="Y829" s="54"/>
      <c r="Z829" s="54"/>
      <c r="AA829" s="54"/>
      <c r="AB829" s="54"/>
      <c r="AC829" s="54"/>
      <c r="AD829" s="54"/>
      <c r="AE829" s="54"/>
      <c r="AF829" s="54"/>
      <c r="AG829" s="54"/>
      <c r="AH829" s="54"/>
      <c r="AI829" s="54"/>
      <c r="AJ829" s="54"/>
      <c r="AK829" s="54"/>
    </row>
    <row r="830" s="54" customFormat="1" ht="21.75" customHeight="1">
      <c r="A830" s="414">
        <v>4</v>
      </c>
      <c r="B830" s="436" t="s">
        <v>92</v>
      </c>
      <c r="C830" s="158">
        <f t="shared" si="308"/>
        <v>571815.57000000007</v>
      </c>
      <c r="D830" s="79">
        <f t="shared" si="309"/>
        <v>559835.10000000009</v>
      </c>
      <c r="E830" s="418">
        <v>0</v>
      </c>
      <c r="F830" s="418">
        <v>0</v>
      </c>
      <c r="G830" s="418">
        <v>0</v>
      </c>
      <c r="H830" s="418">
        <v>188545.5</v>
      </c>
      <c r="I830" s="418">
        <v>371289.60000000003</v>
      </c>
      <c r="J830" s="462">
        <v>0</v>
      </c>
      <c r="K830" s="416">
        <v>0</v>
      </c>
      <c r="L830" s="419">
        <v>0</v>
      </c>
      <c r="M830" s="416">
        <v>0</v>
      </c>
      <c r="N830" s="419">
        <v>0</v>
      </c>
      <c r="O830" s="416">
        <v>0</v>
      </c>
      <c r="P830" s="419">
        <v>0</v>
      </c>
      <c r="Q830" s="416">
        <v>0</v>
      </c>
      <c r="R830" s="419">
        <f>4034.87+7945.6</f>
        <v>11980.470000000001</v>
      </c>
      <c r="S830" s="416">
        <v>0</v>
      </c>
      <c r="T830" s="416">
        <v>0</v>
      </c>
      <c r="U830" s="399"/>
      <c r="V830" s="399"/>
      <c r="W830" s="399"/>
      <c r="X830" s="399"/>
      <c r="Y830" s="399"/>
      <c r="Z830" s="399"/>
      <c r="AA830" s="399"/>
      <c r="AB830" s="399"/>
      <c r="AC830" s="399"/>
      <c r="AD830" s="399"/>
      <c r="AE830" s="399"/>
      <c r="AF830" s="54"/>
      <c r="AG830" s="54"/>
      <c r="AH830" s="54"/>
      <c r="AI830" s="54"/>
      <c r="AJ830" s="54"/>
      <c r="AK830" s="54"/>
      <c r="AL830" s="54"/>
      <c r="AM830" s="54"/>
      <c r="AN830" s="54"/>
      <c r="AO830" s="54"/>
    </row>
    <row r="831" s="54" customFormat="1" ht="21.75" customHeight="1">
      <c r="A831" s="414">
        <v>5</v>
      </c>
      <c r="B831" s="436" t="s">
        <v>120</v>
      </c>
      <c r="C831" s="79">
        <f t="shared" si="308"/>
        <v>6591735.9000000004</v>
      </c>
      <c r="D831" s="79">
        <f t="shared" si="309"/>
        <v>0</v>
      </c>
      <c r="E831" s="418">
        <v>0</v>
      </c>
      <c r="F831" s="416">
        <v>0</v>
      </c>
      <c r="G831" s="416">
        <v>0</v>
      </c>
      <c r="H831" s="418">
        <v>0</v>
      </c>
      <c r="I831" s="416">
        <v>0</v>
      </c>
      <c r="J831" s="417">
        <v>0</v>
      </c>
      <c r="K831" s="416">
        <v>0</v>
      </c>
      <c r="L831" s="418">
        <v>6591735.9000000004</v>
      </c>
      <c r="M831" s="416">
        <v>0</v>
      </c>
      <c r="N831" s="416">
        <v>0</v>
      </c>
      <c r="O831" s="416">
        <v>0</v>
      </c>
      <c r="P831" s="418">
        <v>0</v>
      </c>
      <c r="Q831" s="416">
        <v>0</v>
      </c>
      <c r="R831" s="416">
        <v>0</v>
      </c>
      <c r="S831" s="416">
        <v>0</v>
      </c>
      <c r="T831" s="416">
        <v>0</v>
      </c>
      <c r="U831" s="54"/>
      <c r="V831" s="54"/>
      <c r="W831" s="54"/>
      <c r="X831" s="54"/>
      <c r="Y831" s="54"/>
      <c r="Z831" s="54"/>
      <c r="AA831" s="54"/>
      <c r="AB831" s="54"/>
      <c r="AC831" s="54"/>
      <c r="AD831" s="54"/>
      <c r="AE831" s="54"/>
    </row>
    <row r="832" s="54" customFormat="1" ht="21.75" customHeight="1">
      <c r="A832" s="414">
        <v>6</v>
      </c>
      <c r="B832" s="436" t="s">
        <v>125</v>
      </c>
      <c r="C832" s="79">
        <f t="shared" si="308"/>
        <v>574714.92000000004</v>
      </c>
      <c r="D832" s="79">
        <f t="shared" si="309"/>
        <v>562673.70000000007</v>
      </c>
      <c r="E832" s="418">
        <v>0</v>
      </c>
      <c r="F832" s="416">
        <v>0</v>
      </c>
      <c r="G832" s="416">
        <v>0</v>
      </c>
      <c r="H832" s="418">
        <v>233887.17000000001</v>
      </c>
      <c r="I832" s="418">
        <v>328786.53000000003</v>
      </c>
      <c r="J832" s="417">
        <v>0</v>
      </c>
      <c r="K832" s="416">
        <v>0</v>
      </c>
      <c r="L832" s="418">
        <v>0</v>
      </c>
      <c r="M832" s="416">
        <v>0</v>
      </c>
      <c r="N832" s="416">
        <v>0</v>
      </c>
      <c r="O832" s="416">
        <v>0</v>
      </c>
      <c r="P832" s="418">
        <v>0</v>
      </c>
      <c r="Q832" s="416">
        <v>0</v>
      </c>
      <c r="R832" s="416">
        <f>7036.03+5005.19</f>
        <v>12041.219999999999</v>
      </c>
      <c r="S832" s="416">
        <v>0</v>
      </c>
      <c r="T832" s="416">
        <v>0</v>
      </c>
      <c r="U832" s="350"/>
      <c r="V832" s="54"/>
      <c r="W832" s="54"/>
      <c r="X832" s="54"/>
      <c r="Y832" s="54"/>
      <c r="Z832" s="54"/>
      <c r="AA832" s="54"/>
      <c r="AB832" s="54"/>
      <c r="AC832" s="54"/>
      <c r="AD832" s="54"/>
      <c r="AE832" s="54"/>
      <c r="AF832" s="54"/>
      <c r="AG832" s="54"/>
      <c r="AH832" s="54"/>
      <c r="AI832" s="54"/>
      <c r="AJ832" s="54"/>
      <c r="AK832" s="54"/>
    </row>
    <row r="833" s="54" customFormat="1" ht="21.75" customHeight="1">
      <c r="A833" s="414">
        <v>7</v>
      </c>
      <c r="B833" s="436" t="s">
        <v>139</v>
      </c>
      <c r="C833" s="79">
        <f t="shared" si="308"/>
        <v>8555482.6699999999</v>
      </c>
      <c r="D833" s="79">
        <f t="shared" si="309"/>
        <v>0</v>
      </c>
      <c r="E833" s="418">
        <v>0</v>
      </c>
      <c r="F833" s="416">
        <v>0</v>
      </c>
      <c r="G833" s="418">
        <v>0</v>
      </c>
      <c r="H833" s="418">
        <v>0</v>
      </c>
      <c r="I833" s="416">
        <v>0</v>
      </c>
      <c r="J833" s="417">
        <v>0</v>
      </c>
      <c r="K833" s="416">
        <v>0</v>
      </c>
      <c r="L833" s="416">
        <v>0</v>
      </c>
      <c r="M833" s="416">
        <v>0</v>
      </c>
      <c r="N833" s="416">
        <v>8555482.6699999999</v>
      </c>
      <c r="O833" s="416">
        <v>0</v>
      </c>
      <c r="P833" s="416">
        <v>0</v>
      </c>
      <c r="Q833" s="416">
        <v>0</v>
      </c>
      <c r="R833" s="416">
        <v>0</v>
      </c>
      <c r="S833" s="416">
        <v>0</v>
      </c>
      <c r="T833" s="416">
        <v>0</v>
      </c>
      <c r="U833" s="54"/>
      <c r="V833" s="54"/>
      <c r="W833" s="54"/>
      <c r="X833" s="54"/>
      <c r="Y833" s="54"/>
      <c r="Z833" s="54"/>
      <c r="AA833" s="54"/>
      <c r="AB833" s="54"/>
      <c r="AC833" s="54"/>
      <c r="AD833" s="54"/>
      <c r="AE833" s="54"/>
    </row>
    <row r="834" s="54" customFormat="1" ht="21.75" customHeight="1">
      <c r="A834" s="414">
        <v>8</v>
      </c>
      <c r="B834" s="436" t="s">
        <v>142</v>
      </c>
      <c r="C834" s="79">
        <f t="shared" si="308"/>
        <v>2275676.1400000001</v>
      </c>
      <c r="D834" s="79">
        <f t="shared" si="309"/>
        <v>2227997</v>
      </c>
      <c r="E834" s="418">
        <v>0</v>
      </c>
      <c r="F834" s="418">
        <v>0</v>
      </c>
      <c r="G834" s="418">
        <v>2227997</v>
      </c>
      <c r="H834" s="418">
        <v>0</v>
      </c>
      <c r="I834" s="418">
        <v>0</v>
      </c>
      <c r="J834" s="417">
        <v>0</v>
      </c>
      <c r="K834" s="416">
        <v>0</v>
      </c>
      <c r="L834" s="416">
        <v>0</v>
      </c>
      <c r="M834" s="416">
        <v>0</v>
      </c>
      <c r="N834" s="416">
        <v>0</v>
      </c>
      <c r="O834" s="416">
        <v>0</v>
      </c>
      <c r="P834" s="418">
        <v>0</v>
      </c>
      <c r="Q834" s="416">
        <v>0</v>
      </c>
      <c r="R834" s="416">
        <v>47679.139999999999</v>
      </c>
      <c r="S834" s="416">
        <v>0</v>
      </c>
      <c r="T834" s="416">
        <v>0</v>
      </c>
      <c r="U834" s="54"/>
      <c r="V834" s="54"/>
      <c r="W834" s="54"/>
      <c r="X834" s="54"/>
      <c r="Y834" s="54"/>
      <c r="Z834" s="54"/>
      <c r="AA834" s="54"/>
      <c r="AB834" s="54"/>
      <c r="AC834" s="54"/>
      <c r="AD834" s="54"/>
      <c r="AE834" s="54"/>
      <c r="AF834" s="54"/>
      <c r="AG834" s="54"/>
      <c r="AH834" s="54"/>
      <c r="AI834" s="54"/>
      <c r="AJ834" s="54"/>
      <c r="AK834" s="54"/>
    </row>
    <row r="835" s="54" customFormat="1" ht="21.75" customHeight="1">
      <c r="A835" s="414">
        <v>9</v>
      </c>
      <c r="B835" s="463" t="s">
        <v>159</v>
      </c>
      <c r="C835" s="79">
        <f t="shared" si="308"/>
        <v>2016304.4399999999</v>
      </c>
      <c r="D835" s="79">
        <f t="shared" si="309"/>
        <v>2016304.4399999999</v>
      </c>
      <c r="E835" s="418">
        <v>0</v>
      </c>
      <c r="F835" s="418">
        <v>2016304.4399999999</v>
      </c>
      <c r="G835" s="416">
        <v>0</v>
      </c>
      <c r="H835" s="418">
        <v>0</v>
      </c>
      <c r="I835" s="416">
        <v>0</v>
      </c>
      <c r="J835" s="417">
        <v>0</v>
      </c>
      <c r="K835" s="416">
        <v>0</v>
      </c>
      <c r="L835" s="416">
        <v>0</v>
      </c>
      <c r="M835" s="416">
        <v>0</v>
      </c>
      <c r="N835" s="416">
        <v>0</v>
      </c>
      <c r="O835" s="416">
        <v>0</v>
      </c>
      <c r="P835" s="418">
        <v>0</v>
      </c>
      <c r="Q835" s="416">
        <v>0</v>
      </c>
      <c r="R835" s="416">
        <v>0</v>
      </c>
      <c r="S835" s="416">
        <v>0</v>
      </c>
      <c r="T835" s="416">
        <v>0</v>
      </c>
      <c r="U835" s="54"/>
      <c r="V835" s="54"/>
      <c r="W835" s="54"/>
      <c r="X835" s="54"/>
      <c r="Y835" s="54"/>
      <c r="Z835" s="54"/>
      <c r="AA835" s="54"/>
      <c r="AB835" s="54"/>
      <c r="AC835" s="54"/>
      <c r="AD835" s="54"/>
      <c r="AE835" s="54"/>
      <c r="AF835" s="54"/>
      <c r="AG835" s="54"/>
      <c r="AH835" s="54"/>
      <c r="AI835" s="54"/>
    </row>
    <row r="836" s="54" customFormat="1" ht="21.75" customHeight="1">
      <c r="A836" s="414">
        <v>10</v>
      </c>
      <c r="B836" s="436" t="s">
        <v>171</v>
      </c>
      <c r="C836" s="79">
        <f t="shared" si="308"/>
        <v>13637732.800000001</v>
      </c>
      <c r="D836" s="79">
        <f t="shared" si="309"/>
        <v>0</v>
      </c>
      <c r="E836" s="418">
        <v>0</v>
      </c>
      <c r="F836" s="418">
        <v>0</v>
      </c>
      <c r="G836" s="418">
        <v>0</v>
      </c>
      <c r="H836" s="418">
        <v>0</v>
      </c>
      <c r="I836" s="416">
        <v>0</v>
      </c>
      <c r="J836" s="417">
        <v>0</v>
      </c>
      <c r="K836" s="416">
        <v>0</v>
      </c>
      <c r="L836" s="418">
        <v>0</v>
      </c>
      <c r="M836" s="416">
        <v>0</v>
      </c>
      <c r="N836" s="418">
        <v>13352000</v>
      </c>
      <c r="O836" s="416">
        <v>0</v>
      </c>
      <c r="P836" s="418">
        <v>0</v>
      </c>
      <c r="Q836" s="416">
        <v>0</v>
      </c>
      <c r="R836" s="416">
        <v>285732.79999999999</v>
      </c>
      <c r="S836" s="416">
        <v>0</v>
      </c>
      <c r="T836" s="416">
        <v>0</v>
      </c>
      <c r="U836" s="54"/>
      <c r="V836" s="54"/>
      <c r="W836" s="54"/>
      <c r="X836" s="54"/>
      <c r="Y836" s="54"/>
      <c r="Z836" s="54"/>
      <c r="AA836" s="54"/>
      <c r="AB836" s="54"/>
      <c r="AC836" s="54"/>
      <c r="AD836" s="54"/>
      <c r="AE836" s="54"/>
      <c r="AF836" s="54"/>
      <c r="AG836" s="54"/>
      <c r="AH836" s="54"/>
      <c r="AI836" s="54"/>
      <c r="AJ836" s="54"/>
      <c r="AK836" s="54"/>
    </row>
    <row r="837" s="54" customFormat="1" ht="21.75" customHeight="1">
      <c r="A837" s="414">
        <v>11</v>
      </c>
      <c r="B837" s="436" t="s">
        <v>1371</v>
      </c>
      <c r="C837" s="158">
        <f t="shared" si="308"/>
        <v>5389838.4000000004</v>
      </c>
      <c r="D837" s="79">
        <f t="shared" si="309"/>
        <v>4247789.7000000002</v>
      </c>
      <c r="E837" s="418">
        <v>4247789.7000000002</v>
      </c>
      <c r="F837" s="418">
        <v>0</v>
      </c>
      <c r="G837" s="418">
        <v>0</v>
      </c>
      <c r="H837" s="418">
        <v>0</v>
      </c>
      <c r="I837" s="418">
        <v>0</v>
      </c>
      <c r="J837" s="462">
        <v>0</v>
      </c>
      <c r="K837" s="416">
        <v>0</v>
      </c>
      <c r="L837" s="419">
        <v>0</v>
      </c>
      <c r="M837" s="416">
        <v>0</v>
      </c>
      <c r="N837" s="419">
        <v>0</v>
      </c>
      <c r="O837" s="416">
        <v>0</v>
      </c>
      <c r="P837" s="418">
        <f>350382+350382+350382</f>
        <v>1051146</v>
      </c>
      <c r="Q837" s="419">
        <v>0</v>
      </c>
      <c r="R837" s="416">
        <v>90902.699999999997</v>
      </c>
      <c r="S837" s="419">
        <v>0</v>
      </c>
      <c r="T837" s="416">
        <v>0</v>
      </c>
      <c r="U837" s="54"/>
      <c r="V837" s="54"/>
      <c r="W837" s="54"/>
      <c r="X837" s="54"/>
      <c r="Y837" s="54"/>
      <c r="Z837" s="54"/>
      <c r="AA837" s="54"/>
      <c r="AB837" s="54"/>
      <c r="AC837" s="54"/>
      <c r="AD837" s="54"/>
      <c r="AE837" s="54"/>
      <c r="AF837" s="54"/>
      <c r="AG837" s="54"/>
      <c r="AH837" s="54"/>
      <c r="AI837" s="54"/>
      <c r="AJ837" s="54"/>
      <c r="AK837" s="54"/>
      <c r="AL837" s="54"/>
      <c r="AM837" s="54"/>
      <c r="AN837" s="54"/>
      <c r="AO837" s="54"/>
    </row>
    <row r="838" s="54" customFormat="1" ht="21.75" customHeight="1">
      <c r="A838" s="414">
        <v>12</v>
      </c>
      <c r="B838" s="436" t="s">
        <v>192</v>
      </c>
      <c r="C838" s="79">
        <f t="shared" si="308"/>
        <v>1532603.71</v>
      </c>
      <c r="D838" s="79">
        <f t="shared" si="309"/>
        <v>1500493.1599999999</v>
      </c>
      <c r="E838" s="418">
        <v>0</v>
      </c>
      <c r="F838" s="418">
        <v>1500493.1599999999</v>
      </c>
      <c r="G838" s="416">
        <v>0</v>
      </c>
      <c r="H838" s="418">
        <v>0</v>
      </c>
      <c r="I838" s="418">
        <v>0</v>
      </c>
      <c r="J838" s="417">
        <v>0</v>
      </c>
      <c r="K838" s="416">
        <v>0</v>
      </c>
      <c r="L838" s="416">
        <v>0</v>
      </c>
      <c r="M838" s="416">
        <v>0</v>
      </c>
      <c r="N838" s="416">
        <v>0</v>
      </c>
      <c r="O838" s="416">
        <v>0</v>
      </c>
      <c r="P838" s="418">
        <v>0</v>
      </c>
      <c r="Q838" s="416">
        <v>0</v>
      </c>
      <c r="R838" s="416">
        <v>32110.549999999999</v>
      </c>
      <c r="S838" s="416">
        <v>0</v>
      </c>
      <c r="T838" s="416">
        <v>0</v>
      </c>
      <c r="U838" s="54"/>
      <c r="V838" s="54"/>
      <c r="W838" s="54"/>
      <c r="X838" s="54"/>
      <c r="Y838" s="54"/>
      <c r="Z838" s="54"/>
      <c r="AA838" s="54"/>
      <c r="AB838" s="54"/>
      <c r="AC838" s="54"/>
      <c r="AD838" s="54"/>
      <c r="AE838" s="54"/>
      <c r="AF838" s="54"/>
      <c r="AG838" s="54"/>
      <c r="AH838" s="54"/>
      <c r="AI838" s="54"/>
      <c r="AJ838" s="54"/>
      <c r="AK838" s="54"/>
      <c r="AL838" s="54"/>
      <c r="AM838" s="54"/>
      <c r="AN838" s="54"/>
      <c r="AO838" s="54"/>
    </row>
    <row r="839" s="54" customFormat="1" ht="21.75" customHeight="1">
      <c r="A839" s="414">
        <v>13</v>
      </c>
      <c r="B839" s="436" t="s">
        <v>615</v>
      </c>
      <c r="C839" s="79">
        <f t="shared" si="308"/>
        <v>5375431.0700000003</v>
      </c>
      <c r="D839" s="79">
        <f t="shared" si="309"/>
        <v>0</v>
      </c>
      <c r="E839" s="418">
        <v>0</v>
      </c>
      <c r="F839" s="416">
        <v>0</v>
      </c>
      <c r="G839" s="418">
        <v>0</v>
      </c>
      <c r="H839" s="418">
        <v>0</v>
      </c>
      <c r="I839" s="416">
        <v>0</v>
      </c>
      <c r="J839" s="417">
        <v>1</v>
      </c>
      <c r="K839" s="416">
        <v>5262807</v>
      </c>
      <c r="L839" s="416">
        <v>0</v>
      </c>
      <c r="M839" s="418">
        <v>0</v>
      </c>
      <c r="N839" s="418">
        <v>0</v>
      </c>
      <c r="O839" s="416">
        <v>0</v>
      </c>
      <c r="P839" s="416">
        <v>0</v>
      </c>
      <c r="Q839" s="416">
        <v>0</v>
      </c>
      <c r="R839" s="416">
        <v>112624.07000000001</v>
      </c>
      <c r="S839" s="416">
        <v>0</v>
      </c>
      <c r="T839" s="416">
        <v>0</v>
      </c>
      <c r="U839" s="54"/>
      <c r="V839" s="54"/>
      <c r="W839" s="54"/>
      <c r="X839" s="54"/>
      <c r="Y839" s="54"/>
      <c r="Z839" s="54"/>
      <c r="AA839" s="54"/>
      <c r="AB839" s="54"/>
      <c r="AC839" s="54"/>
      <c r="AD839" s="54"/>
      <c r="AE839" s="54"/>
      <c r="AF839" s="54"/>
      <c r="AG839" s="54"/>
      <c r="AH839" s="54"/>
      <c r="AI839" s="54"/>
      <c r="AJ839" s="54"/>
      <c r="AK839" s="54"/>
      <c r="AL839" s="54"/>
      <c r="AM839" s="54"/>
      <c r="AN839" s="54"/>
      <c r="AO839" s="54"/>
    </row>
    <row r="840" s="54" customFormat="1" ht="21.75" customHeight="1">
      <c r="A840" s="414">
        <v>14</v>
      </c>
      <c r="B840" s="436" t="s">
        <v>616</v>
      </c>
      <c r="C840" s="79">
        <f t="shared" si="308"/>
        <v>16126293.210000001</v>
      </c>
      <c r="D840" s="79">
        <f t="shared" si="309"/>
        <v>0</v>
      </c>
      <c r="E840" s="418">
        <v>0</v>
      </c>
      <c r="F840" s="416">
        <v>0</v>
      </c>
      <c r="G840" s="418">
        <v>0</v>
      </c>
      <c r="H840" s="418">
        <v>0</v>
      </c>
      <c r="I840" s="416">
        <v>0</v>
      </c>
      <c r="J840" s="417">
        <v>3</v>
      </c>
      <c r="K840" s="416">
        <v>15788421</v>
      </c>
      <c r="L840" s="416">
        <v>0</v>
      </c>
      <c r="M840" s="418">
        <v>0</v>
      </c>
      <c r="N840" s="418">
        <v>0</v>
      </c>
      <c r="O840" s="416">
        <v>0</v>
      </c>
      <c r="P840" s="416">
        <v>0</v>
      </c>
      <c r="Q840" s="416">
        <v>0</v>
      </c>
      <c r="R840" s="416">
        <v>337872.21000000002</v>
      </c>
      <c r="S840" s="416">
        <v>0</v>
      </c>
      <c r="T840" s="416">
        <v>0</v>
      </c>
      <c r="U840" s="54"/>
      <c r="V840" s="54"/>
      <c r="W840" s="54"/>
      <c r="X840" s="54"/>
      <c r="Y840" s="54"/>
      <c r="Z840" s="54"/>
      <c r="AA840" s="54"/>
      <c r="AB840" s="54"/>
      <c r="AC840" s="54"/>
      <c r="AD840" s="54"/>
      <c r="AE840" s="54"/>
      <c r="AF840" s="54"/>
      <c r="AG840" s="54"/>
      <c r="AH840" s="54"/>
      <c r="AI840" s="54"/>
      <c r="AJ840" s="54"/>
      <c r="AK840" s="54"/>
      <c r="AL840" s="54"/>
      <c r="AM840" s="54"/>
      <c r="AN840" s="54"/>
      <c r="AO840" s="54"/>
    </row>
    <row r="841" s="54" customFormat="1" ht="21.75" customHeight="1">
      <c r="A841" s="414">
        <v>15</v>
      </c>
      <c r="B841" s="436" t="s">
        <v>617</v>
      </c>
      <c r="C841" s="79">
        <f t="shared" si="308"/>
        <v>16126293.210000001</v>
      </c>
      <c r="D841" s="79">
        <f t="shared" si="309"/>
        <v>0</v>
      </c>
      <c r="E841" s="418">
        <v>0</v>
      </c>
      <c r="F841" s="416">
        <v>0</v>
      </c>
      <c r="G841" s="418">
        <v>0</v>
      </c>
      <c r="H841" s="418">
        <v>0</v>
      </c>
      <c r="I841" s="416">
        <v>0</v>
      </c>
      <c r="J841" s="417">
        <v>3</v>
      </c>
      <c r="K841" s="416">
        <v>15788421</v>
      </c>
      <c r="L841" s="416">
        <v>0</v>
      </c>
      <c r="M841" s="418">
        <v>0</v>
      </c>
      <c r="N841" s="418">
        <v>0</v>
      </c>
      <c r="O841" s="416">
        <v>0</v>
      </c>
      <c r="P841" s="416">
        <v>0</v>
      </c>
      <c r="Q841" s="416">
        <v>0</v>
      </c>
      <c r="R841" s="416">
        <v>337872.21000000002</v>
      </c>
      <c r="S841" s="416">
        <v>0</v>
      </c>
      <c r="T841" s="416">
        <v>0</v>
      </c>
      <c r="U841" s="54"/>
      <c r="V841" s="54"/>
      <c r="W841" s="54"/>
      <c r="X841" s="54"/>
      <c r="Y841" s="54"/>
      <c r="Z841" s="54"/>
      <c r="AA841" s="54"/>
      <c r="AB841" s="54"/>
      <c r="AC841" s="54"/>
      <c r="AD841" s="54"/>
      <c r="AE841" s="54"/>
      <c r="AF841" s="54"/>
      <c r="AG841" s="54"/>
      <c r="AH841" s="54"/>
      <c r="AI841" s="54"/>
      <c r="AJ841" s="54"/>
      <c r="AK841" s="54"/>
      <c r="AL841" s="54"/>
      <c r="AM841" s="54"/>
      <c r="AN841" s="54"/>
      <c r="AO841" s="54"/>
    </row>
    <row r="842" s="54" customFormat="1" ht="21.75" customHeight="1">
      <c r="A842" s="414">
        <v>16</v>
      </c>
      <c r="B842" s="436" t="s">
        <v>763</v>
      </c>
      <c r="C842" s="79">
        <f t="shared" si="308"/>
        <v>27467643.969999999</v>
      </c>
      <c r="D842" s="79">
        <f t="shared" si="309"/>
        <v>0</v>
      </c>
      <c r="E842" s="418">
        <v>0</v>
      </c>
      <c r="F842" s="416">
        <v>0</v>
      </c>
      <c r="G842" s="416">
        <v>0</v>
      </c>
      <c r="H842" s="418">
        <v>0</v>
      </c>
      <c r="I842" s="416">
        <v>0</v>
      </c>
      <c r="J842" s="417">
        <v>0</v>
      </c>
      <c r="K842" s="416">
        <v>0</v>
      </c>
      <c r="L842" s="418">
        <v>6053561.0700000003</v>
      </c>
      <c r="M842" s="416">
        <v>0</v>
      </c>
      <c r="N842" s="418">
        <v>21414082.899999999</v>
      </c>
      <c r="O842" s="416">
        <v>0</v>
      </c>
      <c r="P842" s="416">
        <v>0</v>
      </c>
      <c r="Q842" s="416">
        <v>0</v>
      </c>
      <c r="R842" s="416">
        <v>0</v>
      </c>
      <c r="S842" s="416">
        <v>0</v>
      </c>
      <c r="T842" s="416">
        <v>0</v>
      </c>
      <c r="U842" s="54"/>
      <c r="V842" s="54"/>
      <c r="W842" s="54"/>
      <c r="X842" s="54"/>
      <c r="Y842" s="54"/>
      <c r="Z842" s="54"/>
      <c r="AA842" s="54"/>
      <c r="AB842" s="54"/>
      <c r="AC842" s="54"/>
      <c r="AD842" s="54"/>
      <c r="AE842" s="54"/>
      <c r="AF842" s="54"/>
      <c r="AG842" s="54"/>
      <c r="AH842" s="54"/>
      <c r="AI842" s="54"/>
      <c r="AJ842" s="54"/>
      <c r="AK842" s="54"/>
    </row>
    <row r="843" s="54" customFormat="1" ht="21.75" customHeight="1">
      <c r="A843" s="414">
        <v>17</v>
      </c>
      <c r="B843" s="464" t="s">
        <v>624</v>
      </c>
      <c r="C843" s="79">
        <f t="shared" si="308"/>
        <v>4189769.8100000001</v>
      </c>
      <c r="D843" s="79">
        <f t="shared" si="309"/>
        <v>1442687.55</v>
      </c>
      <c r="E843" s="418">
        <v>0</v>
      </c>
      <c r="F843" s="416">
        <v>1442687.55</v>
      </c>
      <c r="G843" s="416">
        <v>0</v>
      </c>
      <c r="H843" s="418">
        <v>0</v>
      </c>
      <c r="I843" s="416">
        <v>0</v>
      </c>
      <c r="J843" s="417">
        <v>0</v>
      </c>
      <c r="K843" s="416">
        <v>0</v>
      </c>
      <c r="L843" s="416">
        <v>2689526.3999999999</v>
      </c>
      <c r="M843" s="416">
        <v>0</v>
      </c>
      <c r="N843" s="416">
        <v>0</v>
      </c>
      <c r="O843" s="416">
        <v>0</v>
      </c>
      <c r="P843" s="416">
        <v>0</v>
      </c>
      <c r="Q843" s="416">
        <v>0</v>
      </c>
      <c r="R843" s="416">
        <f>57555.86</f>
        <v>57555.860000000001</v>
      </c>
      <c r="S843" s="416">
        <v>0</v>
      </c>
      <c r="T843" s="416">
        <v>0</v>
      </c>
      <c r="U843" s="54"/>
      <c r="V843" s="54"/>
      <c r="W843" s="54"/>
      <c r="X843" s="54"/>
      <c r="Y843" s="54"/>
      <c r="Z843" s="54"/>
      <c r="AA843" s="54"/>
      <c r="AB843" s="54"/>
      <c r="AC843" s="54"/>
      <c r="AD843" s="54"/>
      <c r="AE843" s="54"/>
      <c r="AF843" s="54"/>
      <c r="AG843" s="54"/>
      <c r="AH843" s="54"/>
      <c r="AI843" s="54"/>
      <c r="AJ843" s="54"/>
      <c r="AK843" s="54"/>
    </row>
    <row r="844" s="54" customFormat="1" ht="21.75" customHeight="1">
      <c r="A844" s="414">
        <v>18</v>
      </c>
      <c r="B844" s="436" t="s">
        <v>224</v>
      </c>
      <c r="C844" s="158">
        <f t="shared" si="308"/>
        <v>792233.58999999997</v>
      </c>
      <c r="D844" s="79">
        <f t="shared" si="309"/>
        <v>775635</v>
      </c>
      <c r="E844" s="418">
        <v>0</v>
      </c>
      <c r="F844" s="418">
        <v>775635</v>
      </c>
      <c r="G844" s="418">
        <v>0</v>
      </c>
      <c r="H844" s="418">
        <v>0</v>
      </c>
      <c r="I844" s="418">
        <v>0</v>
      </c>
      <c r="J844" s="462">
        <v>0</v>
      </c>
      <c r="K844" s="416">
        <v>0</v>
      </c>
      <c r="L844" s="419">
        <v>0</v>
      </c>
      <c r="M844" s="416">
        <v>0</v>
      </c>
      <c r="N844" s="419">
        <v>0</v>
      </c>
      <c r="O844" s="416">
        <v>0</v>
      </c>
      <c r="P844" s="418">
        <v>0</v>
      </c>
      <c r="Q844" s="419">
        <v>0</v>
      </c>
      <c r="R844" s="416">
        <v>16598.59</v>
      </c>
      <c r="S844" s="419">
        <v>0</v>
      </c>
      <c r="T844" s="416">
        <v>0</v>
      </c>
      <c r="U844" s="399"/>
      <c r="V844" s="399"/>
      <c r="W844" s="399"/>
      <c r="X844" s="399"/>
      <c r="Y844" s="399"/>
      <c r="Z844" s="399"/>
      <c r="AA844" s="399"/>
      <c r="AB844" s="399"/>
      <c r="AC844" s="399"/>
      <c r="AD844" s="399"/>
      <c r="AE844" s="399"/>
      <c r="AF844" s="54"/>
      <c r="AG844" s="54"/>
      <c r="AH844" s="54"/>
      <c r="AI844" s="54"/>
      <c r="AJ844" s="54"/>
      <c r="AK844" s="54"/>
    </row>
    <row r="845" s="54" customFormat="1" ht="21.75" customHeight="1">
      <c r="A845" s="414">
        <v>19</v>
      </c>
      <c r="B845" s="436" t="s">
        <v>229</v>
      </c>
      <c r="C845" s="79">
        <f t="shared" si="308"/>
        <v>6704510.4400000004</v>
      </c>
      <c r="D845" s="79">
        <f t="shared" si="309"/>
        <v>0</v>
      </c>
      <c r="E845" s="418">
        <v>0</v>
      </c>
      <c r="F845" s="416">
        <v>0</v>
      </c>
      <c r="G845" s="416">
        <v>0</v>
      </c>
      <c r="H845" s="418">
        <v>0</v>
      </c>
      <c r="I845" s="416">
        <v>0</v>
      </c>
      <c r="J845" s="417">
        <v>0</v>
      </c>
      <c r="K845" s="416">
        <v>0</v>
      </c>
      <c r="L845" s="418">
        <v>6704510.4400000004</v>
      </c>
      <c r="M845" s="416">
        <v>0</v>
      </c>
      <c r="N845" s="418">
        <v>0</v>
      </c>
      <c r="O845" s="416">
        <v>0</v>
      </c>
      <c r="P845" s="416">
        <v>0</v>
      </c>
      <c r="Q845" s="416">
        <v>0</v>
      </c>
      <c r="R845" s="416">
        <v>0</v>
      </c>
      <c r="S845" s="416">
        <v>0</v>
      </c>
      <c r="T845" s="416">
        <v>0</v>
      </c>
      <c r="U845" s="54"/>
      <c r="V845" s="54"/>
      <c r="W845" s="54"/>
      <c r="X845" s="54"/>
      <c r="Y845" s="54"/>
      <c r="Z845" s="54"/>
      <c r="AA845" s="54"/>
      <c r="AB845" s="54"/>
      <c r="AC845" s="54"/>
      <c r="AD845" s="54"/>
      <c r="AE845" s="54"/>
      <c r="AF845" s="54"/>
      <c r="AG845" s="54"/>
      <c r="AH845" s="54"/>
      <c r="AI845" s="54"/>
      <c r="AJ845" s="54"/>
      <c r="AK845" s="54"/>
    </row>
    <row r="846" s="54" customFormat="1" ht="21.75" customHeight="1">
      <c r="A846" s="414">
        <v>20</v>
      </c>
      <c r="B846" s="436" t="s">
        <v>236</v>
      </c>
      <c r="C846" s="79">
        <f t="shared" si="308"/>
        <v>1145623.1799999999</v>
      </c>
      <c r="D846" s="79">
        <f t="shared" si="309"/>
        <v>1121620.5</v>
      </c>
      <c r="E846" s="418">
        <v>0</v>
      </c>
      <c r="F846" s="416">
        <v>1121620.5</v>
      </c>
      <c r="G846" s="416">
        <v>0</v>
      </c>
      <c r="H846" s="418">
        <v>0</v>
      </c>
      <c r="I846" s="418">
        <v>0</v>
      </c>
      <c r="J846" s="417">
        <v>0</v>
      </c>
      <c r="K846" s="416">
        <v>0</v>
      </c>
      <c r="L846" s="416">
        <v>0</v>
      </c>
      <c r="M846" s="416">
        <v>0</v>
      </c>
      <c r="N846" s="416">
        <v>0</v>
      </c>
      <c r="O846" s="416">
        <v>0</v>
      </c>
      <c r="P846" s="418">
        <v>0</v>
      </c>
      <c r="Q846" s="416">
        <v>0</v>
      </c>
      <c r="R846" s="416">
        <v>24002.68</v>
      </c>
      <c r="S846" s="416">
        <v>0</v>
      </c>
      <c r="T846" s="416">
        <v>0</v>
      </c>
      <c r="U846" s="54"/>
      <c r="V846" s="54"/>
      <c r="W846" s="54"/>
      <c r="X846" s="54"/>
      <c r="Y846" s="54"/>
      <c r="Z846" s="54"/>
      <c r="AA846" s="54"/>
      <c r="AB846" s="54"/>
      <c r="AC846" s="54"/>
      <c r="AD846" s="54"/>
      <c r="AE846" s="54"/>
      <c r="AF846" s="54"/>
      <c r="AG846" s="54"/>
      <c r="AH846" s="54"/>
      <c r="AI846" s="54"/>
      <c r="AJ846" s="54"/>
      <c r="AK846" s="54"/>
    </row>
    <row r="847" s="54" customFormat="1" ht="21.75" customHeight="1">
      <c r="A847" s="414">
        <v>21</v>
      </c>
      <c r="B847" s="436" t="s">
        <v>237</v>
      </c>
      <c r="C847" s="79">
        <f t="shared" si="308"/>
        <v>2471170.46</v>
      </c>
      <c r="D847" s="79">
        <f t="shared" si="309"/>
        <v>2419395.3999999999</v>
      </c>
      <c r="E847" s="418">
        <v>0</v>
      </c>
      <c r="F847" s="418">
        <v>0</v>
      </c>
      <c r="G847" s="418">
        <v>2419395.3999999999</v>
      </c>
      <c r="H847" s="418">
        <v>0</v>
      </c>
      <c r="I847" s="418">
        <v>0</v>
      </c>
      <c r="J847" s="417">
        <v>0</v>
      </c>
      <c r="K847" s="416">
        <v>0</v>
      </c>
      <c r="L847" s="416">
        <v>0</v>
      </c>
      <c r="M847" s="416">
        <v>0</v>
      </c>
      <c r="N847" s="416">
        <v>0</v>
      </c>
      <c r="O847" s="416">
        <v>0</v>
      </c>
      <c r="P847" s="418">
        <v>0</v>
      </c>
      <c r="Q847" s="416">
        <v>0</v>
      </c>
      <c r="R847" s="416">
        <v>51775.059999999998</v>
      </c>
      <c r="S847" s="416">
        <v>0</v>
      </c>
      <c r="T847" s="416">
        <v>0</v>
      </c>
      <c r="U847" s="399"/>
      <c r="V847" s="399"/>
      <c r="W847" s="399"/>
      <c r="X847" s="399"/>
      <c r="Y847" s="399"/>
      <c r="Z847" s="399"/>
      <c r="AA847" s="399"/>
      <c r="AB847" s="399"/>
      <c r="AC847" s="399"/>
      <c r="AD847" s="399"/>
      <c r="AE847" s="399"/>
    </row>
    <row r="848" s="54" customFormat="1" ht="21.75" customHeight="1">
      <c r="A848" s="414">
        <v>22</v>
      </c>
      <c r="B848" s="436" t="s">
        <v>1372</v>
      </c>
      <c r="C848" s="79">
        <f t="shared" si="308"/>
        <v>2748308.0499999998</v>
      </c>
      <c r="D848" s="79">
        <f t="shared" si="309"/>
        <v>2419395.3999999999</v>
      </c>
      <c r="E848" s="418">
        <v>0</v>
      </c>
      <c r="F848" s="418">
        <v>0</v>
      </c>
      <c r="G848" s="418">
        <v>2419395.3999999999</v>
      </c>
      <c r="H848" s="418">
        <v>0</v>
      </c>
      <c r="I848" s="418">
        <v>0</v>
      </c>
      <c r="J848" s="417">
        <v>0</v>
      </c>
      <c r="K848" s="416">
        <v>0</v>
      </c>
      <c r="L848" s="416">
        <v>0</v>
      </c>
      <c r="M848" s="416">
        <v>0</v>
      </c>
      <c r="N848" s="416">
        <v>0</v>
      </c>
      <c r="O848" s="416">
        <v>0</v>
      </c>
      <c r="P848" s="418">
        <v>277137.59000000003</v>
      </c>
      <c r="Q848" s="416">
        <v>0</v>
      </c>
      <c r="R848" s="416">
        <v>51775.059999999998</v>
      </c>
      <c r="S848" s="416">
        <v>0</v>
      </c>
      <c r="T848" s="416">
        <v>0</v>
      </c>
      <c r="U848" s="54"/>
      <c r="V848" s="54"/>
      <c r="W848" s="54"/>
      <c r="X848" s="54"/>
      <c r="Y848" s="54"/>
      <c r="Z848" s="54"/>
      <c r="AA848" s="54"/>
      <c r="AB848" s="54"/>
      <c r="AC848" s="54"/>
      <c r="AD848" s="54"/>
      <c r="AE848" s="54"/>
    </row>
    <row r="849" s="54" customFormat="1" ht="21.75" customHeight="1">
      <c r="A849" s="414">
        <v>23</v>
      </c>
      <c r="B849" s="436" t="s">
        <v>629</v>
      </c>
      <c r="C849" s="79">
        <f t="shared" si="308"/>
        <v>3073993.2000000002</v>
      </c>
      <c r="D849" s="79">
        <f t="shared" si="309"/>
        <v>0</v>
      </c>
      <c r="E849" s="418">
        <v>0</v>
      </c>
      <c r="F849" s="418">
        <v>0</v>
      </c>
      <c r="G849" s="416">
        <v>0</v>
      </c>
      <c r="H849" s="418">
        <v>0</v>
      </c>
      <c r="I849" s="416">
        <v>0</v>
      </c>
      <c r="J849" s="417">
        <v>0</v>
      </c>
      <c r="K849" s="416">
        <v>0</v>
      </c>
      <c r="L849" s="418">
        <v>3073993.2000000002</v>
      </c>
      <c r="M849" s="416">
        <v>0</v>
      </c>
      <c r="N849" s="416">
        <v>0</v>
      </c>
      <c r="O849" s="416">
        <v>0</v>
      </c>
      <c r="P849" s="418">
        <v>0</v>
      </c>
      <c r="Q849" s="416">
        <v>0</v>
      </c>
      <c r="R849" s="416">
        <v>0</v>
      </c>
      <c r="S849" s="416">
        <v>0</v>
      </c>
      <c r="T849" s="416">
        <v>0</v>
      </c>
      <c r="U849" s="350"/>
      <c r="V849" s="350"/>
      <c r="W849" s="350"/>
      <c r="X849" s="350"/>
      <c r="Y849" s="350"/>
      <c r="Z849" s="350"/>
      <c r="AA849" s="350"/>
      <c r="AB849" s="350"/>
      <c r="AC849" s="350"/>
      <c r="AD849" s="350"/>
      <c r="AE849" s="350"/>
    </row>
    <row r="850" s="54" customFormat="1" ht="21.75" customHeight="1">
      <c r="A850" s="414">
        <v>24</v>
      </c>
      <c r="B850" s="436" t="s">
        <v>1373</v>
      </c>
      <c r="C850" s="79">
        <f t="shared" si="308"/>
        <v>14044891.840000002</v>
      </c>
      <c r="D850" s="79">
        <f t="shared" si="309"/>
        <v>13559568.100000001</v>
      </c>
      <c r="E850" s="418">
        <v>6305688.9000000004</v>
      </c>
      <c r="F850" s="418">
        <v>7253879.2000000002</v>
      </c>
      <c r="G850" s="418">
        <v>0</v>
      </c>
      <c r="H850" s="418">
        <v>0</v>
      </c>
      <c r="I850" s="418">
        <v>0</v>
      </c>
      <c r="J850" s="417">
        <v>0</v>
      </c>
      <c r="K850" s="416">
        <v>0</v>
      </c>
      <c r="L850" s="416">
        <v>0</v>
      </c>
      <c r="M850" s="416">
        <v>0</v>
      </c>
      <c r="N850" s="416">
        <v>0</v>
      </c>
      <c r="O850" s="416">
        <v>0</v>
      </c>
      <c r="P850" s="418">
        <v>350382</v>
      </c>
      <c r="Q850" s="416">
        <v>0</v>
      </c>
      <c r="R850" s="416">
        <v>134941.73999999999</v>
      </c>
      <c r="S850" s="416">
        <v>0</v>
      </c>
      <c r="T850" s="416">
        <v>0</v>
      </c>
      <c r="U850" s="59"/>
      <c r="V850" s="59"/>
      <c r="W850" s="59"/>
      <c r="X850" s="59"/>
      <c r="Y850" s="59"/>
      <c r="Z850" s="59"/>
      <c r="AA850" s="59"/>
      <c r="AB850" s="59"/>
      <c r="AC850" s="59"/>
      <c r="AD850" s="59"/>
      <c r="AE850" s="59"/>
      <c r="AF850" s="54"/>
      <c r="AG850" s="54"/>
      <c r="AH850" s="54"/>
      <c r="AI850" s="54"/>
      <c r="AJ850" s="54"/>
      <c r="AK850" s="54"/>
    </row>
    <row r="851" s="54" customFormat="1" ht="21.75" customHeight="1">
      <c r="A851" s="414">
        <v>25</v>
      </c>
      <c r="B851" s="436" t="s">
        <v>281</v>
      </c>
      <c r="C851" s="79">
        <f t="shared" si="308"/>
        <v>18031380.669999998</v>
      </c>
      <c r="D851" s="79">
        <f t="shared" si="309"/>
        <v>0</v>
      </c>
      <c r="E851" s="418">
        <v>0</v>
      </c>
      <c r="F851" s="416">
        <v>0</v>
      </c>
      <c r="G851" s="416">
        <v>0</v>
      </c>
      <c r="H851" s="418">
        <v>0</v>
      </c>
      <c r="I851" s="416">
        <v>0</v>
      </c>
      <c r="J851" s="417">
        <v>0</v>
      </c>
      <c r="K851" s="416">
        <v>0</v>
      </c>
      <c r="L851" s="416">
        <v>0</v>
      </c>
      <c r="M851" s="416">
        <v>0</v>
      </c>
      <c r="N851" s="418">
        <v>17751498.599999998</v>
      </c>
      <c r="O851" s="416">
        <v>0</v>
      </c>
      <c r="P851" s="416">
        <v>0</v>
      </c>
      <c r="Q851" s="416">
        <v>0</v>
      </c>
      <c r="R851" s="416">
        <v>279882.07000000001</v>
      </c>
      <c r="S851" s="416">
        <v>0</v>
      </c>
      <c r="T851" s="416">
        <v>0</v>
      </c>
      <c r="U851" s="54"/>
      <c r="V851" s="54"/>
      <c r="W851" s="54"/>
      <c r="X851" s="54"/>
      <c r="Y851" s="54"/>
      <c r="Z851" s="54"/>
      <c r="AA851" s="54"/>
      <c r="AB851" s="54"/>
      <c r="AC851" s="54"/>
      <c r="AD851" s="54"/>
      <c r="AE851" s="54"/>
      <c r="AF851" s="54"/>
      <c r="AG851" s="54"/>
      <c r="AH851" s="54"/>
      <c r="AI851" s="54"/>
      <c r="AJ851" s="54"/>
      <c r="AK851" s="54"/>
      <c r="AL851" s="54"/>
      <c r="AM851" s="54"/>
      <c r="AN851" s="54"/>
      <c r="AO851" s="54"/>
    </row>
    <row r="852" s="110" customFormat="1" ht="21.75" customHeight="1">
      <c r="A852" s="414">
        <v>26</v>
      </c>
      <c r="B852" s="463" t="s">
        <v>289</v>
      </c>
      <c r="C852" s="158">
        <f t="shared" si="308"/>
        <v>785260.74999999988</v>
      </c>
      <c r="D852" s="79">
        <f t="shared" si="309"/>
        <v>768808.24999999988</v>
      </c>
      <c r="E852" s="418">
        <v>0</v>
      </c>
      <c r="F852" s="418">
        <v>768808.24999999988</v>
      </c>
      <c r="G852" s="418">
        <v>0</v>
      </c>
      <c r="H852" s="418">
        <v>0</v>
      </c>
      <c r="I852" s="418">
        <v>0</v>
      </c>
      <c r="J852" s="462">
        <v>0</v>
      </c>
      <c r="K852" s="416">
        <v>0</v>
      </c>
      <c r="L852" s="419">
        <v>0</v>
      </c>
      <c r="M852" s="416">
        <v>0</v>
      </c>
      <c r="N852" s="419">
        <v>0</v>
      </c>
      <c r="O852" s="416">
        <v>0</v>
      </c>
      <c r="P852" s="418">
        <v>0</v>
      </c>
      <c r="Q852" s="419">
        <v>0</v>
      </c>
      <c r="R852" s="416">
        <v>16452.5</v>
      </c>
      <c r="S852" s="419">
        <v>0</v>
      </c>
      <c r="T852" s="416">
        <v>0</v>
      </c>
      <c r="U852" s="59"/>
      <c r="V852" s="59"/>
      <c r="W852" s="59"/>
      <c r="X852" s="59"/>
      <c r="Y852" s="59"/>
      <c r="Z852" s="59"/>
      <c r="AA852" s="59"/>
      <c r="AB852" s="59"/>
      <c r="AC852" s="59"/>
      <c r="AD852" s="59"/>
      <c r="AE852" s="59"/>
      <c r="AF852" s="59"/>
      <c r="AG852" s="59"/>
      <c r="AH852" s="59"/>
      <c r="AI852" s="59"/>
      <c r="AJ852" s="110"/>
      <c r="AK852" s="110"/>
      <c r="AL852" s="110"/>
      <c r="AM852" s="110"/>
      <c r="AN852" s="110"/>
      <c r="AO852" s="110"/>
    </row>
    <row r="853" s="54" customFormat="1" ht="21.75" customHeight="1">
      <c r="A853" s="414">
        <v>27</v>
      </c>
      <c r="B853" s="436" t="s">
        <v>292</v>
      </c>
      <c r="C853" s="79">
        <f t="shared" si="308"/>
        <v>27115378.410000004</v>
      </c>
      <c r="D853" s="79">
        <f t="shared" si="309"/>
        <v>0</v>
      </c>
      <c r="E853" s="418">
        <v>0</v>
      </c>
      <c r="F853" s="416">
        <v>0</v>
      </c>
      <c r="G853" s="416">
        <v>0</v>
      </c>
      <c r="H853" s="418">
        <v>0</v>
      </c>
      <c r="I853" s="416">
        <v>0</v>
      </c>
      <c r="J853" s="417">
        <v>0</v>
      </c>
      <c r="K853" s="416">
        <v>0</v>
      </c>
      <c r="L853" s="418">
        <v>26547266.900000002</v>
      </c>
      <c r="M853" s="416">
        <v>0</v>
      </c>
      <c r="N853" s="416">
        <v>0</v>
      </c>
      <c r="O853" s="416">
        <v>0</v>
      </c>
      <c r="P853" s="418">
        <v>0</v>
      </c>
      <c r="Q853" s="416">
        <v>0</v>
      </c>
      <c r="R853" s="416">
        <v>568111.51000000001</v>
      </c>
      <c r="S853" s="416">
        <v>0</v>
      </c>
      <c r="T853" s="416">
        <v>0</v>
      </c>
      <c r="U853" s="54"/>
      <c r="V853" s="54"/>
      <c r="W853" s="54"/>
      <c r="X853" s="54"/>
      <c r="Y853" s="54"/>
      <c r="Z853" s="54"/>
      <c r="AA853" s="54"/>
      <c r="AB853" s="54"/>
      <c r="AC853" s="54"/>
      <c r="AD853" s="54"/>
      <c r="AE853" s="54"/>
      <c r="AF853" s="54"/>
      <c r="AG853" s="54"/>
      <c r="AH853" s="54"/>
      <c r="AI853" s="54"/>
      <c r="AJ853" s="54"/>
      <c r="AK853" s="54"/>
    </row>
    <row r="854" s="54" customFormat="1" ht="21.75" customHeight="1">
      <c r="A854" s="414">
        <v>28</v>
      </c>
      <c r="B854" s="436" t="s">
        <v>296</v>
      </c>
      <c r="C854" s="79">
        <f t="shared" si="308"/>
        <v>7068112.9700000007</v>
      </c>
      <c r="D854" s="79">
        <f t="shared" si="309"/>
        <v>0</v>
      </c>
      <c r="E854" s="418">
        <v>0</v>
      </c>
      <c r="F854" s="418">
        <v>0</v>
      </c>
      <c r="G854" s="416">
        <v>0</v>
      </c>
      <c r="H854" s="418">
        <v>0</v>
      </c>
      <c r="I854" s="416">
        <v>0</v>
      </c>
      <c r="J854" s="417">
        <v>0</v>
      </c>
      <c r="K854" s="416">
        <v>0</v>
      </c>
      <c r="L854" s="416">
        <v>0</v>
      </c>
      <c r="M854" s="416">
        <v>0</v>
      </c>
      <c r="N854" s="418">
        <v>6904130.4400000004</v>
      </c>
      <c r="O854" s="416">
        <v>0</v>
      </c>
      <c r="P854" s="418">
        <v>0</v>
      </c>
      <c r="Q854" s="416">
        <v>0</v>
      </c>
      <c r="R854" s="416">
        <f>163982.53</f>
        <v>163982.53</v>
      </c>
      <c r="S854" s="416">
        <v>0</v>
      </c>
      <c r="T854" s="416">
        <v>0</v>
      </c>
      <c r="U854" s="54"/>
      <c r="V854" s="54"/>
      <c r="W854" s="54"/>
      <c r="X854" s="54"/>
      <c r="Y854" s="54"/>
      <c r="Z854" s="54"/>
      <c r="AA854" s="54"/>
      <c r="AB854" s="54"/>
      <c r="AC854" s="54"/>
      <c r="AD854" s="54"/>
      <c r="AE854" s="54"/>
      <c r="AF854" s="54"/>
      <c r="AG854" s="54"/>
      <c r="AH854" s="54"/>
      <c r="AI854" s="54"/>
      <c r="AJ854" s="54"/>
      <c r="AK854" s="54"/>
    </row>
    <row r="855" s="110" customFormat="1" ht="21.75" customHeight="1">
      <c r="A855" s="414">
        <v>29</v>
      </c>
      <c r="B855" s="436" t="s">
        <v>302</v>
      </c>
      <c r="C855" s="158">
        <f t="shared" si="308"/>
        <v>6317955</v>
      </c>
      <c r="D855" s="79">
        <f t="shared" si="309"/>
        <v>0</v>
      </c>
      <c r="E855" s="418">
        <v>0</v>
      </c>
      <c r="F855" s="418">
        <v>0</v>
      </c>
      <c r="G855" s="418">
        <v>0</v>
      </c>
      <c r="H855" s="418">
        <v>0</v>
      </c>
      <c r="I855" s="418">
        <v>0</v>
      </c>
      <c r="J855" s="462">
        <v>0</v>
      </c>
      <c r="K855" s="416">
        <v>0</v>
      </c>
      <c r="L855" s="419">
        <v>0</v>
      </c>
      <c r="M855" s="418">
        <v>0</v>
      </c>
      <c r="N855" s="418">
        <v>6317955</v>
      </c>
      <c r="O855" s="419">
        <v>0</v>
      </c>
      <c r="P855" s="418">
        <v>0</v>
      </c>
      <c r="Q855" s="419">
        <v>0</v>
      </c>
      <c r="R855" s="416">
        <v>0</v>
      </c>
      <c r="S855" s="419">
        <v>0</v>
      </c>
      <c r="T855" s="416">
        <v>0</v>
      </c>
      <c r="U855" s="110"/>
      <c r="V855" s="110"/>
      <c r="W855" s="110"/>
      <c r="X855" s="110"/>
      <c r="Y855" s="110"/>
      <c r="Z855" s="110"/>
      <c r="AA855" s="110"/>
      <c r="AB855" s="110"/>
      <c r="AC855" s="110"/>
      <c r="AD855" s="110"/>
      <c r="AE855" s="110"/>
      <c r="AF855" s="110"/>
      <c r="AG855" s="110"/>
      <c r="AH855" s="110"/>
      <c r="AI855" s="110"/>
    </row>
    <row r="856" s="54" customFormat="1" ht="21.75" customHeight="1">
      <c r="A856" s="439" t="s">
        <v>308</v>
      </c>
      <c r="B856" s="439"/>
      <c r="C856" s="154">
        <f>C857</f>
        <v>365117.09999999998</v>
      </c>
      <c r="D856" s="154">
        <f>D857</f>
        <v>365117.09999999998</v>
      </c>
      <c r="E856" s="154">
        <f>E857</f>
        <v>0</v>
      </c>
      <c r="F856" s="154">
        <f>F857</f>
        <v>0</v>
      </c>
      <c r="G856" s="154">
        <f>G857</f>
        <v>0</v>
      </c>
      <c r="H856" s="154">
        <f>H857</f>
        <v>0</v>
      </c>
      <c r="I856" s="154">
        <f>I857</f>
        <v>365117.09999999998</v>
      </c>
      <c r="J856" s="155">
        <f>J857</f>
        <v>0</v>
      </c>
      <c r="K856" s="154">
        <f>K857</f>
        <v>0</v>
      </c>
      <c r="L856" s="154">
        <f>L857</f>
        <v>0</v>
      </c>
      <c r="M856" s="154">
        <f>M857</f>
        <v>0</v>
      </c>
      <c r="N856" s="154">
        <f>N857</f>
        <v>0</v>
      </c>
      <c r="O856" s="154">
        <f>O857</f>
        <v>0</v>
      </c>
      <c r="P856" s="154">
        <f>P857</f>
        <v>0</v>
      </c>
      <c r="Q856" s="154">
        <f>Q857</f>
        <v>0</v>
      </c>
      <c r="R856" s="154">
        <f>R857</f>
        <v>0</v>
      </c>
      <c r="S856" s="154">
        <f>S857</f>
        <v>0</v>
      </c>
      <c r="T856" s="154">
        <f>T857</f>
        <v>0</v>
      </c>
      <c r="U856" s="54"/>
      <c r="V856" s="54"/>
      <c r="W856" s="54"/>
      <c r="X856" s="54"/>
      <c r="Y856" s="54"/>
      <c r="Z856" s="54"/>
      <c r="AA856" s="54"/>
      <c r="AB856" s="54"/>
      <c r="AC856" s="54"/>
      <c r="AD856" s="54"/>
      <c r="AE856" s="54"/>
      <c r="AF856" s="54"/>
      <c r="AG856" s="54"/>
      <c r="AH856" s="54"/>
      <c r="AI856" s="54"/>
      <c r="AJ856" s="54"/>
      <c r="AK856" s="54"/>
      <c r="AL856" s="54"/>
      <c r="AM856" s="54"/>
      <c r="AN856" s="54"/>
      <c r="AO856" s="54"/>
    </row>
    <row r="857" s="110" customFormat="1" ht="21.75" customHeight="1">
      <c r="A857" s="414">
        <v>1</v>
      </c>
      <c r="B857" s="415" t="s">
        <v>765</v>
      </c>
      <c r="C857" s="79">
        <f>D857+K857+L857+M857+N857+O857+P857+Q857+R857+S857+T857</f>
        <v>365117.09999999998</v>
      </c>
      <c r="D857" s="158">
        <f>SUM(E857:I857)</f>
        <v>365117.09999999998</v>
      </c>
      <c r="E857" s="79">
        <v>0</v>
      </c>
      <c r="F857" s="158">
        <v>0</v>
      </c>
      <c r="G857" s="79">
        <v>0</v>
      </c>
      <c r="H857" s="158">
        <v>0</v>
      </c>
      <c r="I857" s="79">
        <v>365117.09999999998</v>
      </c>
      <c r="J857" s="345">
        <v>0</v>
      </c>
      <c r="K857" s="79">
        <v>0</v>
      </c>
      <c r="L857" s="158">
        <v>0</v>
      </c>
      <c r="M857" s="79">
        <v>0</v>
      </c>
      <c r="N857" s="158">
        <v>0</v>
      </c>
      <c r="O857" s="79">
        <v>0</v>
      </c>
      <c r="P857" s="158">
        <v>0</v>
      </c>
      <c r="Q857" s="79">
        <v>0</v>
      </c>
      <c r="R857" s="158">
        <v>0</v>
      </c>
      <c r="S857" s="79">
        <v>0</v>
      </c>
      <c r="T857" s="79">
        <v>0</v>
      </c>
      <c r="U857" s="59"/>
      <c r="V857" s="59"/>
      <c r="W857" s="59"/>
      <c r="X857" s="59"/>
      <c r="Y857" s="59"/>
      <c r="Z857" s="59"/>
      <c r="AA857" s="59"/>
      <c r="AB857" s="59"/>
      <c r="AC857" s="59"/>
      <c r="AD857" s="59"/>
      <c r="AE857" s="59"/>
      <c r="AF857" s="59"/>
      <c r="AG857" s="59"/>
      <c r="AH857" s="59"/>
      <c r="AI857" s="59"/>
    </row>
    <row r="858" s="350" customFormat="1" ht="21.75" customHeight="1">
      <c r="A858" s="25" t="s">
        <v>317</v>
      </c>
      <c r="B858" s="25"/>
      <c r="C858" s="154">
        <f>C859</f>
        <v>14015314.959999999</v>
      </c>
      <c r="D858" s="154">
        <f>D859</f>
        <v>0</v>
      </c>
      <c r="E858" s="154">
        <f>E859</f>
        <v>0</v>
      </c>
      <c r="F858" s="154">
        <f>F859</f>
        <v>0</v>
      </c>
      <c r="G858" s="154">
        <f>G859</f>
        <v>0</v>
      </c>
      <c r="H858" s="154">
        <f>H859</f>
        <v>0</v>
      </c>
      <c r="I858" s="154">
        <f>I859</f>
        <v>0</v>
      </c>
      <c r="J858" s="155">
        <f>J859</f>
        <v>0</v>
      </c>
      <c r="K858" s="154">
        <f>K859</f>
        <v>0</v>
      </c>
      <c r="L858" s="154">
        <f>L859</f>
        <v>13721671.199999999</v>
      </c>
      <c r="M858" s="154">
        <f>M859</f>
        <v>0</v>
      </c>
      <c r="N858" s="154">
        <f>N859</f>
        <v>0</v>
      </c>
      <c r="O858" s="154">
        <f>O859</f>
        <v>0</v>
      </c>
      <c r="P858" s="154">
        <f>P859</f>
        <v>0</v>
      </c>
      <c r="Q858" s="154">
        <f>Q859</f>
        <v>0</v>
      </c>
      <c r="R858" s="154">
        <f>R859</f>
        <v>293643.76000000001</v>
      </c>
      <c r="S858" s="154">
        <f>S859</f>
        <v>0</v>
      </c>
      <c r="T858" s="154">
        <f>T859</f>
        <v>0</v>
      </c>
      <c r="U858" s="350"/>
      <c r="V858" s="350"/>
      <c r="W858" s="350"/>
      <c r="X858" s="350"/>
      <c r="Y858" s="350"/>
      <c r="Z858" s="350"/>
      <c r="AA858" s="350"/>
      <c r="AB858" s="350"/>
      <c r="AC858" s="350"/>
      <c r="AD858" s="350"/>
      <c r="AE858" s="350"/>
      <c r="AF858" s="350"/>
      <c r="AG858" s="350"/>
      <c r="AH858" s="350"/>
      <c r="AI858" s="350"/>
    </row>
    <row r="859" s="437" customFormat="1" ht="21.75" customHeight="1">
      <c r="A859" s="33">
        <v>1</v>
      </c>
      <c r="B859" s="50" t="s">
        <v>649</v>
      </c>
      <c r="C859" s="158">
        <f>D859+K859+L859+M859+N859+O859+P859+Q859+R859+S859+T859</f>
        <v>14015314.959999999</v>
      </c>
      <c r="D859" s="79">
        <f>SUM(E859:I859)</f>
        <v>0</v>
      </c>
      <c r="E859" s="158">
        <v>0</v>
      </c>
      <c r="F859" s="79">
        <v>0</v>
      </c>
      <c r="G859" s="158">
        <v>0</v>
      </c>
      <c r="H859" s="79">
        <v>0</v>
      </c>
      <c r="I859" s="158">
        <v>0</v>
      </c>
      <c r="J859" s="398">
        <v>0</v>
      </c>
      <c r="K859" s="158">
        <v>0</v>
      </c>
      <c r="L859" s="79">
        <v>13721671.199999999</v>
      </c>
      <c r="M859" s="158">
        <v>0</v>
      </c>
      <c r="N859" s="79">
        <v>0</v>
      </c>
      <c r="O859" s="158">
        <v>0</v>
      </c>
      <c r="P859" s="79">
        <v>0</v>
      </c>
      <c r="Q859" s="158">
        <v>0</v>
      </c>
      <c r="R859" s="79">
        <v>293643.76000000001</v>
      </c>
      <c r="S859" s="158">
        <v>0</v>
      </c>
      <c r="T859" s="79">
        <v>0</v>
      </c>
      <c r="U859" s="440"/>
      <c r="V859" s="440"/>
      <c r="W859" s="440"/>
      <c r="X859" s="440"/>
      <c r="Y859" s="440"/>
      <c r="Z859" s="440"/>
      <c r="AA859" s="440"/>
      <c r="AB859" s="440"/>
      <c r="AC859" s="440"/>
      <c r="AD859" s="440"/>
      <c r="AE859" s="440"/>
      <c r="AF859" s="440"/>
      <c r="AG859" s="440"/>
      <c r="AH859" s="440"/>
      <c r="AI859" s="440"/>
      <c r="AJ859" s="437"/>
      <c r="AK859" s="437"/>
      <c r="AL859" s="437"/>
      <c r="AM859" s="437"/>
      <c r="AN859" s="437"/>
      <c r="AO859" s="437"/>
    </row>
    <row r="860" s="350" customFormat="1" ht="21.75" customHeight="1">
      <c r="A860" s="25" t="s">
        <v>324</v>
      </c>
      <c r="B860" s="25"/>
      <c r="C860" s="154">
        <f>SUM(C861:C869)</f>
        <v>32024712.330000002</v>
      </c>
      <c r="D860" s="154">
        <f>SUM(D861:D869)</f>
        <v>21298135.330000002</v>
      </c>
      <c r="E860" s="154">
        <f>SUM(E861:E869)</f>
        <v>0</v>
      </c>
      <c r="F860" s="154">
        <f>SUM(F861:F869)</f>
        <v>16446184.200000001</v>
      </c>
      <c r="G860" s="154">
        <f>SUM(G861:G869)</f>
        <v>820366.14000000001</v>
      </c>
      <c r="H860" s="154">
        <f>SUM(H861:H869)</f>
        <v>1171717.5800000001</v>
      </c>
      <c r="I860" s="154">
        <f>SUM(I861:I869)</f>
        <v>2859867.4100000001</v>
      </c>
      <c r="J860" s="155">
        <f>SUM(J861:J869)</f>
        <v>0</v>
      </c>
      <c r="K860" s="154">
        <f>SUM(K861:K869)</f>
        <v>0</v>
      </c>
      <c r="L860" s="154">
        <f>SUM(L861:L869)</f>
        <v>9672897.3000000007</v>
      </c>
      <c r="M860" s="154">
        <f>SUM(M861:M869)</f>
        <v>0</v>
      </c>
      <c r="N860" s="154">
        <f>SUM(N861:N869)</f>
        <v>0</v>
      </c>
      <c r="O860" s="154">
        <f>SUM(O861:O869)</f>
        <v>0</v>
      </c>
      <c r="P860" s="154">
        <f>SUM(P861:P869)</f>
        <v>350382</v>
      </c>
      <c r="Q860" s="154">
        <f>SUM(Q861:Q869)</f>
        <v>0</v>
      </c>
      <c r="R860" s="154">
        <f>SUM(R861:R869)</f>
        <v>703297.69999999995</v>
      </c>
      <c r="S860" s="154">
        <f>SUM(S861:S869)</f>
        <v>0</v>
      </c>
      <c r="T860" s="154">
        <f>SUM(T861:T869)</f>
        <v>0</v>
      </c>
      <c r="U860" s="350"/>
      <c r="V860" s="350"/>
      <c r="W860" s="350"/>
      <c r="X860" s="350"/>
      <c r="Y860" s="350"/>
      <c r="Z860" s="350"/>
      <c r="AA860" s="350"/>
      <c r="AB860" s="350"/>
      <c r="AC860" s="350"/>
      <c r="AD860" s="350"/>
      <c r="AE860" s="350"/>
    </row>
    <row r="861" s="54" customFormat="1" ht="21.75" customHeight="1">
      <c r="A861" s="414">
        <v>1</v>
      </c>
      <c r="B861" s="415" t="s">
        <v>766</v>
      </c>
      <c r="C861" s="79">
        <f t="shared" ref="C861:C869" si="310">D861+K861+L861+M861+N861+O861+P861+Q861+R861+S861+T861</f>
        <v>286030.60999999999</v>
      </c>
      <c r="D861" s="79">
        <f t="shared" ref="D861:D869" si="311">SUM(E861:I861)</f>
        <v>280037.79999999999</v>
      </c>
      <c r="E861" s="416">
        <v>0</v>
      </c>
      <c r="F861" s="416">
        <v>0</v>
      </c>
      <c r="G861" s="416">
        <v>0</v>
      </c>
      <c r="H861" s="416">
        <v>280037.79999999999</v>
      </c>
      <c r="I861" s="416">
        <v>0</v>
      </c>
      <c r="J861" s="417">
        <v>0</v>
      </c>
      <c r="K861" s="416">
        <v>0</v>
      </c>
      <c r="L861" s="416">
        <v>0</v>
      </c>
      <c r="M861" s="416">
        <v>0</v>
      </c>
      <c r="N861" s="416">
        <v>0</v>
      </c>
      <c r="O861" s="416">
        <v>0</v>
      </c>
      <c r="P861" s="416">
        <v>0</v>
      </c>
      <c r="Q861" s="416">
        <v>0</v>
      </c>
      <c r="R861" s="416">
        <v>5992.8100000000004</v>
      </c>
      <c r="S861" s="416">
        <v>0</v>
      </c>
      <c r="T861" s="416">
        <v>0</v>
      </c>
      <c r="U861" s="54"/>
      <c r="V861" s="54"/>
      <c r="W861" s="54"/>
      <c r="X861" s="54"/>
      <c r="Y861" s="54"/>
      <c r="Z861" s="54"/>
      <c r="AA861" s="54"/>
      <c r="AB861" s="54"/>
      <c r="AC861" s="54"/>
      <c r="AD861" s="54"/>
      <c r="AE861" s="54"/>
      <c r="AF861" s="54"/>
      <c r="AG861" s="54"/>
      <c r="AH861" s="54"/>
      <c r="AI861" s="54"/>
      <c r="AJ861" s="54"/>
      <c r="AK861" s="54"/>
    </row>
    <row r="862" s="54" customFormat="1" ht="21.75" customHeight="1">
      <c r="A862" s="414">
        <v>2</v>
      </c>
      <c r="B862" s="415" t="s">
        <v>334</v>
      </c>
      <c r="C862" s="79">
        <f t="shared" si="310"/>
        <v>1861449.6099999999</v>
      </c>
      <c r="D862" s="79">
        <f t="shared" si="311"/>
        <v>1822449.2</v>
      </c>
      <c r="E862" s="416">
        <v>0</v>
      </c>
      <c r="F862" s="416">
        <v>1140503</v>
      </c>
      <c r="G862" s="416">
        <v>0</v>
      </c>
      <c r="H862" s="416">
        <v>229671</v>
      </c>
      <c r="I862" s="416">
        <v>452275.20000000001</v>
      </c>
      <c r="J862" s="417">
        <v>0</v>
      </c>
      <c r="K862" s="416">
        <v>0</v>
      </c>
      <c r="L862" s="416">
        <v>0</v>
      </c>
      <c r="M862" s="416">
        <v>0</v>
      </c>
      <c r="N862" s="416">
        <v>0</v>
      </c>
      <c r="O862" s="416">
        <v>0</v>
      </c>
      <c r="P862" s="416">
        <v>0</v>
      </c>
      <c r="Q862" s="416">
        <v>0</v>
      </c>
      <c r="R862" s="416">
        <f>9678.69+4914.96+24406.76</f>
        <v>39000.410000000003</v>
      </c>
      <c r="S862" s="416">
        <v>0</v>
      </c>
      <c r="T862" s="416">
        <v>0</v>
      </c>
      <c r="U862" s="399"/>
      <c r="V862" s="399"/>
      <c r="W862" s="399"/>
      <c r="X862" s="399"/>
      <c r="Y862" s="399"/>
      <c r="Z862" s="399"/>
      <c r="AA862" s="399"/>
      <c r="AB862" s="399"/>
      <c r="AC862" s="399"/>
      <c r="AD862" s="399"/>
      <c r="AE862" s="399"/>
      <c r="AF862" s="399"/>
      <c r="AG862" s="399"/>
      <c r="AH862" s="399"/>
      <c r="AI862" s="399"/>
      <c r="AJ862" s="54"/>
      <c r="AK862" s="54"/>
      <c r="AL862" s="54"/>
      <c r="AM862" s="54"/>
      <c r="AN862" s="54"/>
      <c r="AO862" s="54"/>
    </row>
    <row r="863" s="54" customFormat="1" ht="21.75" customHeight="1">
      <c r="A863" s="414">
        <v>3</v>
      </c>
      <c r="B863" s="415" t="s">
        <v>659</v>
      </c>
      <c r="C863" s="79">
        <f t="shared" si="310"/>
        <v>5135750.5099999998</v>
      </c>
      <c r="D863" s="79">
        <f t="shared" si="311"/>
        <v>5028148.1399999997</v>
      </c>
      <c r="E863" s="416">
        <v>0</v>
      </c>
      <c r="F863" s="416">
        <v>5028148.1399999997</v>
      </c>
      <c r="G863" s="416">
        <v>0</v>
      </c>
      <c r="H863" s="416">
        <v>0</v>
      </c>
      <c r="I863" s="416">
        <v>0</v>
      </c>
      <c r="J863" s="417">
        <v>0</v>
      </c>
      <c r="K863" s="416">
        <v>0</v>
      </c>
      <c r="L863" s="416">
        <v>0</v>
      </c>
      <c r="M863" s="416">
        <v>0</v>
      </c>
      <c r="N863" s="416">
        <v>0</v>
      </c>
      <c r="O863" s="416">
        <v>0</v>
      </c>
      <c r="P863" s="416">
        <v>0</v>
      </c>
      <c r="Q863" s="416">
        <v>0</v>
      </c>
      <c r="R863" s="416">
        <v>107602.37</v>
      </c>
      <c r="S863" s="416">
        <v>0</v>
      </c>
      <c r="T863" s="416">
        <v>0</v>
      </c>
      <c r="U863" s="54"/>
      <c r="V863" s="54"/>
      <c r="W863" s="54"/>
      <c r="X863" s="54"/>
      <c r="Y863" s="54"/>
      <c r="Z863" s="54"/>
      <c r="AA863" s="54"/>
      <c r="AB863" s="54"/>
      <c r="AC863" s="54"/>
      <c r="AD863" s="54"/>
      <c r="AE863" s="54"/>
      <c r="AF863" s="54"/>
      <c r="AG863" s="54"/>
      <c r="AH863" s="54"/>
      <c r="AI863" s="54"/>
      <c r="AJ863" s="54"/>
      <c r="AK863" s="54"/>
      <c r="AL863" s="54"/>
    </row>
    <row r="864" s="54" customFormat="1" ht="21.75" customHeight="1">
      <c r="A864" s="414">
        <v>4</v>
      </c>
      <c r="B864" s="415" t="s">
        <v>660</v>
      </c>
      <c r="C864" s="400">
        <f t="shared" si="310"/>
        <v>1731910.6500000001</v>
      </c>
      <c r="D864" s="158">
        <f t="shared" si="311"/>
        <v>1695624.29</v>
      </c>
      <c r="E864" s="465">
        <v>0</v>
      </c>
      <c r="F864" s="419">
        <v>0</v>
      </c>
      <c r="G864" s="465">
        <v>0</v>
      </c>
      <c r="H864" s="419">
        <v>0</v>
      </c>
      <c r="I864" s="465">
        <v>1695624.29</v>
      </c>
      <c r="J864" s="462">
        <v>0</v>
      </c>
      <c r="K864" s="465">
        <v>0</v>
      </c>
      <c r="L864" s="419">
        <v>0</v>
      </c>
      <c r="M864" s="465">
        <v>0</v>
      </c>
      <c r="N864" s="419">
        <v>0</v>
      </c>
      <c r="O864" s="465">
        <v>0</v>
      </c>
      <c r="P864" s="419">
        <v>0</v>
      </c>
      <c r="Q864" s="465">
        <v>0</v>
      </c>
      <c r="R864" s="419">
        <v>36286.360000000001</v>
      </c>
      <c r="S864" s="465">
        <v>0</v>
      </c>
      <c r="T864" s="416">
        <v>0</v>
      </c>
      <c r="U864" s="399"/>
      <c r="V864" s="399"/>
      <c r="W864" s="399"/>
      <c r="X864" s="399"/>
      <c r="Y864" s="399"/>
      <c r="Z864" s="399"/>
      <c r="AA864" s="399"/>
      <c r="AB864" s="399"/>
      <c r="AC864" s="399"/>
      <c r="AD864" s="399"/>
      <c r="AE864" s="399"/>
      <c r="AF864" s="54"/>
      <c r="AG864" s="54"/>
      <c r="AH864" s="54"/>
      <c r="AI864" s="54"/>
      <c r="AJ864" s="54"/>
      <c r="AK864" s="54"/>
      <c r="AL864" s="54"/>
    </row>
    <row r="865" s="54" customFormat="1" ht="21.75" customHeight="1">
      <c r="A865" s="414">
        <v>5</v>
      </c>
      <c r="B865" s="415" t="s">
        <v>767</v>
      </c>
      <c r="C865" s="79">
        <f t="shared" si="310"/>
        <v>9032022.2300000004</v>
      </c>
      <c r="D865" s="79">
        <f t="shared" si="311"/>
        <v>8791051.7300000004</v>
      </c>
      <c r="E865" s="416">
        <v>0</v>
      </c>
      <c r="F865" s="418">
        <v>8791051.7300000004</v>
      </c>
      <c r="G865" s="416">
        <v>0</v>
      </c>
      <c r="H865" s="416">
        <v>0</v>
      </c>
      <c r="I865" s="416">
        <v>0</v>
      </c>
      <c r="J865" s="417">
        <v>0</v>
      </c>
      <c r="K865" s="416">
        <v>0</v>
      </c>
      <c r="L865" s="418">
        <v>0</v>
      </c>
      <c r="M865" s="418">
        <v>0</v>
      </c>
      <c r="N865" s="416">
        <v>0</v>
      </c>
      <c r="O865" s="416">
        <v>0</v>
      </c>
      <c r="P865" s="416">
        <v>0</v>
      </c>
      <c r="Q865" s="416">
        <v>0</v>
      </c>
      <c r="R865" s="416">
        <v>240970.5</v>
      </c>
      <c r="S865" s="416">
        <v>0</v>
      </c>
      <c r="T865" s="416">
        <v>0</v>
      </c>
      <c r="U865" s="54"/>
      <c r="V865" s="54"/>
      <c r="W865" s="54"/>
      <c r="X865" s="54"/>
      <c r="Y865" s="54"/>
      <c r="Z865" s="54"/>
      <c r="AA865" s="54"/>
      <c r="AB865" s="54"/>
      <c r="AC865" s="54"/>
      <c r="AD865" s="54"/>
      <c r="AE865" s="54"/>
      <c r="AF865" s="54"/>
      <c r="AG865" s="54"/>
      <c r="AH865" s="54"/>
      <c r="AI865" s="54"/>
      <c r="AJ865" s="54"/>
      <c r="AK865" s="54"/>
      <c r="AL865" s="54"/>
    </row>
    <row r="866" s="54" customFormat="1" ht="21.75" customHeight="1">
      <c r="A866" s="414">
        <v>6</v>
      </c>
      <c r="B866" s="464" t="s">
        <v>1374</v>
      </c>
      <c r="C866" s="79">
        <f t="shared" si="310"/>
        <v>10230279.300000001</v>
      </c>
      <c r="D866" s="79">
        <f t="shared" si="311"/>
        <v>0</v>
      </c>
      <c r="E866" s="416">
        <v>0</v>
      </c>
      <c r="F866" s="416">
        <v>0</v>
      </c>
      <c r="G866" s="416">
        <v>0</v>
      </c>
      <c r="H866" s="416">
        <v>0</v>
      </c>
      <c r="I866" s="416">
        <v>0</v>
      </c>
      <c r="J866" s="417">
        <v>0</v>
      </c>
      <c r="K866" s="416">
        <v>0</v>
      </c>
      <c r="L866" s="416">
        <v>9672897.3000000007</v>
      </c>
      <c r="M866" s="416">
        <v>0</v>
      </c>
      <c r="N866" s="416">
        <v>0</v>
      </c>
      <c r="O866" s="416">
        <v>0</v>
      </c>
      <c r="P866" s="416">
        <v>350382</v>
      </c>
      <c r="Q866" s="416">
        <v>0</v>
      </c>
      <c r="R866" s="416">
        <v>207000</v>
      </c>
      <c r="S866" s="416">
        <v>0</v>
      </c>
      <c r="T866" s="416">
        <v>0</v>
      </c>
      <c r="U866" s="399"/>
      <c r="V866" s="399"/>
      <c r="W866" s="399"/>
      <c r="X866" s="399"/>
      <c r="Y866" s="399"/>
      <c r="Z866" s="399"/>
      <c r="AA866" s="399"/>
      <c r="AB866" s="399"/>
      <c r="AC866" s="399"/>
      <c r="AD866" s="399"/>
      <c r="AE866" s="399"/>
      <c r="AF866" s="54"/>
      <c r="AG866" s="54"/>
      <c r="AH866" s="54"/>
      <c r="AI866" s="54"/>
      <c r="AJ866" s="54"/>
      <c r="AK866" s="54"/>
      <c r="AL866" s="54"/>
    </row>
    <row r="867" s="54" customFormat="1" ht="21.75" customHeight="1">
      <c r="A867" s="414">
        <v>7</v>
      </c>
      <c r="B867" s="415" t="s">
        <v>346</v>
      </c>
      <c r="C867" s="158">
        <f t="shared" si="310"/>
        <v>2616925.8400000003</v>
      </c>
      <c r="D867" s="79">
        <f t="shared" si="311"/>
        <v>2562096.9700000002</v>
      </c>
      <c r="E867" s="419">
        <v>0</v>
      </c>
      <c r="F867" s="416">
        <v>1486481.3300000001</v>
      </c>
      <c r="G867" s="419">
        <v>160584.54000000001</v>
      </c>
      <c r="H867" s="416">
        <v>203063.17999999999</v>
      </c>
      <c r="I867" s="419">
        <v>711967.92000000004</v>
      </c>
      <c r="J867" s="417">
        <v>0</v>
      </c>
      <c r="K867" s="419">
        <v>0</v>
      </c>
      <c r="L867" s="416">
        <v>0</v>
      </c>
      <c r="M867" s="419">
        <v>0</v>
      </c>
      <c r="N867" s="416">
        <v>0</v>
      </c>
      <c r="O867" s="419">
        <v>0</v>
      </c>
      <c r="P867" s="416">
        <v>0</v>
      </c>
      <c r="Q867" s="419">
        <v>0</v>
      </c>
      <c r="R867" s="416">
        <f>15236.11+4345.55+31810.7+3436.51</f>
        <v>54828.870000000003</v>
      </c>
      <c r="S867" s="419">
        <v>0</v>
      </c>
      <c r="T867" s="416">
        <v>0</v>
      </c>
      <c r="U867" s="60"/>
      <c r="V867" s="60"/>
      <c r="W867" s="60"/>
      <c r="X867" s="60"/>
      <c r="Y867" s="60"/>
      <c r="Z867" s="60"/>
      <c r="AA867" s="60"/>
      <c r="AB867" s="60"/>
      <c r="AC867" s="60"/>
      <c r="AD867" s="60"/>
      <c r="AE867" s="60"/>
    </row>
    <row r="868" s="54" customFormat="1" ht="21.75" customHeight="1">
      <c r="A868" s="414">
        <v>8</v>
      </c>
      <c r="B868" s="415" t="s">
        <v>769</v>
      </c>
      <c r="C868" s="79">
        <f t="shared" si="310"/>
        <v>826533.59999999998</v>
      </c>
      <c r="D868" s="79">
        <f t="shared" si="311"/>
        <v>826533.59999999998</v>
      </c>
      <c r="E868" s="416">
        <v>0</v>
      </c>
      <c r="F868" s="416">
        <v>0</v>
      </c>
      <c r="G868" s="416">
        <v>659781.59999999998</v>
      </c>
      <c r="H868" s="416">
        <v>166752</v>
      </c>
      <c r="I868" s="416">
        <v>0</v>
      </c>
      <c r="J868" s="417">
        <v>0</v>
      </c>
      <c r="K868" s="416">
        <v>0</v>
      </c>
      <c r="L868" s="416">
        <v>0</v>
      </c>
      <c r="M868" s="416">
        <v>0</v>
      </c>
      <c r="N868" s="416">
        <v>0</v>
      </c>
      <c r="O868" s="416">
        <v>0</v>
      </c>
      <c r="P868" s="416">
        <v>0</v>
      </c>
      <c r="Q868" s="416">
        <v>0</v>
      </c>
      <c r="R868" s="416">
        <v>0</v>
      </c>
      <c r="S868" s="416">
        <v>0</v>
      </c>
      <c r="T868" s="416">
        <v>0</v>
      </c>
      <c r="U868" s="399"/>
      <c r="V868" s="399"/>
      <c r="W868" s="399"/>
      <c r="X868" s="399"/>
      <c r="Y868" s="399"/>
      <c r="Z868" s="399"/>
      <c r="AA868" s="399"/>
      <c r="AB868" s="399"/>
      <c r="AC868" s="399"/>
      <c r="AD868" s="399"/>
      <c r="AE868" s="399"/>
    </row>
    <row r="869" s="54" customFormat="1" ht="21.75" customHeight="1">
      <c r="A869" s="414">
        <v>9</v>
      </c>
      <c r="B869" s="415" t="s">
        <v>770</v>
      </c>
      <c r="C869" s="79">
        <f t="shared" si="310"/>
        <v>303809.97999999998</v>
      </c>
      <c r="D869" s="79">
        <f t="shared" si="311"/>
        <v>292193.59999999998</v>
      </c>
      <c r="E869" s="416">
        <v>0</v>
      </c>
      <c r="F869" s="416">
        <v>0</v>
      </c>
      <c r="G869" s="416">
        <v>0</v>
      </c>
      <c r="H869" s="418">
        <v>292193.59999999998</v>
      </c>
      <c r="I869" s="416">
        <v>0</v>
      </c>
      <c r="J869" s="417">
        <v>0</v>
      </c>
      <c r="K869" s="416">
        <v>0</v>
      </c>
      <c r="L869" s="416">
        <v>0</v>
      </c>
      <c r="M869" s="416">
        <v>0</v>
      </c>
      <c r="N869" s="416">
        <v>0</v>
      </c>
      <c r="O869" s="416">
        <v>0</v>
      </c>
      <c r="P869" s="416">
        <v>0</v>
      </c>
      <c r="Q869" s="416">
        <v>0</v>
      </c>
      <c r="R869" s="416">
        <v>11616.379999999999</v>
      </c>
      <c r="S869" s="416">
        <v>0</v>
      </c>
      <c r="T869" s="416">
        <v>0</v>
      </c>
      <c r="U869" s="54"/>
      <c r="V869" s="54"/>
      <c r="W869" s="54"/>
      <c r="X869" s="54"/>
      <c r="Y869" s="54"/>
      <c r="Z869" s="54"/>
      <c r="AA869" s="54"/>
      <c r="AB869" s="54"/>
      <c r="AC869" s="54"/>
      <c r="AD869" s="54"/>
      <c r="AE869" s="54"/>
    </row>
    <row r="870" s="350" customFormat="1" ht="32.25" customHeight="1">
      <c r="A870" s="25" t="s">
        <v>348</v>
      </c>
      <c r="B870" s="25"/>
      <c r="C870" s="154">
        <f>C871</f>
        <v>6418309.8899999997</v>
      </c>
      <c r="D870" s="154">
        <f>D871</f>
        <v>0</v>
      </c>
      <c r="E870" s="154">
        <f>E871</f>
        <v>0</v>
      </c>
      <c r="F870" s="154">
        <f>F871</f>
        <v>0</v>
      </c>
      <c r="G870" s="154">
        <f>G871</f>
        <v>0</v>
      </c>
      <c r="H870" s="154">
        <f>H871</f>
        <v>0</v>
      </c>
      <c r="I870" s="154">
        <f>I871</f>
        <v>0</v>
      </c>
      <c r="J870" s="155">
        <f>J871</f>
        <v>0</v>
      </c>
      <c r="K870" s="154">
        <f>K871</f>
        <v>0</v>
      </c>
      <c r="L870" s="154">
        <f>L871</f>
        <v>0</v>
      </c>
      <c r="M870" s="154">
        <f>M871</f>
        <v>0</v>
      </c>
      <c r="N870" s="154">
        <f>N871</f>
        <v>6283835.7999999998</v>
      </c>
      <c r="O870" s="154">
        <f>O871</f>
        <v>0</v>
      </c>
      <c r="P870" s="154">
        <f>P871</f>
        <v>0</v>
      </c>
      <c r="Q870" s="154">
        <f>Q871</f>
        <v>0</v>
      </c>
      <c r="R870" s="154">
        <f>R871</f>
        <v>134474.09</v>
      </c>
      <c r="S870" s="154">
        <f>S871</f>
        <v>0</v>
      </c>
      <c r="T870" s="154">
        <f>T871</f>
        <v>0</v>
      </c>
      <c r="U870" s="350"/>
      <c r="V870" s="350"/>
      <c r="W870" s="350"/>
      <c r="X870" s="350"/>
      <c r="Y870" s="350"/>
      <c r="Z870" s="350"/>
      <c r="AA870" s="350"/>
      <c r="AB870" s="350"/>
      <c r="AC870" s="350"/>
      <c r="AD870" s="350"/>
      <c r="AE870" s="350"/>
    </row>
    <row r="871" s="54" customFormat="1" ht="21.75" customHeight="1">
      <c r="A871" s="414">
        <v>1</v>
      </c>
      <c r="B871" s="415" t="s">
        <v>771</v>
      </c>
      <c r="C871" s="79">
        <f>D871+K871+L871+M871+N871+O871+P871+Q871+R871+S871+T871</f>
        <v>6418309.8899999997</v>
      </c>
      <c r="D871" s="79">
        <f>SUM(E871:I871)</f>
        <v>0</v>
      </c>
      <c r="E871" s="416">
        <v>0</v>
      </c>
      <c r="F871" s="416">
        <v>0</v>
      </c>
      <c r="G871" s="416">
        <v>0</v>
      </c>
      <c r="H871" s="416">
        <v>0</v>
      </c>
      <c r="I871" s="416">
        <v>0</v>
      </c>
      <c r="J871" s="417">
        <v>0</v>
      </c>
      <c r="K871" s="416">
        <v>0</v>
      </c>
      <c r="L871" s="416">
        <v>0</v>
      </c>
      <c r="M871" s="416">
        <v>0</v>
      </c>
      <c r="N871" s="416">
        <v>6283835.7999999998</v>
      </c>
      <c r="O871" s="416">
        <v>0</v>
      </c>
      <c r="P871" s="416">
        <v>0</v>
      </c>
      <c r="Q871" s="416">
        <v>0</v>
      </c>
      <c r="R871" s="416">
        <v>134474.09</v>
      </c>
      <c r="S871" s="416">
        <v>0</v>
      </c>
      <c r="T871" s="416">
        <v>0</v>
      </c>
      <c r="U871" s="54"/>
      <c r="V871" s="54"/>
      <c r="W871" s="54"/>
      <c r="X871" s="54"/>
      <c r="Y871" s="54"/>
      <c r="Z871" s="54"/>
      <c r="AA871" s="54"/>
      <c r="AB871" s="54"/>
      <c r="AC871" s="54"/>
      <c r="AD871" s="54"/>
      <c r="AE871" s="54"/>
    </row>
    <row r="872" s="350" customFormat="1" ht="21.75" customHeight="1">
      <c r="A872" s="25" t="s">
        <v>359</v>
      </c>
      <c r="B872" s="25"/>
      <c r="C872" s="154">
        <f>SUM(C873:C880)</f>
        <v>82973909.859999999</v>
      </c>
      <c r="D872" s="154">
        <f>SUM(D873:D880)</f>
        <v>17458963.949999999</v>
      </c>
      <c r="E872" s="154">
        <f>SUM(E873:E880)</f>
        <v>4996823.9400000004</v>
      </c>
      <c r="F872" s="154">
        <f>SUM(F873:F880)</f>
        <v>3341529.3999999999</v>
      </c>
      <c r="G872" s="154">
        <f>SUM(G873:G880)</f>
        <v>6179057.9900000002</v>
      </c>
      <c r="H872" s="154">
        <f>SUM(H873:H880)</f>
        <v>1175693.6699999999</v>
      </c>
      <c r="I872" s="154">
        <f>SUM(I873:I880)</f>
        <v>1765858.95</v>
      </c>
      <c r="J872" s="155">
        <f>SUM(J873:J880)</f>
        <v>0</v>
      </c>
      <c r="K872" s="154">
        <f>SUM(K873:K880)</f>
        <v>0</v>
      </c>
      <c r="L872" s="154">
        <f>SUM(L873:L880)</f>
        <v>1822555.6499999999</v>
      </c>
      <c r="M872" s="154">
        <f>SUM(M873:M880)</f>
        <v>0</v>
      </c>
      <c r="N872" s="154">
        <f>SUM(N873:N880)</f>
        <v>7731787.5</v>
      </c>
      <c r="O872" s="154">
        <f>SUM(O873:O880)</f>
        <v>0</v>
      </c>
      <c r="P872" s="154">
        <f>SUM(P873:P880)</f>
        <v>700764</v>
      </c>
      <c r="Q872" s="154">
        <f>SUM(Q873:Q880)</f>
        <v>0</v>
      </c>
      <c r="R872" s="154">
        <f>SUM(R873:R880)</f>
        <v>1673368.96</v>
      </c>
      <c r="S872" s="154">
        <f>SUM(S873:S880)</f>
        <v>53586469.799999997</v>
      </c>
      <c r="T872" s="154">
        <f>SUM(T873:T880)</f>
        <v>0</v>
      </c>
      <c r="U872" s="350"/>
      <c r="V872" s="350"/>
      <c r="W872" s="350"/>
      <c r="X872" s="350"/>
      <c r="Y872" s="350"/>
      <c r="Z872" s="350"/>
      <c r="AA872" s="350"/>
      <c r="AB872" s="350"/>
      <c r="AC872" s="350"/>
      <c r="AD872" s="350"/>
      <c r="AE872" s="350"/>
    </row>
    <row r="873" s="350" customFormat="1" ht="21.75" customHeight="1">
      <c r="A873" s="33">
        <v>1</v>
      </c>
      <c r="B873" s="50" t="s">
        <v>772</v>
      </c>
      <c r="C873" s="158">
        <f t="shared" ref="C873:C880" si="312">D873+K873+L873+M873+N873+O873+P873+Q873+R873+S873+T873</f>
        <v>10872246.24</v>
      </c>
      <c r="D873" s="79">
        <f t="shared" ref="D873:D880" si="313">SUM(E873:I873)</f>
        <v>10644454.9</v>
      </c>
      <c r="E873" s="92">
        <v>4447372.2400000002</v>
      </c>
      <c r="F873" s="158">
        <v>0</v>
      </c>
      <c r="G873" s="79">
        <v>4409183.4900000002</v>
      </c>
      <c r="H873" s="92">
        <v>381019.17999999999</v>
      </c>
      <c r="I873" s="158">
        <v>1406879.99</v>
      </c>
      <c r="J873" s="398">
        <v>0</v>
      </c>
      <c r="K873" s="158">
        <v>0</v>
      </c>
      <c r="L873" s="79">
        <v>0</v>
      </c>
      <c r="M873" s="158">
        <v>0</v>
      </c>
      <c r="N873" s="79">
        <v>0</v>
      </c>
      <c r="O873" s="158">
        <v>0</v>
      </c>
      <c r="P873" s="79">
        <v>0</v>
      </c>
      <c r="Q873" s="158">
        <v>0</v>
      </c>
      <c r="R873" s="79">
        <f>95173.77+94356.53+8153.81+30107.23</f>
        <v>227791.34</v>
      </c>
      <c r="S873" s="158">
        <v>0</v>
      </c>
      <c r="T873" s="79">
        <v>0</v>
      </c>
      <c r="U873" s="54"/>
      <c r="V873" s="54"/>
      <c r="W873" s="54"/>
      <c r="X873" s="54"/>
      <c r="Y873" s="54"/>
      <c r="Z873" s="54"/>
      <c r="AA873" s="54"/>
      <c r="AB873" s="54"/>
      <c r="AC873" s="54"/>
      <c r="AD873" s="54"/>
      <c r="AE873" s="54"/>
      <c r="AF873" s="350"/>
      <c r="AG873" s="350"/>
      <c r="AH873" s="350"/>
      <c r="AI873" s="350"/>
      <c r="AJ873" s="350"/>
      <c r="AK873" s="350"/>
    </row>
    <row r="874" s="350" customFormat="1" ht="21.75" customHeight="1">
      <c r="A874" s="33">
        <v>2</v>
      </c>
      <c r="B874" s="50" t="s">
        <v>1375</v>
      </c>
      <c r="C874" s="79">
        <f t="shared" si="312"/>
        <v>29941857.989999998</v>
      </c>
      <c r="D874" s="158">
        <f t="shared" si="313"/>
        <v>0</v>
      </c>
      <c r="E874" s="79">
        <v>0</v>
      </c>
      <c r="F874" s="92">
        <v>0</v>
      </c>
      <c r="G874" s="158">
        <v>0</v>
      </c>
      <c r="H874" s="79">
        <v>0</v>
      </c>
      <c r="I874" s="79">
        <v>0</v>
      </c>
      <c r="J874" s="345">
        <v>0</v>
      </c>
      <c r="K874" s="79">
        <v>0</v>
      </c>
      <c r="L874" s="92">
        <v>0</v>
      </c>
      <c r="M874" s="79">
        <v>0</v>
      </c>
      <c r="N874" s="92">
        <v>0</v>
      </c>
      <c r="O874" s="79">
        <v>0</v>
      </c>
      <c r="P874" s="92">
        <v>350382</v>
      </c>
      <c r="Q874" s="79">
        <v>0</v>
      </c>
      <c r="R874" s="158">
        <v>619980.98999999999</v>
      </c>
      <c r="S874" s="79">
        <v>28971495</v>
      </c>
      <c r="T874" s="79">
        <v>0</v>
      </c>
      <c r="U874" s="54"/>
      <c r="V874" s="54"/>
      <c r="W874" s="54"/>
      <c r="X874" s="54"/>
      <c r="Y874" s="54"/>
      <c r="Z874" s="54"/>
      <c r="AA874" s="54"/>
      <c r="AB874" s="54"/>
      <c r="AC874" s="54"/>
      <c r="AD874" s="54"/>
      <c r="AE874" s="54"/>
      <c r="AF874" s="350"/>
      <c r="AG874" s="350"/>
      <c r="AH874" s="350"/>
      <c r="AI874" s="350"/>
      <c r="AJ874" s="350"/>
      <c r="AK874" s="350"/>
    </row>
    <row r="875" s="54" customFormat="1" ht="21.75" customHeight="1">
      <c r="A875" s="33">
        <v>3</v>
      </c>
      <c r="B875" s="415" t="s">
        <v>360</v>
      </c>
      <c r="C875" s="79">
        <f t="shared" si="312"/>
        <v>7897247.75</v>
      </c>
      <c r="D875" s="79">
        <f t="shared" si="313"/>
        <v>0</v>
      </c>
      <c r="E875" s="416">
        <v>0</v>
      </c>
      <c r="F875" s="416">
        <v>0</v>
      </c>
      <c r="G875" s="416">
        <v>0</v>
      </c>
      <c r="H875" s="416">
        <v>0</v>
      </c>
      <c r="I875" s="416">
        <v>0</v>
      </c>
      <c r="J875" s="417">
        <v>0</v>
      </c>
      <c r="K875" s="416">
        <v>0</v>
      </c>
      <c r="L875" s="416">
        <v>0</v>
      </c>
      <c r="M875" s="416">
        <v>0</v>
      </c>
      <c r="N875" s="416">
        <v>7731787.5</v>
      </c>
      <c r="O875" s="416">
        <v>0</v>
      </c>
      <c r="P875" s="418">
        <v>0</v>
      </c>
      <c r="Q875" s="416">
        <v>0</v>
      </c>
      <c r="R875" s="416">
        <v>165460.25</v>
      </c>
      <c r="S875" s="416">
        <v>0</v>
      </c>
      <c r="T875" s="416">
        <v>0</v>
      </c>
      <c r="U875" s="54"/>
      <c r="V875" s="54"/>
      <c r="W875" s="54"/>
      <c r="X875" s="54"/>
      <c r="Y875" s="54"/>
      <c r="Z875" s="54"/>
      <c r="AA875" s="54"/>
      <c r="AB875" s="54"/>
      <c r="AC875" s="54"/>
      <c r="AD875" s="54"/>
      <c r="AE875" s="54"/>
    </row>
    <row r="876" s="350" customFormat="1" ht="21.75" customHeight="1">
      <c r="A876" s="33">
        <v>4</v>
      </c>
      <c r="B876" s="50" t="s">
        <v>775</v>
      </c>
      <c r="C876" s="79">
        <f t="shared" si="312"/>
        <v>598310.87</v>
      </c>
      <c r="D876" s="79">
        <f t="shared" si="313"/>
        <v>585685.55000000005</v>
      </c>
      <c r="E876" s="158">
        <v>0</v>
      </c>
      <c r="F876" s="79">
        <v>0</v>
      </c>
      <c r="G876" s="79">
        <v>0</v>
      </c>
      <c r="H876" s="158">
        <v>226706.59</v>
      </c>
      <c r="I876" s="79">
        <v>358978.96000000002</v>
      </c>
      <c r="J876" s="398">
        <v>0</v>
      </c>
      <c r="K876" s="158">
        <v>0</v>
      </c>
      <c r="L876" s="79">
        <v>0</v>
      </c>
      <c r="M876" s="158">
        <v>0</v>
      </c>
      <c r="N876" s="79">
        <v>0</v>
      </c>
      <c r="O876" s="158">
        <v>0</v>
      </c>
      <c r="P876" s="79">
        <v>0</v>
      </c>
      <c r="Q876" s="79">
        <v>0</v>
      </c>
      <c r="R876" s="79">
        <f>7748.48+4876.84</f>
        <v>12625.32</v>
      </c>
      <c r="S876" s="158">
        <v>0</v>
      </c>
      <c r="T876" s="79">
        <v>0</v>
      </c>
      <c r="U876" s="60"/>
      <c r="V876" s="60"/>
      <c r="W876" s="60"/>
      <c r="X876" s="60"/>
      <c r="Y876" s="60"/>
      <c r="Z876" s="60"/>
      <c r="AA876" s="60"/>
      <c r="AB876" s="60"/>
      <c r="AC876" s="60"/>
      <c r="AD876" s="60"/>
      <c r="AE876" s="60"/>
    </row>
    <row r="877" s="350" customFormat="1" ht="21.75" customHeight="1">
      <c r="A877" s="33">
        <v>5</v>
      </c>
      <c r="B877" s="50" t="s">
        <v>776</v>
      </c>
      <c r="C877" s="79">
        <f t="shared" si="312"/>
        <v>25492053.060000002</v>
      </c>
      <c r="D877" s="79">
        <f t="shared" si="313"/>
        <v>0</v>
      </c>
      <c r="E877" s="79">
        <v>0</v>
      </c>
      <c r="F877" s="79">
        <v>0</v>
      </c>
      <c r="G877" s="79">
        <v>0</v>
      </c>
      <c r="H877" s="79">
        <v>0</v>
      </c>
      <c r="I877" s="79">
        <v>0</v>
      </c>
      <c r="J877" s="398">
        <v>0</v>
      </c>
      <c r="K877" s="79">
        <v>0</v>
      </c>
      <c r="L877" s="92">
        <v>0</v>
      </c>
      <c r="M877" s="79">
        <v>0</v>
      </c>
      <c r="N877" s="158">
        <v>0</v>
      </c>
      <c r="O877" s="79">
        <v>0</v>
      </c>
      <c r="P877" s="158">
        <v>350382</v>
      </c>
      <c r="Q877" s="79">
        <v>0</v>
      </c>
      <c r="R877" s="79">
        <v>526696.26000000001</v>
      </c>
      <c r="S877" s="79">
        <v>24614974.800000001</v>
      </c>
      <c r="T877" s="79">
        <v>0</v>
      </c>
      <c r="U877" s="60"/>
      <c r="V877" s="60"/>
      <c r="W877" s="60"/>
      <c r="X877" s="60"/>
      <c r="Y877" s="60"/>
      <c r="Z877" s="60"/>
      <c r="AA877" s="60"/>
      <c r="AB877" s="60"/>
      <c r="AC877" s="60"/>
      <c r="AD877" s="60"/>
      <c r="AE877" s="60"/>
    </row>
    <row r="878" s="54" customFormat="1" ht="21.75" customHeight="1">
      <c r="A878" s="33">
        <v>6</v>
      </c>
      <c r="B878" s="415" t="s">
        <v>777</v>
      </c>
      <c r="C878" s="79">
        <f t="shared" si="312"/>
        <v>561209.96999999997</v>
      </c>
      <c r="D878" s="79">
        <f t="shared" si="313"/>
        <v>549451.69999999995</v>
      </c>
      <c r="E878" s="416">
        <v>549451.69999999995</v>
      </c>
      <c r="F878" s="416">
        <v>0</v>
      </c>
      <c r="G878" s="416">
        <v>0</v>
      </c>
      <c r="H878" s="418">
        <v>0</v>
      </c>
      <c r="I878" s="416">
        <v>0</v>
      </c>
      <c r="J878" s="417">
        <v>0</v>
      </c>
      <c r="K878" s="416">
        <v>0</v>
      </c>
      <c r="L878" s="416">
        <v>0</v>
      </c>
      <c r="M878" s="416">
        <v>0</v>
      </c>
      <c r="N878" s="416">
        <v>0</v>
      </c>
      <c r="O878" s="416">
        <v>0</v>
      </c>
      <c r="P878" s="416">
        <v>0</v>
      </c>
      <c r="Q878" s="416">
        <v>0</v>
      </c>
      <c r="R878" s="416">
        <v>11758.27</v>
      </c>
      <c r="S878" s="416">
        <v>0</v>
      </c>
      <c r="T878" s="416">
        <v>0</v>
      </c>
      <c r="U878" s="54"/>
      <c r="V878" s="54"/>
      <c r="W878" s="54"/>
      <c r="X878" s="54"/>
      <c r="Y878" s="54"/>
      <c r="Z878" s="54"/>
      <c r="AA878" s="54"/>
      <c r="AB878" s="54"/>
      <c r="AC878" s="54"/>
      <c r="AD878" s="54"/>
      <c r="AE878" s="54"/>
    </row>
    <row r="879" s="54" customFormat="1" ht="21.75" customHeight="1">
      <c r="A879" s="33">
        <v>7</v>
      </c>
      <c r="B879" s="50" t="s">
        <v>1376</v>
      </c>
      <c r="C879" s="79">
        <f t="shared" si="312"/>
        <v>2405827.6499999999</v>
      </c>
      <c r="D879" s="158">
        <f t="shared" si="313"/>
        <v>583272</v>
      </c>
      <c r="E879" s="79">
        <v>0</v>
      </c>
      <c r="F879" s="79">
        <v>0</v>
      </c>
      <c r="G879" s="403">
        <v>366574.79999999999</v>
      </c>
      <c r="H879" s="92">
        <v>216697.20000000001</v>
      </c>
      <c r="I879" s="79">
        <v>0</v>
      </c>
      <c r="J879" s="345">
        <v>0</v>
      </c>
      <c r="K879" s="79">
        <v>0</v>
      </c>
      <c r="L879" s="92">
        <v>1822555.6499999999</v>
      </c>
      <c r="M879" s="158">
        <v>0</v>
      </c>
      <c r="N879" s="79">
        <v>0</v>
      </c>
      <c r="O879" s="158">
        <v>0</v>
      </c>
      <c r="P879" s="79">
        <v>0</v>
      </c>
      <c r="Q879" s="79">
        <v>0</v>
      </c>
      <c r="R879" s="158">
        <v>0</v>
      </c>
      <c r="S879" s="79">
        <v>0</v>
      </c>
      <c r="T879" s="79">
        <v>0</v>
      </c>
      <c r="U879" s="60"/>
      <c r="V879" s="60"/>
      <c r="W879" s="60"/>
      <c r="X879" s="60"/>
      <c r="Y879" s="60"/>
      <c r="Z879" s="60"/>
      <c r="AA879" s="60"/>
      <c r="AB879" s="60"/>
      <c r="AC879" s="60"/>
      <c r="AD879" s="60"/>
      <c r="AE879" s="60"/>
    </row>
    <row r="880" s="54" customFormat="1" ht="21.75" customHeight="1">
      <c r="A880" s="33">
        <v>8</v>
      </c>
      <c r="B880" s="415" t="s">
        <v>779</v>
      </c>
      <c r="C880" s="79">
        <f t="shared" si="312"/>
        <v>5205156.3300000001</v>
      </c>
      <c r="D880" s="79">
        <f t="shared" si="313"/>
        <v>5096099.7999999998</v>
      </c>
      <c r="E880" s="416">
        <v>0</v>
      </c>
      <c r="F880" s="416">
        <v>3341529.3999999999</v>
      </c>
      <c r="G880" s="416">
        <v>1403299.7</v>
      </c>
      <c r="H880" s="416">
        <v>351270.69999999995</v>
      </c>
      <c r="I880" s="418">
        <v>0</v>
      </c>
      <c r="J880" s="417">
        <v>0</v>
      </c>
      <c r="K880" s="416">
        <v>0</v>
      </c>
      <c r="L880" s="416">
        <v>0</v>
      </c>
      <c r="M880" s="416">
        <v>0</v>
      </c>
      <c r="N880" s="416">
        <v>0</v>
      </c>
      <c r="O880" s="416">
        <v>0</v>
      </c>
      <c r="P880" s="418">
        <v>0</v>
      </c>
      <c r="Q880" s="416">
        <v>0</v>
      </c>
      <c r="R880" s="416">
        <f>71508.73+30030.61+7517.19</f>
        <v>109056.53</v>
      </c>
      <c r="S880" s="416">
        <v>0</v>
      </c>
      <c r="T880" s="416">
        <v>0</v>
      </c>
      <c r="U880" s="54"/>
      <c r="V880" s="54"/>
      <c r="W880" s="54"/>
      <c r="X880" s="54"/>
      <c r="Y880" s="54"/>
      <c r="Z880" s="54"/>
      <c r="AA880" s="54"/>
      <c r="AB880" s="54"/>
      <c r="AC880" s="54"/>
      <c r="AD880" s="54"/>
      <c r="AE880" s="54"/>
    </row>
    <row r="881" s="54" customFormat="1" ht="21.75" customHeight="1">
      <c r="A881" s="208" t="s">
        <v>672</v>
      </c>
      <c r="B881" s="209"/>
      <c r="C881" s="154">
        <f>C882</f>
        <v>671818.54999999993</v>
      </c>
      <c r="D881" s="154">
        <f>D882</f>
        <v>657742.84999999998</v>
      </c>
      <c r="E881" s="154">
        <f>E882</f>
        <v>0</v>
      </c>
      <c r="F881" s="154">
        <f>F882</f>
        <v>0</v>
      </c>
      <c r="G881" s="154">
        <f>G882</f>
        <v>0</v>
      </c>
      <c r="H881" s="154">
        <f>H882</f>
        <v>0</v>
      </c>
      <c r="I881" s="154">
        <f>I882</f>
        <v>657742.84999999998</v>
      </c>
      <c r="J881" s="155">
        <f>J882</f>
        <v>0</v>
      </c>
      <c r="K881" s="154">
        <f>K882</f>
        <v>0</v>
      </c>
      <c r="L881" s="154">
        <f>L882</f>
        <v>0</v>
      </c>
      <c r="M881" s="154">
        <f>M882</f>
        <v>0</v>
      </c>
      <c r="N881" s="154">
        <f>N882</f>
        <v>0</v>
      </c>
      <c r="O881" s="154">
        <f>O882</f>
        <v>0</v>
      </c>
      <c r="P881" s="154">
        <f>P882</f>
        <v>0</v>
      </c>
      <c r="Q881" s="154">
        <f>Q882</f>
        <v>0</v>
      </c>
      <c r="R881" s="154">
        <f>R882</f>
        <v>14075.700000000001</v>
      </c>
      <c r="S881" s="154">
        <f>S882</f>
        <v>0</v>
      </c>
      <c r="T881" s="154">
        <f>T882</f>
        <v>0</v>
      </c>
      <c r="U881" s="399"/>
      <c r="V881" s="399"/>
      <c r="W881" s="399"/>
      <c r="X881" s="399"/>
      <c r="Y881" s="399"/>
      <c r="Z881" s="399"/>
      <c r="AA881" s="399"/>
      <c r="AB881" s="399"/>
      <c r="AC881" s="399"/>
      <c r="AD881" s="399"/>
      <c r="AE881" s="399"/>
      <c r="AF881" s="399"/>
      <c r="AG881" s="399"/>
      <c r="AH881" s="399"/>
      <c r="AI881" s="399"/>
    </row>
    <row r="882" s="54" customFormat="1" ht="21.75" customHeight="1">
      <c r="A882" s="33">
        <v>1</v>
      </c>
      <c r="B882" s="466" t="s">
        <v>780</v>
      </c>
      <c r="C882" s="79">
        <f>D882+K882+L882+M882+N882+O882+P882+Q882+R882+S882+T882</f>
        <v>671818.54999999993</v>
      </c>
      <c r="D882" s="158">
        <f>SUM(E882:I882)</f>
        <v>657742.84999999998</v>
      </c>
      <c r="E882" s="418">
        <v>0</v>
      </c>
      <c r="F882" s="419">
        <v>0</v>
      </c>
      <c r="G882" s="416">
        <v>0</v>
      </c>
      <c r="H882" s="418">
        <v>0</v>
      </c>
      <c r="I882" s="418">
        <v>657742.84999999998</v>
      </c>
      <c r="J882" s="462">
        <v>0</v>
      </c>
      <c r="K882" s="416">
        <v>0</v>
      </c>
      <c r="L882" s="419">
        <v>0</v>
      </c>
      <c r="M882" s="416">
        <v>0</v>
      </c>
      <c r="N882" s="419">
        <v>0</v>
      </c>
      <c r="O882" s="416">
        <v>0</v>
      </c>
      <c r="P882" s="419">
        <v>0</v>
      </c>
      <c r="Q882" s="416">
        <v>0</v>
      </c>
      <c r="R882" s="419">
        <v>14075.700000000001</v>
      </c>
      <c r="S882" s="416">
        <v>0</v>
      </c>
      <c r="T882" s="416">
        <v>0</v>
      </c>
      <c r="U882" s="399"/>
      <c r="V882" s="399"/>
      <c r="W882" s="399"/>
      <c r="X882" s="399"/>
      <c r="Y882" s="399"/>
      <c r="Z882" s="399"/>
      <c r="AA882" s="399"/>
      <c r="AB882" s="399"/>
      <c r="AC882" s="399"/>
      <c r="AD882" s="399"/>
      <c r="AE882" s="399"/>
      <c r="AF882" s="399"/>
      <c r="AG882" s="399"/>
      <c r="AH882" s="399"/>
      <c r="AI882" s="399"/>
    </row>
    <row r="883" s="350" customFormat="1" ht="21.75" customHeight="1">
      <c r="A883" s="25" t="s">
        <v>362</v>
      </c>
      <c r="B883" s="25"/>
      <c r="C883" s="154">
        <f>SUM(C884:C888)</f>
        <v>21229739.600000001</v>
      </c>
      <c r="D883" s="154">
        <f>SUM(D884:D888)</f>
        <v>16335676.739999998</v>
      </c>
      <c r="E883" s="154">
        <f>SUM(E884:E888)</f>
        <v>0</v>
      </c>
      <c r="F883" s="154">
        <f>SUM(F884:F888)</f>
        <v>16335676.739999998</v>
      </c>
      <c r="G883" s="154">
        <f>SUM(G884:G888)</f>
        <v>0</v>
      </c>
      <c r="H883" s="154">
        <f>SUM(H884:H888)</f>
        <v>0</v>
      </c>
      <c r="I883" s="154">
        <f>SUM(I884:I888)</f>
        <v>0</v>
      </c>
      <c r="J883" s="155">
        <f>SUM(J884:J888)</f>
        <v>0</v>
      </c>
      <c r="K883" s="154">
        <f>SUM(K884:K888)</f>
        <v>0</v>
      </c>
      <c r="L883" s="154">
        <f>SUM(L884:L888)</f>
        <v>0</v>
      </c>
      <c r="M883" s="154">
        <f>SUM(M884:M888)</f>
        <v>0</v>
      </c>
      <c r="N883" s="154">
        <f>SUM(N884:N888)</f>
        <v>4412314.0199999996</v>
      </c>
      <c r="O883" s="154">
        <f>SUM(O884:O888)</f>
        <v>0</v>
      </c>
      <c r="P883" s="154">
        <f>SUM(P884:P888)</f>
        <v>0</v>
      </c>
      <c r="Q883" s="154">
        <f>SUM(Q884:Q888)</f>
        <v>0</v>
      </c>
      <c r="R883" s="154">
        <f>SUM(R884:R888)</f>
        <v>481748.83999999997</v>
      </c>
      <c r="S883" s="154">
        <f>SUM(S884:S888)</f>
        <v>0</v>
      </c>
      <c r="T883" s="154">
        <f>SUM(T884:T888)</f>
        <v>0</v>
      </c>
      <c r="U883" s="350"/>
      <c r="V883" s="350"/>
      <c r="W883" s="350"/>
      <c r="X883" s="350"/>
      <c r="Y883" s="350"/>
      <c r="Z883" s="350"/>
      <c r="AA883" s="350"/>
      <c r="AB883" s="350"/>
      <c r="AC883" s="350"/>
      <c r="AD883" s="350"/>
      <c r="AE883" s="350"/>
    </row>
    <row r="884" s="54" customFormat="1" ht="21.75" customHeight="1">
      <c r="A884" s="414">
        <v>1</v>
      </c>
      <c r="B884" s="415" t="s">
        <v>1377</v>
      </c>
      <c r="C884" s="79">
        <f t="shared" ref="C884:C888" si="314">D884+K884+L884+M884+N884+O884+P884+Q884+R884+S884+T884</f>
        <v>4544479.3799999999</v>
      </c>
      <c r="D884" s="79">
        <f t="shared" ref="D884:D888" si="315">SUM(E884:I884)</f>
        <v>0</v>
      </c>
      <c r="E884" s="416">
        <v>0</v>
      </c>
      <c r="F884" s="418">
        <v>0</v>
      </c>
      <c r="G884" s="416">
        <v>0</v>
      </c>
      <c r="H884" s="416">
        <v>0</v>
      </c>
      <c r="I884" s="416">
        <v>0</v>
      </c>
      <c r="J884" s="417">
        <v>0</v>
      </c>
      <c r="K884" s="416">
        <v>0</v>
      </c>
      <c r="L884" s="416">
        <v>0</v>
      </c>
      <c r="M884" s="418">
        <v>0</v>
      </c>
      <c r="N884" s="416">
        <v>4412314.0199999996</v>
      </c>
      <c r="O884" s="418">
        <v>0</v>
      </c>
      <c r="P884" s="416">
        <v>0</v>
      </c>
      <c r="Q884" s="418">
        <v>0</v>
      </c>
      <c r="R884" s="416">
        <v>132165.35999999999</v>
      </c>
      <c r="S884" s="418">
        <v>0</v>
      </c>
      <c r="T884" s="416">
        <v>0</v>
      </c>
      <c r="U884" s="54"/>
      <c r="V884" s="54"/>
      <c r="W884" s="54"/>
      <c r="X884" s="54"/>
      <c r="Y884" s="54"/>
      <c r="Z884" s="54"/>
      <c r="AA884" s="54"/>
      <c r="AB884" s="54"/>
      <c r="AC884" s="54"/>
      <c r="AD884" s="54"/>
      <c r="AE884" s="54"/>
    </row>
    <row r="885" s="54" customFormat="1" ht="21.75" customHeight="1">
      <c r="A885" s="414">
        <v>2</v>
      </c>
      <c r="B885" s="415" t="s">
        <v>681</v>
      </c>
      <c r="C885" s="79">
        <f t="shared" si="314"/>
        <v>6279427.4099999992</v>
      </c>
      <c r="D885" s="79">
        <f t="shared" si="315"/>
        <v>6147863.1399999997</v>
      </c>
      <c r="E885" s="416">
        <v>0</v>
      </c>
      <c r="F885" s="418">
        <v>6147863.1399999997</v>
      </c>
      <c r="G885" s="416">
        <v>0</v>
      </c>
      <c r="H885" s="416">
        <v>0</v>
      </c>
      <c r="I885" s="416">
        <v>0</v>
      </c>
      <c r="J885" s="417">
        <v>0</v>
      </c>
      <c r="K885" s="416">
        <v>0</v>
      </c>
      <c r="L885" s="416">
        <v>0</v>
      </c>
      <c r="M885" s="416">
        <v>0</v>
      </c>
      <c r="N885" s="418">
        <v>0</v>
      </c>
      <c r="O885" s="418">
        <v>0</v>
      </c>
      <c r="P885" s="418">
        <v>0</v>
      </c>
      <c r="Q885" s="416">
        <v>0</v>
      </c>
      <c r="R885" s="416">
        <v>131564.26999999999</v>
      </c>
      <c r="S885" s="416">
        <v>0</v>
      </c>
      <c r="T885" s="416">
        <v>0</v>
      </c>
      <c r="U885" s="54"/>
      <c r="V885" s="54"/>
      <c r="W885" s="54"/>
      <c r="X885" s="54"/>
      <c r="Y885" s="54"/>
      <c r="Z885" s="54"/>
      <c r="AA885" s="54"/>
      <c r="AB885" s="54"/>
      <c r="AC885" s="54"/>
      <c r="AD885" s="54"/>
      <c r="AE885" s="54"/>
    </row>
    <row r="886" s="54" customFormat="1" ht="21.75" customHeight="1">
      <c r="A886" s="414">
        <v>3</v>
      </c>
      <c r="B886" s="415" t="s">
        <v>373</v>
      </c>
      <c r="C886" s="79">
        <f t="shared" si="314"/>
        <v>1719343.5600000001</v>
      </c>
      <c r="D886" s="79">
        <f t="shared" si="315"/>
        <v>1683320.5</v>
      </c>
      <c r="E886" s="416">
        <v>0</v>
      </c>
      <c r="F886" s="418">
        <v>1683320.5</v>
      </c>
      <c r="G886" s="416">
        <v>0</v>
      </c>
      <c r="H886" s="416">
        <v>0</v>
      </c>
      <c r="I886" s="416">
        <v>0</v>
      </c>
      <c r="J886" s="417">
        <v>0</v>
      </c>
      <c r="K886" s="416">
        <v>0</v>
      </c>
      <c r="L886" s="419">
        <v>0</v>
      </c>
      <c r="M886" s="416">
        <v>0</v>
      </c>
      <c r="N886" s="418">
        <v>0</v>
      </c>
      <c r="O886" s="418">
        <v>0</v>
      </c>
      <c r="P886" s="418">
        <v>0</v>
      </c>
      <c r="Q886" s="416">
        <v>0</v>
      </c>
      <c r="R886" s="416">
        <v>36023.059999999998</v>
      </c>
      <c r="S886" s="416">
        <v>0</v>
      </c>
      <c r="T886" s="416">
        <v>0</v>
      </c>
      <c r="U886" s="399"/>
      <c r="V886" s="399"/>
      <c r="W886" s="399"/>
      <c r="X886" s="399"/>
      <c r="Y886" s="399"/>
      <c r="Z886" s="399"/>
      <c r="AA886" s="399"/>
      <c r="AB886" s="399"/>
      <c r="AC886" s="399"/>
      <c r="AD886" s="399"/>
      <c r="AE886" s="399"/>
      <c r="AF886" s="399"/>
      <c r="AG886" s="399"/>
      <c r="AH886" s="399"/>
      <c r="AI886" s="399"/>
      <c r="AJ886" s="54"/>
      <c r="AK886" s="54"/>
    </row>
    <row r="887" s="54" customFormat="1" ht="21.75" customHeight="1">
      <c r="A887" s="414">
        <v>4</v>
      </c>
      <c r="B887" s="415" t="s">
        <v>375</v>
      </c>
      <c r="C887" s="79">
        <f t="shared" si="314"/>
        <v>1851627.2600000002</v>
      </c>
      <c r="D887" s="79">
        <f t="shared" si="315"/>
        <v>1812832.6400000001</v>
      </c>
      <c r="E887" s="416">
        <v>0</v>
      </c>
      <c r="F887" s="418">
        <v>1812832.6400000001</v>
      </c>
      <c r="G887" s="416">
        <v>0</v>
      </c>
      <c r="H887" s="416">
        <v>0</v>
      </c>
      <c r="I887" s="416">
        <v>0</v>
      </c>
      <c r="J887" s="417">
        <v>0</v>
      </c>
      <c r="K887" s="416">
        <v>0</v>
      </c>
      <c r="L887" s="416">
        <v>0</v>
      </c>
      <c r="M887" s="416">
        <v>0</v>
      </c>
      <c r="N887" s="418">
        <v>0</v>
      </c>
      <c r="O887" s="418">
        <v>0</v>
      </c>
      <c r="P887" s="418">
        <v>0</v>
      </c>
      <c r="Q887" s="416">
        <v>0</v>
      </c>
      <c r="R887" s="416">
        <v>38794.620000000003</v>
      </c>
      <c r="S887" s="416">
        <v>0</v>
      </c>
      <c r="T887" s="416">
        <v>0</v>
      </c>
      <c r="U887" s="399"/>
      <c r="V887" s="399"/>
      <c r="W887" s="399"/>
      <c r="X887" s="399"/>
      <c r="Y887" s="399"/>
      <c r="Z887" s="399"/>
      <c r="AA887" s="399"/>
      <c r="AB887" s="399"/>
      <c r="AC887" s="399"/>
      <c r="AD887" s="399"/>
      <c r="AE887" s="399"/>
      <c r="AF887" s="399"/>
      <c r="AG887" s="399"/>
      <c r="AH887" s="399"/>
      <c r="AI887" s="399"/>
    </row>
    <row r="888" s="54" customFormat="1" ht="21.75" customHeight="1">
      <c r="A888" s="414">
        <v>5</v>
      </c>
      <c r="B888" s="415" t="s">
        <v>682</v>
      </c>
      <c r="C888" s="79">
        <f t="shared" si="314"/>
        <v>6834861.9900000002</v>
      </c>
      <c r="D888" s="79">
        <f t="shared" si="315"/>
        <v>6691660.46</v>
      </c>
      <c r="E888" s="418">
        <v>0</v>
      </c>
      <c r="F888" s="418">
        <v>6691660.46</v>
      </c>
      <c r="G888" s="416">
        <v>0</v>
      </c>
      <c r="H888" s="416">
        <v>0</v>
      </c>
      <c r="I888" s="418">
        <v>0</v>
      </c>
      <c r="J888" s="417">
        <v>0</v>
      </c>
      <c r="K888" s="416">
        <v>0</v>
      </c>
      <c r="L888" s="416">
        <v>0</v>
      </c>
      <c r="M888" s="416">
        <v>0</v>
      </c>
      <c r="N888" s="416">
        <v>0</v>
      </c>
      <c r="O888" s="416">
        <v>0</v>
      </c>
      <c r="P888" s="418">
        <v>0</v>
      </c>
      <c r="Q888" s="416">
        <v>0</v>
      </c>
      <c r="R888" s="416">
        <v>143201.53</v>
      </c>
      <c r="S888" s="416">
        <v>0</v>
      </c>
      <c r="T888" s="416">
        <v>0</v>
      </c>
      <c r="U888" s="54"/>
      <c r="V888" s="54"/>
      <c r="W888" s="54"/>
      <c r="X888" s="54"/>
      <c r="Y888" s="54"/>
      <c r="Z888" s="54"/>
      <c r="AA888" s="54"/>
      <c r="AB888" s="54"/>
      <c r="AC888" s="54"/>
      <c r="AD888" s="54"/>
      <c r="AE888" s="54"/>
      <c r="AF888" s="54"/>
      <c r="AG888" s="54"/>
      <c r="AH888" s="54"/>
      <c r="AI888" s="54"/>
    </row>
    <row r="889" s="350" customFormat="1" ht="21.75" customHeight="1">
      <c r="A889" s="25" t="s">
        <v>411</v>
      </c>
      <c r="B889" s="25"/>
      <c r="C889" s="154">
        <f>SUM(C890:C892)</f>
        <v>21796582.989999998</v>
      </c>
      <c r="D889" s="154">
        <f>SUM(D890:D892)</f>
        <v>4057685.73</v>
      </c>
      <c r="E889" s="154">
        <f>SUM(E890:E892)</f>
        <v>0</v>
      </c>
      <c r="F889" s="154">
        <f>SUM(F890:F892)</f>
        <v>3564340.5099999998</v>
      </c>
      <c r="G889" s="154">
        <f>SUM(G890:G892)</f>
        <v>0</v>
      </c>
      <c r="H889" s="154">
        <f>SUM(H890:H892)</f>
        <v>250049.03</v>
      </c>
      <c r="I889" s="154">
        <f>SUM(I890:I892)</f>
        <v>243296.19</v>
      </c>
      <c r="J889" s="155">
        <f>SUM(J890:J892)</f>
        <v>0</v>
      </c>
      <c r="K889" s="154">
        <f>SUM(K890:K892)</f>
        <v>0</v>
      </c>
      <c r="L889" s="154">
        <f>SUM(L890:L892)</f>
        <v>4434176.3899999997</v>
      </c>
      <c r="M889" s="154">
        <f>SUM(M890:M892)</f>
        <v>0</v>
      </c>
      <c r="N889" s="154">
        <f>SUM(N890:N892)</f>
        <v>12784946.9</v>
      </c>
      <c r="O889" s="154">
        <f>SUM(O890:O892)</f>
        <v>0</v>
      </c>
      <c r="P889" s="154">
        <f>SUM(P890:P892)</f>
        <v>0</v>
      </c>
      <c r="Q889" s="154">
        <f>SUM(Q890:Q892)</f>
        <v>0</v>
      </c>
      <c r="R889" s="154">
        <f>SUM(R890:R892)</f>
        <v>519773.97000000003</v>
      </c>
      <c r="S889" s="154">
        <f>SUM(S890:S892)</f>
        <v>0</v>
      </c>
      <c r="T889" s="154">
        <f>SUM(T890:T892)</f>
        <v>0</v>
      </c>
      <c r="U889" s="350"/>
      <c r="V889" s="350"/>
      <c r="W889" s="350"/>
      <c r="X889" s="350"/>
      <c r="Y889" s="350"/>
      <c r="Z889" s="350"/>
      <c r="AA889" s="350"/>
      <c r="AB889" s="350"/>
      <c r="AC889" s="350"/>
      <c r="AD889" s="350"/>
      <c r="AE889" s="350"/>
      <c r="AF889" s="350"/>
      <c r="AG889" s="350"/>
      <c r="AH889" s="350"/>
      <c r="AI889" s="350"/>
      <c r="AJ889" s="350"/>
      <c r="AK889" s="350"/>
      <c r="AL889" s="350"/>
      <c r="AM889" s="350"/>
      <c r="AN889" s="350"/>
      <c r="AO889" s="350"/>
    </row>
    <row r="890" s="54" customFormat="1" ht="21.75" customHeight="1">
      <c r="A890" s="414">
        <v>1</v>
      </c>
      <c r="B890" s="466" t="s">
        <v>418</v>
      </c>
      <c r="C890" s="79">
        <f t="shared" ref="C890:C892" si="316">D890+K890+L890+M890+N890+O890+P890+Q890+R890+S890+T890</f>
        <v>12068295.309999999</v>
      </c>
      <c r="D890" s="79">
        <f t="shared" ref="D890:D892" si="317">SUM(E890:I890)</f>
        <v>1825211.5</v>
      </c>
      <c r="E890" s="418">
        <v>0</v>
      </c>
      <c r="F890" s="418">
        <v>1825211.5</v>
      </c>
      <c r="G890" s="416">
        <v>0</v>
      </c>
      <c r="H890" s="418">
        <v>0</v>
      </c>
      <c r="I890" s="416">
        <v>0</v>
      </c>
      <c r="J890" s="417">
        <v>0</v>
      </c>
      <c r="K890" s="418">
        <v>0</v>
      </c>
      <c r="L890" s="418">
        <v>4434176.3899999997</v>
      </c>
      <c r="M890" s="416">
        <v>0</v>
      </c>
      <c r="N890" s="416">
        <v>5556056.9000000004</v>
      </c>
      <c r="O890" s="416">
        <v>0</v>
      </c>
      <c r="P890" s="418">
        <v>0</v>
      </c>
      <c r="Q890" s="416">
        <v>0</v>
      </c>
      <c r="R890" s="416">
        <v>252850.51999999999</v>
      </c>
      <c r="S890" s="416">
        <v>0</v>
      </c>
      <c r="T890" s="416">
        <v>0</v>
      </c>
      <c r="U890" s="54"/>
      <c r="V890" s="54"/>
      <c r="W890" s="54"/>
      <c r="X890" s="54"/>
      <c r="Y890" s="54"/>
      <c r="Z890" s="54"/>
      <c r="AA890" s="54"/>
      <c r="AB890" s="54"/>
      <c r="AC890" s="54"/>
      <c r="AD890" s="54"/>
      <c r="AE890" s="54"/>
    </row>
    <row r="891" s="54" customFormat="1" ht="21.75" customHeight="1">
      <c r="A891" s="414">
        <v>2</v>
      </c>
      <c r="B891" s="467" t="s">
        <v>426</v>
      </c>
      <c r="C891" s="79">
        <f t="shared" si="316"/>
        <v>7383588.25</v>
      </c>
      <c r="D891" s="79">
        <f t="shared" si="317"/>
        <v>0</v>
      </c>
      <c r="E891" s="468">
        <v>0</v>
      </c>
      <c r="F891" s="468">
        <v>0</v>
      </c>
      <c r="G891" s="468">
        <v>0</v>
      </c>
      <c r="H891" s="468">
        <v>0</v>
      </c>
      <c r="I891" s="468">
        <v>0</v>
      </c>
      <c r="J891" s="469">
        <v>0</v>
      </c>
      <c r="K891" s="470">
        <v>0</v>
      </c>
      <c r="L891" s="470">
        <v>0</v>
      </c>
      <c r="M891" s="470">
        <v>0</v>
      </c>
      <c r="N891" s="470">
        <v>7228890</v>
      </c>
      <c r="O891" s="470">
        <v>0</v>
      </c>
      <c r="P891" s="468">
        <v>0</v>
      </c>
      <c r="Q891" s="470">
        <v>0</v>
      </c>
      <c r="R891" s="470">
        <v>154698.25</v>
      </c>
      <c r="S891" s="470">
        <v>0</v>
      </c>
      <c r="T891" s="470">
        <v>0</v>
      </c>
      <c r="U891" s="54"/>
      <c r="V891" s="54"/>
      <c r="W891" s="54"/>
      <c r="X891" s="54"/>
      <c r="Y891" s="54"/>
      <c r="Z891" s="54"/>
      <c r="AA891" s="54"/>
      <c r="AB891" s="54"/>
      <c r="AC891" s="54"/>
      <c r="AD891" s="54"/>
      <c r="AE891" s="54"/>
      <c r="AF891" s="54"/>
      <c r="AG891" s="54"/>
      <c r="AH891" s="54"/>
      <c r="AI891" s="54"/>
      <c r="AJ891" s="54"/>
      <c r="AK891" s="54"/>
      <c r="AL891" s="54"/>
      <c r="AM891" s="54"/>
      <c r="AN891" s="54"/>
      <c r="AO891" s="54"/>
    </row>
    <row r="892" s="54" customFormat="1" ht="21.75" customHeight="1">
      <c r="A892" s="414">
        <v>3</v>
      </c>
      <c r="B892" s="467" t="s">
        <v>781</v>
      </c>
      <c r="C892" s="158">
        <f t="shared" si="316"/>
        <v>2344699.4300000002</v>
      </c>
      <c r="D892" s="79">
        <f t="shared" si="317"/>
        <v>2232474.23</v>
      </c>
      <c r="E892" s="468">
        <v>0</v>
      </c>
      <c r="F892" s="468">
        <v>1739129.01</v>
      </c>
      <c r="G892" s="470">
        <v>0</v>
      </c>
      <c r="H892" s="468">
        <v>250049.03</v>
      </c>
      <c r="I892" s="470">
        <v>243296.19</v>
      </c>
      <c r="J892" s="469">
        <v>0</v>
      </c>
      <c r="K892" s="468">
        <v>0</v>
      </c>
      <c r="L892" s="471">
        <v>0</v>
      </c>
      <c r="M892" s="470">
        <v>0</v>
      </c>
      <c r="N892" s="471">
        <v>0</v>
      </c>
      <c r="O892" s="470">
        <v>0</v>
      </c>
      <c r="P892" s="468">
        <v>0</v>
      </c>
      <c r="Q892" s="470">
        <v>0</v>
      </c>
      <c r="R892" s="470">
        <f>30778.48+68392.2+13054.52</f>
        <v>112225.2</v>
      </c>
      <c r="S892" s="470">
        <v>0</v>
      </c>
      <c r="T892" s="470">
        <v>0</v>
      </c>
      <c r="U892" s="54"/>
      <c r="V892" s="54"/>
      <c r="W892" s="54"/>
      <c r="X892" s="54"/>
      <c r="Y892" s="54"/>
      <c r="Z892" s="54"/>
      <c r="AA892" s="54"/>
      <c r="AB892" s="54"/>
      <c r="AC892" s="54"/>
      <c r="AD892" s="54"/>
      <c r="AE892" s="54"/>
      <c r="AF892" s="54"/>
      <c r="AG892" s="54"/>
      <c r="AH892" s="54"/>
      <c r="AI892" s="54"/>
      <c r="AJ892" s="54"/>
      <c r="AK892" s="54"/>
      <c r="AL892" s="54"/>
      <c r="AM892" s="54"/>
      <c r="AN892" s="54"/>
      <c r="AO892" s="54"/>
    </row>
    <row r="893" s="350" customFormat="1" ht="21.75" customHeight="1">
      <c r="A893" s="25" t="s">
        <v>429</v>
      </c>
      <c r="B893" s="25"/>
      <c r="C893" s="154">
        <f>SUM(C894:C897)</f>
        <v>23241981.200000003</v>
      </c>
      <c r="D893" s="154">
        <f>SUM(D894:D897)</f>
        <v>6580864.9900000002</v>
      </c>
      <c r="E893" s="154">
        <f>SUM(E894:E897)</f>
        <v>2133890.9900000002</v>
      </c>
      <c r="F893" s="154">
        <f>SUM(F894:F897)</f>
        <v>4446974</v>
      </c>
      <c r="G893" s="154">
        <f>SUM(G894:G897)</f>
        <v>0</v>
      </c>
      <c r="H893" s="154">
        <f>SUM(H894:H897)</f>
        <v>0</v>
      </c>
      <c r="I893" s="154">
        <f>SUM(I894:I897)</f>
        <v>0</v>
      </c>
      <c r="J893" s="155">
        <f>SUM(J894:J897)</f>
        <v>0</v>
      </c>
      <c r="K893" s="154">
        <f>SUM(K894:K897)</f>
        <v>0</v>
      </c>
      <c r="L893" s="154">
        <f>SUM(L894:L897)</f>
        <v>14353953.120000001</v>
      </c>
      <c r="M893" s="154">
        <f>SUM(M894:M897)</f>
        <v>0</v>
      </c>
      <c r="N893" s="154">
        <f>SUM(N894:N897)</f>
        <v>0</v>
      </c>
      <c r="O893" s="154">
        <f>SUM(O894:O897)</f>
        <v>0</v>
      </c>
      <c r="P893" s="154">
        <f>SUM(P894:P897)</f>
        <v>1859158</v>
      </c>
      <c r="Q893" s="154">
        <f>SUM(Q894:Q897)</f>
        <v>0</v>
      </c>
      <c r="R893" s="154">
        <f>SUM(R894:R897)</f>
        <v>448005.09000000003</v>
      </c>
      <c r="S893" s="154">
        <f>SUM(S894:S897)</f>
        <v>0</v>
      </c>
      <c r="T893" s="154">
        <f>SUM(T894:T897)</f>
        <v>0</v>
      </c>
      <c r="U893" s="350"/>
      <c r="V893" s="350"/>
      <c r="W893" s="350"/>
      <c r="X893" s="350"/>
      <c r="Y893" s="350"/>
      <c r="Z893" s="350"/>
      <c r="AA893" s="350"/>
      <c r="AB893" s="350"/>
      <c r="AC893" s="350"/>
      <c r="AD893" s="350"/>
      <c r="AE893" s="350"/>
      <c r="AF893" s="350"/>
      <c r="AG893" s="350"/>
      <c r="AH893" s="350"/>
      <c r="AI893" s="350"/>
      <c r="AJ893" s="350"/>
      <c r="AK893" s="350"/>
      <c r="AL893" s="350"/>
      <c r="AM893" s="350"/>
      <c r="AN893" s="350"/>
      <c r="AO893" s="350"/>
    </row>
    <row r="894" s="350" customFormat="1" ht="21.75" customHeight="1">
      <c r="A894" s="33">
        <v>1</v>
      </c>
      <c r="B894" s="50" t="s">
        <v>1378</v>
      </c>
      <c r="C894" s="79">
        <f t="shared" ref="C894:C897" si="318">D894+K894+L894+M894+N894+O894+P894+Q894+R894+S894+T894</f>
        <v>11569474.16</v>
      </c>
      <c r="D894" s="79">
        <f t="shared" ref="D894:D897" si="319">SUM(E894:I894)</f>
        <v>1307187.0700000001</v>
      </c>
      <c r="E894" s="79">
        <v>1307187.0700000001</v>
      </c>
      <c r="F894" s="79">
        <v>0</v>
      </c>
      <c r="G894" s="79">
        <v>0</v>
      </c>
      <c r="H894" s="79">
        <v>0</v>
      </c>
      <c r="I894" s="79">
        <v>0</v>
      </c>
      <c r="J894" s="398">
        <v>0</v>
      </c>
      <c r="K894" s="79">
        <v>0</v>
      </c>
      <c r="L894" s="92">
        <v>8719740.8399999999</v>
      </c>
      <c r="M894" s="79">
        <v>0</v>
      </c>
      <c r="N894" s="79">
        <v>0</v>
      </c>
      <c r="O894" s="79">
        <v>0</v>
      </c>
      <c r="P894" s="92">
        <f>265594+265594+265594+265594+265594</f>
        <v>1327970</v>
      </c>
      <c r="Q894" s="79">
        <v>0</v>
      </c>
      <c r="R894" s="79">
        <f>186602.45+27973.8</f>
        <v>214576.25</v>
      </c>
      <c r="S894" s="79">
        <v>0</v>
      </c>
      <c r="T894" s="79">
        <v>0</v>
      </c>
      <c r="U894" s="59"/>
      <c r="V894" s="59"/>
      <c r="W894" s="59"/>
      <c r="X894" s="59"/>
      <c r="Y894" s="59"/>
      <c r="Z894" s="59"/>
      <c r="AA894" s="59"/>
      <c r="AB894" s="59"/>
      <c r="AC894" s="59"/>
      <c r="AD894" s="59"/>
      <c r="AE894" s="59"/>
      <c r="AF894" s="350"/>
      <c r="AG894" s="350"/>
      <c r="AH894" s="350"/>
      <c r="AI894" s="350"/>
    </row>
    <row r="895" s="350" customFormat="1" ht="21.75" customHeight="1">
      <c r="A895" s="33">
        <v>2</v>
      </c>
      <c r="B895" s="50" t="s">
        <v>1379</v>
      </c>
      <c r="C895" s="79">
        <f t="shared" si="318"/>
        <v>1109989.3799999999</v>
      </c>
      <c r="D895" s="79">
        <f t="shared" si="319"/>
        <v>826703.92000000004</v>
      </c>
      <c r="E895" s="79">
        <v>826703.92000000004</v>
      </c>
      <c r="F895" s="79">
        <v>0</v>
      </c>
      <c r="G895" s="79">
        <v>0</v>
      </c>
      <c r="H895" s="79">
        <v>0</v>
      </c>
      <c r="I895" s="79">
        <v>0</v>
      </c>
      <c r="J895" s="398">
        <v>0</v>
      </c>
      <c r="K895" s="79">
        <v>0</v>
      </c>
      <c r="L895" s="92">
        <v>0</v>
      </c>
      <c r="M895" s="79">
        <v>0</v>
      </c>
      <c r="N895" s="79">
        <v>0</v>
      </c>
      <c r="O895" s="79">
        <v>0</v>
      </c>
      <c r="P895" s="92">
        <v>265594</v>
      </c>
      <c r="Q895" s="79">
        <v>0</v>
      </c>
      <c r="R895" s="79">
        <v>17691.459999999999</v>
      </c>
      <c r="S895" s="79">
        <v>0</v>
      </c>
      <c r="T895" s="79">
        <v>0</v>
      </c>
      <c r="U895" s="59"/>
      <c r="V895" s="59"/>
      <c r="W895" s="59"/>
      <c r="X895" s="59"/>
      <c r="Y895" s="59"/>
      <c r="Z895" s="59"/>
      <c r="AA895" s="59"/>
      <c r="AB895" s="59"/>
      <c r="AC895" s="59"/>
      <c r="AD895" s="59"/>
      <c r="AE895" s="59"/>
      <c r="AF895" s="60"/>
      <c r="AG895" s="60"/>
      <c r="AH895" s="60"/>
      <c r="AI895" s="60"/>
    </row>
    <row r="896" s="54" customFormat="1" ht="21.75" customHeight="1">
      <c r="A896" s="414">
        <v>3</v>
      </c>
      <c r="B896" s="415" t="s">
        <v>695</v>
      </c>
      <c r="C896" s="79">
        <f t="shared" si="318"/>
        <v>4542139.2400000002</v>
      </c>
      <c r="D896" s="79">
        <f t="shared" si="319"/>
        <v>4446974</v>
      </c>
      <c r="E896" s="418">
        <v>0</v>
      </c>
      <c r="F896" s="418">
        <v>4446974</v>
      </c>
      <c r="G896" s="416">
        <v>0</v>
      </c>
      <c r="H896" s="418">
        <v>0</v>
      </c>
      <c r="I896" s="416">
        <v>0</v>
      </c>
      <c r="J896" s="417">
        <v>0</v>
      </c>
      <c r="K896" s="416">
        <v>0</v>
      </c>
      <c r="L896" s="416">
        <v>0</v>
      </c>
      <c r="M896" s="416">
        <v>0</v>
      </c>
      <c r="N896" s="416">
        <v>0</v>
      </c>
      <c r="O896" s="416">
        <v>0</v>
      </c>
      <c r="P896" s="416">
        <v>0</v>
      </c>
      <c r="Q896" s="416">
        <v>0</v>
      </c>
      <c r="R896" s="416">
        <v>95165.240000000005</v>
      </c>
      <c r="S896" s="416">
        <v>0</v>
      </c>
      <c r="T896" s="416">
        <v>0</v>
      </c>
      <c r="U896" s="54"/>
      <c r="V896" s="54"/>
      <c r="W896" s="54"/>
      <c r="X896" s="54"/>
      <c r="Y896" s="54"/>
      <c r="Z896" s="54"/>
      <c r="AA896" s="54"/>
      <c r="AB896" s="54"/>
      <c r="AC896" s="54"/>
      <c r="AD896" s="54"/>
      <c r="AE896" s="54"/>
      <c r="AF896" s="54"/>
      <c r="AG896" s="54"/>
      <c r="AH896" s="54"/>
      <c r="AI896" s="54"/>
    </row>
    <row r="897" s="54" customFormat="1" ht="21.75" customHeight="1">
      <c r="A897" s="414">
        <v>4</v>
      </c>
      <c r="B897" s="415" t="s">
        <v>1380</v>
      </c>
      <c r="C897" s="79">
        <f t="shared" si="318"/>
        <v>6020378.4199999999</v>
      </c>
      <c r="D897" s="79">
        <f t="shared" si="319"/>
        <v>0</v>
      </c>
      <c r="E897" s="416">
        <v>0</v>
      </c>
      <c r="F897" s="416">
        <v>0</v>
      </c>
      <c r="G897" s="416">
        <v>0</v>
      </c>
      <c r="H897" s="416">
        <v>0</v>
      </c>
      <c r="I897" s="416">
        <v>0</v>
      </c>
      <c r="J897" s="417">
        <v>0</v>
      </c>
      <c r="K897" s="416">
        <v>0</v>
      </c>
      <c r="L897" s="418">
        <v>5634212.2800000003</v>
      </c>
      <c r="M897" s="416">
        <v>0</v>
      </c>
      <c r="N897" s="416">
        <v>0</v>
      </c>
      <c r="O897" s="416">
        <v>0</v>
      </c>
      <c r="P897" s="418">
        <v>265594</v>
      </c>
      <c r="Q897" s="416">
        <v>0</v>
      </c>
      <c r="R897" s="416">
        <v>120572.14</v>
      </c>
      <c r="S897" s="416">
        <v>0</v>
      </c>
      <c r="T897" s="416">
        <v>0</v>
      </c>
      <c r="U897" s="59"/>
      <c r="V897" s="59"/>
      <c r="W897" s="59"/>
      <c r="X897" s="59"/>
      <c r="Y897" s="59"/>
      <c r="Z897" s="59"/>
      <c r="AA897" s="59"/>
      <c r="AB897" s="59"/>
      <c r="AC897" s="59"/>
      <c r="AD897" s="59"/>
      <c r="AE897" s="59"/>
      <c r="AF897" s="54"/>
      <c r="AG897" s="54"/>
      <c r="AH897" s="54"/>
      <c r="AI897" s="54"/>
    </row>
    <row r="898" s="350" customFormat="1" ht="21.75" customHeight="1">
      <c r="A898" s="25" t="s">
        <v>435</v>
      </c>
      <c r="B898" s="25"/>
      <c r="C898" s="154">
        <f>SUM(C899:C901)</f>
        <v>27271196</v>
      </c>
      <c r="D898" s="154">
        <f>SUM(D899:D901)</f>
        <v>5073965.3700000001</v>
      </c>
      <c r="E898" s="154">
        <f>SUM(E899:E901)</f>
        <v>0</v>
      </c>
      <c r="F898" s="154">
        <f>SUM(F899:F901)</f>
        <v>0</v>
      </c>
      <c r="G898" s="154">
        <f>SUM(G899:G901)</f>
        <v>4580309.9699999997</v>
      </c>
      <c r="H898" s="154">
        <f>SUM(H899:H901)</f>
        <v>166257</v>
      </c>
      <c r="I898" s="154">
        <f>SUM(I899:I901)</f>
        <v>327398.40000000002</v>
      </c>
      <c r="J898" s="155">
        <f>SUM(J899:J901)</f>
        <v>0</v>
      </c>
      <c r="K898" s="154">
        <f>SUM(K899:K901)</f>
        <v>0</v>
      </c>
      <c r="L898" s="154">
        <f>SUM(L899:L901)</f>
        <v>0</v>
      </c>
      <c r="M898" s="154">
        <f>SUM(M899:M901)</f>
        <v>0</v>
      </c>
      <c r="N898" s="154">
        <f>SUM(N899:N901)</f>
        <v>0</v>
      </c>
      <c r="O898" s="154">
        <f>SUM(O899:O901)</f>
        <v>0</v>
      </c>
      <c r="P898" s="154">
        <f>SUM(P899:P901)</f>
        <v>700764</v>
      </c>
      <c r="Q898" s="154">
        <f>SUM(Q899:Q901)</f>
        <v>0</v>
      </c>
      <c r="R898" s="154">
        <f>SUM(R899:R901)</f>
        <v>584621.92999999993</v>
      </c>
      <c r="S898" s="154">
        <f>SUM(S899:S901)</f>
        <v>20911844.699999999</v>
      </c>
      <c r="T898" s="154">
        <f>SUM(T899:T901)</f>
        <v>0</v>
      </c>
      <c r="U898" s="350"/>
      <c r="V898" s="350"/>
      <c r="W898" s="350"/>
      <c r="X898" s="350"/>
      <c r="Y898" s="350"/>
      <c r="Z898" s="350"/>
      <c r="AA898" s="350"/>
      <c r="AB898" s="350"/>
      <c r="AC898" s="350"/>
      <c r="AD898" s="350"/>
      <c r="AE898" s="350"/>
      <c r="AF898" s="350"/>
      <c r="AG898" s="350"/>
      <c r="AH898" s="350"/>
      <c r="AI898" s="350"/>
    </row>
    <row r="899" s="54" customFormat="1" ht="21.75" customHeight="1">
      <c r="A899" s="414">
        <v>1</v>
      </c>
      <c r="B899" s="415" t="s">
        <v>696</v>
      </c>
      <c r="C899" s="79">
        <f t="shared" ref="C899:C901" si="320">D899+K899+L899+M899+N899+O899+P899+Q899+R899+S899+T899</f>
        <v>504219.63</v>
      </c>
      <c r="D899" s="79">
        <f t="shared" ref="D899:D901" si="321">SUM(E899:I899)</f>
        <v>493655.40000000002</v>
      </c>
      <c r="E899" s="416">
        <v>0</v>
      </c>
      <c r="F899" s="416">
        <v>0</v>
      </c>
      <c r="G899" s="416">
        <v>0</v>
      </c>
      <c r="H899" s="416">
        <v>166257</v>
      </c>
      <c r="I899" s="416">
        <v>327398.40000000002</v>
      </c>
      <c r="J899" s="417">
        <v>0</v>
      </c>
      <c r="K899" s="416">
        <v>0</v>
      </c>
      <c r="L899" s="416">
        <v>0</v>
      </c>
      <c r="M899" s="416">
        <v>0</v>
      </c>
      <c r="N899" s="416">
        <v>0</v>
      </c>
      <c r="O899" s="416">
        <v>0</v>
      </c>
      <c r="P899" s="418">
        <v>0</v>
      </c>
      <c r="Q899" s="416">
        <v>0</v>
      </c>
      <c r="R899" s="416">
        <f>7006.33+3557.9</f>
        <v>10564.23</v>
      </c>
      <c r="S899" s="416">
        <v>0</v>
      </c>
      <c r="T899" s="416">
        <v>0</v>
      </c>
      <c r="U899" s="54"/>
      <c r="V899" s="54"/>
      <c r="W899" s="54"/>
      <c r="X899" s="54"/>
      <c r="Y899" s="54"/>
      <c r="Z899" s="54"/>
      <c r="AA899" s="54"/>
      <c r="AB899" s="54"/>
      <c r="AC899" s="54"/>
      <c r="AD899" s="54"/>
      <c r="AE899" s="54"/>
      <c r="AF899" s="54"/>
      <c r="AG899" s="54"/>
      <c r="AH899" s="54"/>
      <c r="AI899" s="54"/>
    </row>
    <row r="900" s="54" customFormat="1" ht="21.75" customHeight="1">
      <c r="A900" s="414">
        <v>2</v>
      </c>
      <c r="B900" s="415" t="s">
        <v>441</v>
      </c>
      <c r="C900" s="158">
        <f t="shared" si="320"/>
        <v>1721626.9100000001</v>
      </c>
      <c r="D900" s="79">
        <f t="shared" si="321"/>
        <v>1657628.0700000001</v>
      </c>
      <c r="E900" s="419">
        <v>0</v>
      </c>
      <c r="F900" s="416">
        <v>0</v>
      </c>
      <c r="G900" s="419">
        <v>1657628.0700000001</v>
      </c>
      <c r="H900" s="416">
        <v>0</v>
      </c>
      <c r="I900" s="419">
        <v>0</v>
      </c>
      <c r="J900" s="417">
        <v>0</v>
      </c>
      <c r="K900" s="419">
        <v>0</v>
      </c>
      <c r="L900" s="416">
        <v>0</v>
      </c>
      <c r="M900" s="419">
        <v>0</v>
      </c>
      <c r="N900" s="416">
        <v>0</v>
      </c>
      <c r="O900" s="419">
        <v>0</v>
      </c>
      <c r="P900" s="418">
        <v>0</v>
      </c>
      <c r="Q900" s="419">
        <v>0</v>
      </c>
      <c r="R900" s="416">
        <v>63998.839999999997</v>
      </c>
      <c r="S900" s="419">
        <v>0</v>
      </c>
      <c r="T900" s="416">
        <v>0</v>
      </c>
      <c r="U900" s="54"/>
      <c r="V900" s="54"/>
      <c r="W900" s="54"/>
      <c r="X900" s="54"/>
      <c r="Y900" s="54"/>
      <c r="Z900" s="54"/>
      <c r="AA900" s="54"/>
      <c r="AB900" s="54"/>
      <c r="AC900" s="54"/>
      <c r="AD900" s="54"/>
      <c r="AE900" s="54"/>
      <c r="AF900" s="54"/>
      <c r="AG900" s="54"/>
      <c r="AH900" s="54"/>
      <c r="AI900" s="54"/>
    </row>
    <row r="901" s="110" customFormat="1" ht="21.75" customHeight="1">
      <c r="A901" s="414">
        <v>3</v>
      </c>
      <c r="B901" s="415" t="s">
        <v>1381</v>
      </c>
      <c r="C901" s="79">
        <f t="shared" si="320"/>
        <v>25045349.460000001</v>
      </c>
      <c r="D901" s="79">
        <f t="shared" si="321"/>
        <v>2922681.8999999999</v>
      </c>
      <c r="E901" s="416">
        <v>0</v>
      </c>
      <c r="F901" s="416">
        <v>0</v>
      </c>
      <c r="G901" s="416">
        <v>2922681.8999999999</v>
      </c>
      <c r="H901" s="416">
        <v>0</v>
      </c>
      <c r="I901" s="416">
        <v>0</v>
      </c>
      <c r="J901" s="417">
        <v>0</v>
      </c>
      <c r="K901" s="416">
        <v>0</v>
      </c>
      <c r="L901" s="416">
        <v>0</v>
      </c>
      <c r="M901" s="416">
        <v>0</v>
      </c>
      <c r="N901" s="416">
        <v>0</v>
      </c>
      <c r="O901" s="416">
        <v>0</v>
      </c>
      <c r="P901" s="418">
        <f>350382+350382</f>
        <v>700764</v>
      </c>
      <c r="Q901" s="416">
        <v>0</v>
      </c>
      <c r="R901" s="416">
        <f>447513.47+62545.39</f>
        <v>510058.85999999999</v>
      </c>
      <c r="S901" s="416">
        <v>20911844.699999999</v>
      </c>
      <c r="T901" s="416">
        <v>0</v>
      </c>
      <c r="U901" s="110"/>
      <c r="V901" s="110"/>
      <c r="W901" s="110"/>
      <c r="X901" s="110"/>
      <c r="Y901" s="110"/>
      <c r="Z901" s="110"/>
      <c r="AA901" s="110"/>
      <c r="AB901" s="110"/>
      <c r="AC901" s="110"/>
      <c r="AD901" s="110"/>
      <c r="AE901" s="110"/>
    </row>
    <row r="902" s="350" customFormat="1" ht="33" customHeight="1">
      <c r="A902" s="25" t="s">
        <v>451</v>
      </c>
      <c r="B902" s="25"/>
      <c r="C902" s="154">
        <f>SUM(C903:C904)</f>
        <v>21320759.239999998</v>
      </c>
      <c r="D902" s="154">
        <f>SUM(D903:D904)</f>
        <v>0</v>
      </c>
      <c r="E902" s="154">
        <f>SUM(E903:E904)</f>
        <v>0</v>
      </c>
      <c r="F902" s="154">
        <f>SUM(F903:F904)</f>
        <v>0</v>
      </c>
      <c r="G902" s="154">
        <f>SUM(G903:G904)</f>
        <v>0</v>
      </c>
      <c r="H902" s="154">
        <f>SUM(H903:H904)</f>
        <v>0</v>
      </c>
      <c r="I902" s="154">
        <f>SUM(I903:I904)</f>
        <v>0</v>
      </c>
      <c r="J902" s="155">
        <f>SUM(J903:J904)</f>
        <v>0</v>
      </c>
      <c r="K902" s="154">
        <f>SUM(K903:K904)</f>
        <v>0</v>
      </c>
      <c r="L902" s="154">
        <f>SUM(L903:L904)</f>
        <v>6380004.4699999997</v>
      </c>
      <c r="M902" s="154">
        <f>SUM(M903:M904)</f>
        <v>0</v>
      </c>
      <c r="N902" s="154">
        <f>SUM(N903:N904)</f>
        <v>14494050</v>
      </c>
      <c r="O902" s="154">
        <f>SUM(O903:O904)</f>
        <v>0</v>
      </c>
      <c r="P902" s="154">
        <f>SUM(P903:P904)</f>
        <v>0</v>
      </c>
      <c r="Q902" s="154">
        <f>SUM(Q903:Q904)</f>
        <v>0</v>
      </c>
      <c r="R902" s="154">
        <f>SUM(R903:R904)</f>
        <v>446704.77000000002</v>
      </c>
      <c r="S902" s="154">
        <f>SUM(S903:S904)</f>
        <v>0</v>
      </c>
      <c r="T902" s="154">
        <f>SUM(T903:T904)</f>
        <v>0</v>
      </c>
      <c r="U902" s="350"/>
      <c r="V902" s="350"/>
      <c r="W902" s="350"/>
      <c r="X902" s="350"/>
      <c r="Y902" s="350"/>
      <c r="Z902" s="350"/>
      <c r="AA902" s="350"/>
      <c r="AB902" s="350"/>
      <c r="AC902" s="350"/>
      <c r="AD902" s="350"/>
      <c r="AE902" s="350"/>
      <c r="AF902" s="350"/>
      <c r="AG902" s="350"/>
      <c r="AH902" s="350"/>
      <c r="AI902" s="350"/>
    </row>
    <row r="903" s="54" customFormat="1" ht="21.75" customHeight="1">
      <c r="A903" s="472">
        <v>1</v>
      </c>
      <c r="B903" s="473" t="s">
        <v>1382</v>
      </c>
      <c r="C903" s="450">
        <f t="shared" ref="C903:C904" si="322">D903+K903+L903+M903+N903+O903+P903+Q903+R903+S903+T903</f>
        <v>6516536.5699999994</v>
      </c>
      <c r="D903" s="450">
        <f t="shared" ref="D903:D904" si="323">SUM(E903:I903)</f>
        <v>0</v>
      </c>
      <c r="E903" s="474">
        <v>0</v>
      </c>
      <c r="F903" s="475">
        <v>0</v>
      </c>
      <c r="G903" s="475">
        <v>0</v>
      </c>
      <c r="H903" s="474">
        <v>0</v>
      </c>
      <c r="I903" s="474">
        <v>0</v>
      </c>
      <c r="J903" s="476">
        <v>0</v>
      </c>
      <c r="K903" s="474">
        <v>0</v>
      </c>
      <c r="L903" s="475">
        <v>6380004.4699999997</v>
      </c>
      <c r="M903" s="475">
        <v>0</v>
      </c>
      <c r="N903" s="475">
        <v>0</v>
      </c>
      <c r="O903" s="475">
        <v>0</v>
      </c>
      <c r="P903" s="475">
        <v>0</v>
      </c>
      <c r="Q903" s="475">
        <v>0</v>
      </c>
      <c r="R903" s="475">
        <v>136532.10000000001</v>
      </c>
      <c r="S903" s="475">
        <v>0</v>
      </c>
      <c r="T903" s="475">
        <v>0</v>
      </c>
      <c r="U903" s="54"/>
      <c r="V903" s="54"/>
      <c r="W903" s="54"/>
      <c r="X903" s="54"/>
      <c r="Y903" s="54"/>
      <c r="Z903" s="54"/>
      <c r="AA903" s="54"/>
      <c r="AB903" s="54"/>
      <c r="AC903" s="54"/>
      <c r="AD903" s="54"/>
      <c r="AE903" s="54"/>
      <c r="AF903" s="54"/>
      <c r="AG903" s="54"/>
      <c r="AH903" s="54"/>
      <c r="AI903" s="54"/>
    </row>
    <row r="904" s="54" customFormat="1" ht="21.75" customHeight="1">
      <c r="A904" s="477">
        <v>2</v>
      </c>
      <c r="B904" s="478" t="s">
        <v>1383</v>
      </c>
      <c r="C904" s="339">
        <f t="shared" si="322"/>
        <v>14804222.67</v>
      </c>
      <c r="D904" s="339">
        <f t="shared" si="323"/>
        <v>0</v>
      </c>
      <c r="E904" s="479">
        <f>SUM(F904:J904)</f>
        <v>0</v>
      </c>
      <c r="F904" s="479">
        <v>0</v>
      </c>
      <c r="G904" s="479">
        <v>0</v>
      </c>
      <c r="H904" s="480">
        <v>0</v>
      </c>
      <c r="I904" s="480">
        <v>0</v>
      </c>
      <c r="J904" s="481">
        <v>0</v>
      </c>
      <c r="K904" s="480">
        <v>0</v>
      </c>
      <c r="L904" s="479">
        <v>0</v>
      </c>
      <c r="M904" s="479">
        <v>0</v>
      </c>
      <c r="N904" s="479">
        <v>14494050</v>
      </c>
      <c r="O904" s="479">
        <v>0</v>
      </c>
      <c r="P904" s="479">
        <v>0</v>
      </c>
      <c r="Q904" s="479">
        <v>0</v>
      </c>
      <c r="R904" s="479">
        <v>310172.66999999998</v>
      </c>
      <c r="S904" s="479">
        <v>0</v>
      </c>
      <c r="T904" s="479">
        <v>0</v>
      </c>
      <c r="U904" s="54"/>
      <c r="V904" s="54"/>
      <c r="W904" s="54"/>
      <c r="X904" s="54"/>
      <c r="Y904" s="54"/>
      <c r="Z904" s="54"/>
      <c r="AA904" s="54"/>
      <c r="AB904" s="54"/>
      <c r="AC904" s="54"/>
      <c r="AD904" s="54"/>
      <c r="AE904" s="54"/>
      <c r="AF904" s="54"/>
      <c r="AG904" s="54"/>
      <c r="AH904" s="54"/>
      <c r="AI904" s="54"/>
    </row>
    <row r="905" s="350" customFormat="1" ht="21.75" customHeight="1">
      <c r="A905" s="202" t="s">
        <v>464</v>
      </c>
      <c r="B905" s="202"/>
      <c r="C905" s="448">
        <f>SUM(C906:C909)</f>
        <v>21365651.73</v>
      </c>
      <c r="D905" s="448">
        <f>SUM(D906:D909)</f>
        <v>8759016</v>
      </c>
      <c r="E905" s="448">
        <f>SUM(E906:E909)</f>
        <v>0</v>
      </c>
      <c r="F905" s="448">
        <f>SUM(F906:F909)</f>
        <v>6324675</v>
      </c>
      <c r="G905" s="448">
        <f>SUM(G906:G909)</f>
        <v>842712</v>
      </c>
      <c r="H905" s="448">
        <f>SUM(H906:H909)</f>
        <v>474025.5</v>
      </c>
      <c r="I905" s="448">
        <f>SUM(I906:I909)</f>
        <v>1117603.5</v>
      </c>
      <c r="J905" s="449">
        <f>SUM(J906:J909)</f>
        <v>0</v>
      </c>
      <c r="K905" s="448">
        <f>SUM(K906:K909)</f>
        <v>0</v>
      </c>
      <c r="L905" s="448">
        <f>SUM(L906:L909)</f>
        <v>12158990.4</v>
      </c>
      <c r="M905" s="448">
        <f>SUM(M906:M909)</f>
        <v>0</v>
      </c>
      <c r="N905" s="448">
        <f>SUM(N906:N909)</f>
        <v>0</v>
      </c>
      <c r="O905" s="448">
        <f>SUM(O906:O909)</f>
        <v>0</v>
      </c>
      <c r="P905" s="448">
        <f>SUM(P906:P909)</f>
        <v>0</v>
      </c>
      <c r="Q905" s="448">
        <f>SUM(Q906:Q909)</f>
        <v>0</v>
      </c>
      <c r="R905" s="482">
        <f>SUM(R906:R909)</f>
        <v>447645.33000000002</v>
      </c>
      <c r="S905" s="448">
        <f>SUM(S906:S909)</f>
        <v>0</v>
      </c>
      <c r="T905" s="448">
        <f>SUM(T906:T909)</f>
        <v>0</v>
      </c>
      <c r="U905" s="350"/>
      <c r="V905" s="350"/>
      <c r="W905" s="350"/>
      <c r="X905" s="350"/>
      <c r="Y905" s="350"/>
      <c r="Z905" s="350"/>
      <c r="AA905" s="350"/>
      <c r="AB905" s="350"/>
      <c r="AC905" s="350"/>
      <c r="AD905" s="350"/>
      <c r="AE905" s="350"/>
    </row>
    <row r="906" s="350" customFormat="1" ht="21.75" customHeight="1">
      <c r="A906" s="33">
        <v>1</v>
      </c>
      <c r="B906" s="52" t="s">
        <v>467</v>
      </c>
      <c r="C906" s="158">
        <f t="shared" ref="C906:C909" si="324">D906+K906+L906+M906+N906+O906+P906+Q906+R906+S906+T906</f>
        <v>11664287.9</v>
      </c>
      <c r="D906" s="79">
        <f t="shared" ref="D906:D909" si="325">SUM(E906:I906)</f>
        <v>4917744</v>
      </c>
      <c r="E906" s="483">
        <v>0</v>
      </c>
      <c r="F906" s="484">
        <v>2483403</v>
      </c>
      <c r="G906" s="484">
        <v>842712</v>
      </c>
      <c r="H906" s="484">
        <v>474025.5</v>
      </c>
      <c r="I906" s="484">
        <v>1117603.5</v>
      </c>
      <c r="J906" s="485">
        <v>0</v>
      </c>
      <c r="K906" s="92">
        <v>0</v>
      </c>
      <c r="L906" s="92">
        <v>6502158</v>
      </c>
      <c r="M906" s="92">
        <v>0</v>
      </c>
      <c r="N906" s="92">
        <v>0</v>
      </c>
      <c r="O906" s="92">
        <v>0</v>
      </c>
      <c r="P906" s="92">
        <v>0</v>
      </c>
      <c r="Q906" s="483">
        <v>0</v>
      </c>
      <c r="R906" s="486">
        <v>244385.89999999999</v>
      </c>
      <c r="S906" s="487">
        <v>0</v>
      </c>
      <c r="T906" s="92">
        <v>0</v>
      </c>
      <c r="U906" s="110"/>
      <c r="V906" s="110"/>
      <c r="W906" s="110"/>
      <c r="X906" s="110"/>
      <c r="Y906" s="110"/>
      <c r="Z906" s="110"/>
      <c r="AA906" s="110"/>
      <c r="AB906" s="110"/>
      <c r="AC906" s="110"/>
      <c r="AD906" s="110"/>
      <c r="AE906" s="110"/>
      <c r="AF906" s="110"/>
      <c r="AG906" s="110"/>
      <c r="AH906" s="110"/>
      <c r="AI906" s="110"/>
    </row>
    <row r="907" s="350" customFormat="1" ht="21.75" customHeight="1">
      <c r="A907" s="33">
        <v>2</v>
      </c>
      <c r="B907" s="52" t="s">
        <v>719</v>
      </c>
      <c r="C907" s="79">
        <f t="shared" si="324"/>
        <v>1682945.8699999999</v>
      </c>
      <c r="D907" s="158">
        <f t="shared" si="325"/>
        <v>1647685.3999999999</v>
      </c>
      <c r="E907" s="488">
        <v>0</v>
      </c>
      <c r="F907" s="489">
        <v>1647685.3999999999</v>
      </c>
      <c r="G907" s="490">
        <v>0</v>
      </c>
      <c r="H907" s="79">
        <v>0</v>
      </c>
      <c r="I907" s="79">
        <v>0</v>
      </c>
      <c r="J907" s="345">
        <v>0</v>
      </c>
      <c r="K907" s="79">
        <v>0</v>
      </c>
      <c r="L907" s="158">
        <v>0</v>
      </c>
      <c r="M907" s="79">
        <v>0</v>
      </c>
      <c r="N907" s="158">
        <v>0</v>
      </c>
      <c r="O907" s="79">
        <v>0</v>
      </c>
      <c r="P907" s="92">
        <v>0</v>
      </c>
      <c r="Q907" s="488">
        <v>0</v>
      </c>
      <c r="R907" s="489">
        <v>35260.470000000001</v>
      </c>
      <c r="S907" s="158">
        <v>0</v>
      </c>
      <c r="T907" s="79">
        <v>0</v>
      </c>
      <c r="U907" s="110"/>
      <c r="V907" s="110"/>
      <c r="W907" s="110"/>
      <c r="X907" s="110"/>
      <c r="Y907" s="110"/>
      <c r="Z907" s="110"/>
      <c r="AA907" s="110"/>
      <c r="AB907" s="110"/>
      <c r="AC907" s="110"/>
      <c r="AD907" s="110"/>
      <c r="AE907" s="110"/>
      <c r="AF907" s="54"/>
      <c r="AG907" s="54"/>
      <c r="AH907" s="54"/>
      <c r="AI907" s="54"/>
    </row>
    <row r="908" s="350" customFormat="1" ht="21.75" customHeight="1">
      <c r="A908" s="33">
        <v>3</v>
      </c>
      <c r="B908" s="52" t="s">
        <v>720</v>
      </c>
      <c r="C908" s="79">
        <f t="shared" si="324"/>
        <v>2240529.3500000001</v>
      </c>
      <c r="D908" s="79">
        <f t="shared" si="325"/>
        <v>2193586.6000000001</v>
      </c>
      <c r="E908" s="488">
        <v>0</v>
      </c>
      <c r="F908" s="491">
        <v>2193586.6000000001</v>
      </c>
      <c r="G908" s="490">
        <v>0</v>
      </c>
      <c r="H908" s="79">
        <v>0</v>
      </c>
      <c r="I908" s="79">
        <v>0</v>
      </c>
      <c r="J908" s="398">
        <v>0</v>
      </c>
      <c r="K908" s="158">
        <v>0</v>
      </c>
      <c r="L908" s="79">
        <v>0</v>
      </c>
      <c r="M908" s="158">
        <v>0</v>
      </c>
      <c r="N908" s="79">
        <v>0</v>
      </c>
      <c r="O908" s="158">
        <v>0</v>
      </c>
      <c r="P908" s="92">
        <v>0</v>
      </c>
      <c r="Q908" s="488">
        <v>0</v>
      </c>
      <c r="R908" s="489">
        <v>46942.75</v>
      </c>
      <c r="S908" s="490">
        <v>0</v>
      </c>
      <c r="T908" s="79">
        <v>0</v>
      </c>
      <c r="U908" s="110"/>
      <c r="V908" s="110"/>
      <c r="W908" s="110"/>
      <c r="X908" s="110"/>
      <c r="Y908" s="110"/>
      <c r="Z908" s="110"/>
      <c r="AA908" s="110"/>
      <c r="AB908" s="110"/>
      <c r="AC908" s="110"/>
      <c r="AD908" s="110"/>
      <c r="AE908" s="110"/>
      <c r="AF908" s="54"/>
      <c r="AG908" s="54"/>
      <c r="AH908" s="54"/>
      <c r="AI908" s="54"/>
    </row>
    <row r="909" s="350" customFormat="1" ht="21.75" customHeight="1">
      <c r="A909" s="33">
        <v>4</v>
      </c>
      <c r="B909" s="52" t="s">
        <v>721</v>
      </c>
      <c r="C909" s="158">
        <f t="shared" si="324"/>
        <v>5777888.6100000003</v>
      </c>
      <c r="D909" s="79">
        <f t="shared" si="325"/>
        <v>0</v>
      </c>
      <c r="E909" s="79">
        <v>0</v>
      </c>
      <c r="F909" s="79">
        <v>0</v>
      </c>
      <c r="G909" s="79">
        <v>0</v>
      </c>
      <c r="H909" s="79">
        <v>0</v>
      </c>
      <c r="I909" s="79">
        <v>0</v>
      </c>
      <c r="J909" s="345">
        <v>0</v>
      </c>
      <c r="K909" s="79">
        <v>0</v>
      </c>
      <c r="L909" s="158">
        <v>5656832.4000000004</v>
      </c>
      <c r="M909" s="79">
        <v>0</v>
      </c>
      <c r="N909" s="158">
        <v>0</v>
      </c>
      <c r="O909" s="79">
        <v>0</v>
      </c>
      <c r="P909" s="92">
        <v>0</v>
      </c>
      <c r="Q909" s="488">
        <v>0</v>
      </c>
      <c r="R909" s="489">
        <v>121056.21000000001</v>
      </c>
      <c r="S909" s="490">
        <v>0</v>
      </c>
      <c r="T909" s="79">
        <v>0</v>
      </c>
      <c r="U909" s="110"/>
      <c r="V909" s="110"/>
      <c r="W909" s="110"/>
      <c r="X909" s="110"/>
      <c r="Y909" s="110"/>
      <c r="Z909" s="110"/>
      <c r="AA909" s="110"/>
      <c r="AB909" s="110"/>
      <c r="AC909" s="110"/>
      <c r="AD909" s="110"/>
      <c r="AE909" s="110"/>
      <c r="AF909" s="110"/>
      <c r="AG909" s="110"/>
      <c r="AH909" s="110"/>
      <c r="AI909" s="110"/>
    </row>
    <row r="910" s="350" customFormat="1" ht="21.75" customHeight="1">
      <c r="A910" s="249" t="s">
        <v>1384</v>
      </c>
      <c r="B910" s="249"/>
      <c r="C910" s="154">
        <f>SUM(C911:C913)</f>
        <v>12270982.609999999</v>
      </c>
      <c r="D910" s="154">
        <f>SUM(D911:D913)</f>
        <v>488416.5</v>
      </c>
      <c r="E910" s="154">
        <f>SUM(E911:E913)</f>
        <v>0</v>
      </c>
      <c r="F910" s="154">
        <f>SUM(F911:F913)</f>
        <v>0</v>
      </c>
      <c r="G910" s="154">
        <f>SUM(G911:G913)</f>
        <v>0</v>
      </c>
      <c r="H910" s="154">
        <f>SUM(H911:H913)</f>
        <v>488416.5</v>
      </c>
      <c r="I910" s="154">
        <f>SUM(I911:I913)</f>
        <v>0</v>
      </c>
      <c r="J910" s="155">
        <f>SUM(J911:J913)</f>
        <v>0</v>
      </c>
      <c r="K910" s="154">
        <f>SUM(K911:K913)</f>
        <v>0</v>
      </c>
      <c r="L910" s="154">
        <f>SUM(L911:L913)</f>
        <v>11525468.969999999</v>
      </c>
      <c r="M910" s="154">
        <f>SUM(M911:M913)</f>
        <v>0</v>
      </c>
      <c r="N910" s="154">
        <f>SUM(N911:N913)</f>
        <v>0</v>
      </c>
      <c r="O910" s="154">
        <f>SUM(O911:O913)</f>
        <v>0</v>
      </c>
      <c r="P910" s="154">
        <f>SUM(P911:P913)</f>
        <v>0</v>
      </c>
      <c r="Q910" s="154">
        <f>SUM(Q911:Q913)</f>
        <v>0</v>
      </c>
      <c r="R910" s="154">
        <f>SUM(R911:R913)</f>
        <v>257097.14000000001</v>
      </c>
      <c r="S910" s="154">
        <f>SUM(S911:S913)</f>
        <v>0</v>
      </c>
      <c r="T910" s="154">
        <f>SUM(T911:T913)</f>
        <v>0</v>
      </c>
      <c r="U910" s="350"/>
      <c r="V910" s="350"/>
      <c r="W910" s="350"/>
      <c r="X910" s="350"/>
      <c r="Y910" s="350"/>
      <c r="Z910" s="350"/>
      <c r="AA910" s="350"/>
      <c r="AB910" s="350"/>
      <c r="AC910" s="350"/>
      <c r="AD910" s="350"/>
      <c r="AE910" s="350"/>
    </row>
    <row r="911" s="350" customFormat="1" ht="21.75" customHeight="1">
      <c r="A911" s="33">
        <v>1</v>
      </c>
      <c r="B911" s="98" t="s">
        <v>723</v>
      </c>
      <c r="C911" s="158">
        <f t="shared" ref="C911:C913" si="326">D911+K911+L911+M911+N911+O911+P911+Q911+R911+S911+T911</f>
        <v>4696724.1499999994</v>
      </c>
      <c r="D911" s="79">
        <f t="shared" ref="D911:D913" si="327">SUM(E911:I911)</f>
        <v>0</v>
      </c>
      <c r="E911" s="92">
        <v>0</v>
      </c>
      <c r="F911" s="92">
        <v>0</v>
      </c>
      <c r="G911" s="158">
        <v>0</v>
      </c>
      <c r="H911" s="92">
        <v>0</v>
      </c>
      <c r="I911" s="158">
        <v>0</v>
      </c>
      <c r="J911" s="398">
        <v>0</v>
      </c>
      <c r="K911" s="158">
        <v>0</v>
      </c>
      <c r="L911" s="79">
        <v>4598320.0999999996</v>
      </c>
      <c r="M911" s="158">
        <v>0</v>
      </c>
      <c r="N911" s="79">
        <v>0</v>
      </c>
      <c r="O911" s="158">
        <v>0</v>
      </c>
      <c r="P911" s="92">
        <v>0</v>
      </c>
      <c r="Q911" s="158">
        <v>0</v>
      </c>
      <c r="R911" s="79">
        <v>98404.050000000003</v>
      </c>
      <c r="S911" s="158">
        <v>0</v>
      </c>
      <c r="T911" s="79">
        <v>0</v>
      </c>
      <c r="U911" s="110"/>
      <c r="V911" s="110"/>
      <c r="W911" s="110"/>
      <c r="X911" s="110"/>
      <c r="Y911" s="110"/>
      <c r="Z911" s="110"/>
      <c r="AA911" s="110"/>
      <c r="AB911" s="110"/>
      <c r="AC911" s="110"/>
      <c r="AD911" s="110"/>
      <c r="AE911" s="110"/>
      <c r="AF911" s="350"/>
      <c r="AG911" s="350"/>
      <c r="AH911" s="350"/>
      <c r="AI911" s="350"/>
      <c r="AJ911" s="350"/>
      <c r="AK911" s="350"/>
    </row>
    <row r="912" s="350" customFormat="1" ht="21.75" customHeight="1">
      <c r="A912" s="33">
        <v>2</v>
      </c>
      <c r="B912" s="98" t="s">
        <v>724</v>
      </c>
      <c r="C912" s="79">
        <f t="shared" si="326"/>
        <v>7075389.8500000006</v>
      </c>
      <c r="D912" s="158">
        <f t="shared" si="327"/>
        <v>0</v>
      </c>
      <c r="E912" s="92">
        <v>0</v>
      </c>
      <c r="F912" s="92">
        <v>0</v>
      </c>
      <c r="G912" s="79">
        <v>0</v>
      </c>
      <c r="H912" s="92">
        <v>0</v>
      </c>
      <c r="I912" s="79">
        <v>0</v>
      </c>
      <c r="J912" s="345">
        <v>0</v>
      </c>
      <c r="K912" s="79">
        <v>0</v>
      </c>
      <c r="L912" s="158">
        <v>6927148.8700000001</v>
      </c>
      <c r="M912" s="79">
        <v>0</v>
      </c>
      <c r="N912" s="158">
        <v>0</v>
      </c>
      <c r="O912" s="79">
        <v>0</v>
      </c>
      <c r="P912" s="92">
        <v>0</v>
      </c>
      <c r="Q912" s="79">
        <v>0</v>
      </c>
      <c r="R912" s="158">
        <v>148240.98000000001</v>
      </c>
      <c r="S912" s="79">
        <v>0</v>
      </c>
      <c r="T912" s="79">
        <v>0</v>
      </c>
      <c r="U912" s="110"/>
      <c r="V912" s="110"/>
      <c r="W912" s="110"/>
      <c r="X912" s="110"/>
      <c r="Y912" s="110"/>
      <c r="Z912" s="110"/>
      <c r="AA912" s="110"/>
      <c r="AB912" s="110"/>
      <c r="AC912" s="110"/>
      <c r="AD912" s="110"/>
      <c r="AE912" s="110"/>
      <c r="AF912" s="350"/>
      <c r="AG912" s="350"/>
      <c r="AH912" s="350"/>
      <c r="AI912" s="350"/>
      <c r="AJ912" s="350"/>
      <c r="AK912" s="350"/>
    </row>
    <row r="913" s="54" customFormat="1" ht="21.75" customHeight="1">
      <c r="A913" s="414">
        <v>3</v>
      </c>
      <c r="B913" s="415" t="s">
        <v>483</v>
      </c>
      <c r="C913" s="79">
        <f t="shared" si="326"/>
        <v>498868.60999999999</v>
      </c>
      <c r="D913" s="79">
        <f t="shared" si="327"/>
        <v>488416.5</v>
      </c>
      <c r="E913" s="418">
        <v>0</v>
      </c>
      <c r="F913" s="416">
        <v>0</v>
      </c>
      <c r="G913" s="416">
        <v>0</v>
      </c>
      <c r="H913" s="418">
        <v>488416.5</v>
      </c>
      <c r="I913" s="416">
        <v>0</v>
      </c>
      <c r="J913" s="417">
        <v>0</v>
      </c>
      <c r="K913" s="416">
        <v>0</v>
      </c>
      <c r="L913" s="416">
        <v>0</v>
      </c>
      <c r="M913" s="416">
        <v>0</v>
      </c>
      <c r="N913" s="416">
        <v>0</v>
      </c>
      <c r="O913" s="416">
        <v>0</v>
      </c>
      <c r="P913" s="416">
        <v>0</v>
      </c>
      <c r="Q913" s="416">
        <v>0</v>
      </c>
      <c r="R913" s="492">
        <f>34590.24-24138.13</f>
        <v>10452.109999999997</v>
      </c>
      <c r="S913" s="416">
        <v>0</v>
      </c>
      <c r="T913" s="416">
        <v>0</v>
      </c>
      <c r="U913" s="54"/>
      <c r="V913" s="54"/>
      <c r="W913" s="54"/>
      <c r="X913" s="54"/>
      <c r="Y913" s="54"/>
      <c r="Z913" s="54"/>
      <c r="AA913" s="54"/>
      <c r="AB913" s="54"/>
      <c r="AC913" s="54"/>
      <c r="AD913" s="54"/>
      <c r="AE913" s="54"/>
    </row>
    <row r="914" s="54" customFormat="1" ht="21.75" customHeight="1">
      <c r="A914" s="493" t="s">
        <v>484</v>
      </c>
      <c r="B914" s="494"/>
      <c r="C914" s="154">
        <f>SUM(C915:C916)</f>
        <v>531188</v>
      </c>
      <c r="D914" s="154">
        <f>SUM(D915:D916)</f>
        <v>0</v>
      </c>
      <c r="E914" s="154">
        <f>SUM(E915:E916)</f>
        <v>0</v>
      </c>
      <c r="F914" s="154">
        <f>SUM(F915:F916)</f>
        <v>0</v>
      </c>
      <c r="G914" s="154">
        <f>SUM(G915:G916)</f>
        <v>0</v>
      </c>
      <c r="H914" s="154">
        <f>SUM(H915:H916)</f>
        <v>0</v>
      </c>
      <c r="I914" s="154">
        <f>SUM(I915:I916)</f>
        <v>0</v>
      </c>
      <c r="J914" s="155">
        <f>SUM(J915:J916)</f>
        <v>0</v>
      </c>
      <c r="K914" s="154">
        <f>SUM(K915:K916)</f>
        <v>0</v>
      </c>
      <c r="L914" s="154">
        <f>SUM(L915:L916)</f>
        <v>0</v>
      </c>
      <c r="M914" s="154">
        <f>SUM(M915:M916)</f>
        <v>0</v>
      </c>
      <c r="N914" s="154">
        <f>SUM(N915:N916)</f>
        <v>0</v>
      </c>
      <c r="O914" s="154">
        <f>SUM(O915:O916)</f>
        <v>0</v>
      </c>
      <c r="P914" s="154">
        <f>SUM(P915:P916)</f>
        <v>531188</v>
      </c>
      <c r="Q914" s="154">
        <f>SUM(Q915:Q916)</f>
        <v>0</v>
      </c>
      <c r="R914" s="154">
        <f>SUM(R915:R916)</f>
        <v>0</v>
      </c>
      <c r="S914" s="154">
        <f>SUM(S915:S916)</f>
        <v>0</v>
      </c>
      <c r="T914" s="154">
        <f>SUM(T915:T916)</f>
        <v>0</v>
      </c>
      <c r="U914" s="350"/>
      <c r="V914" s="350"/>
      <c r="W914" s="350"/>
      <c r="X914" s="350"/>
      <c r="Y914" s="350"/>
      <c r="Z914" s="350"/>
      <c r="AA914" s="350"/>
      <c r="AB914" s="350"/>
      <c r="AC914" s="350"/>
      <c r="AD914" s="350"/>
      <c r="AE914" s="350"/>
    </row>
    <row r="915" s="54" customFormat="1" ht="21.75" customHeight="1">
      <c r="A915" s="414">
        <v>1</v>
      </c>
      <c r="B915" s="415" t="s">
        <v>1385</v>
      </c>
      <c r="C915" s="79">
        <f t="shared" ref="C915:C916" si="328">D915+K915+L915+M915+N915+O915+P915+Q915+R915+S915+T915</f>
        <v>265594</v>
      </c>
      <c r="D915" s="79">
        <f t="shared" ref="D915:D916" si="329">SUM(E915:I915)</f>
        <v>0</v>
      </c>
      <c r="E915" s="79">
        <v>0</v>
      </c>
      <c r="F915" s="79">
        <v>0</v>
      </c>
      <c r="G915" s="79">
        <v>0</v>
      </c>
      <c r="H915" s="79">
        <v>0</v>
      </c>
      <c r="I915" s="79">
        <v>0</v>
      </c>
      <c r="J915" s="398">
        <v>0</v>
      </c>
      <c r="K915" s="79">
        <v>0</v>
      </c>
      <c r="L915" s="92">
        <v>0</v>
      </c>
      <c r="M915" s="79">
        <v>0</v>
      </c>
      <c r="N915" s="92">
        <v>0</v>
      </c>
      <c r="O915" s="79">
        <v>0</v>
      </c>
      <c r="P915" s="92">
        <v>265594</v>
      </c>
      <c r="Q915" s="79">
        <v>0</v>
      </c>
      <c r="R915" s="79">
        <v>0</v>
      </c>
      <c r="S915" s="79">
        <v>0</v>
      </c>
      <c r="T915" s="79">
        <v>0</v>
      </c>
      <c r="U915" s="399"/>
      <c r="V915" s="399"/>
      <c r="W915" s="399"/>
      <c r="X915" s="399"/>
      <c r="Y915" s="399"/>
      <c r="Z915" s="399"/>
      <c r="AA915" s="399"/>
      <c r="AB915" s="399"/>
      <c r="AC915" s="399"/>
      <c r="AD915" s="399"/>
      <c r="AE915" s="399"/>
    </row>
    <row r="916" s="54" customFormat="1" ht="21.75" customHeight="1">
      <c r="A916" s="414">
        <v>2</v>
      </c>
      <c r="B916" s="415" t="s">
        <v>1386</v>
      </c>
      <c r="C916" s="158">
        <f t="shared" si="328"/>
        <v>265594</v>
      </c>
      <c r="D916" s="79">
        <f t="shared" si="329"/>
        <v>0</v>
      </c>
      <c r="E916" s="158">
        <v>0</v>
      </c>
      <c r="F916" s="79">
        <v>0</v>
      </c>
      <c r="G916" s="158">
        <v>0</v>
      </c>
      <c r="H916" s="79">
        <v>0</v>
      </c>
      <c r="I916" s="158">
        <v>0</v>
      </c>
      <c r="J916" s="398">
        <v>0</v>
      </c>
      <c r="K916" s="158">
        <v>0</v>
      </c>
      <c r="L916" s="92">
        <v>0</v>
      </c>
      <c r="M916" s="158">
        <v>0</v>
      </c>
      <c r="N916" s="92">
        <v>0</v>
      </c>
      <c r="O916" s="158">
        <v>0</v>
      </c>
      <c r="P916" s="92">
        <v>265594</v>
      </c>
      <c r="Q916" s="158">
        <v>0</v>
      </c>
      <c r="R916" s="79">
        <v>0</v>
      </c>
      <c r="S916" s="158">
        <v>0</v>
      </c>
      <c r="T916" s="79">
        <v>0</v>
      </c>
      <c r="U916" s="399"/>
      <c r="V916" s="399"/>
      <c r="W916" s="399"/>
      <c r="X916" s="399"/>
      <c r="Y916" s="399"/>
      <c r="Z916" s="399"/>
      <c r="AA916" s="399"/>
      <c r="AB916" s="399"/>
      <c r="AC916" s="399"/>
      <c r="AD916" s="399"/>
      <c r="AE916" s="399"/>
    </row>
    <row r="917" s="350" customFormat="1" ht="21.75" customHeight="1">
      <c r="A917" s="61" t="s">
        <v>493</v>
      </c>
      <c r="B917" s="61"/>
      <c r="C917" s="154">
        <f>SUM(C918:C922)</f>
        <v>40900714.379999995</v>
      </c>
      <c r="D917" s="154">
        <f>SUM(D918:D922)</f>
        <v>29226111.920000002</v>
      </c>
      <c r="E917" s="154">
        <f>SUM(E918:E922)</f>
        <v>1966434.54</v>
      </c>
      <c r="F917" s="154">
        <f>SUM(F918:F922)</f>
        <v>16349511.890000001</v>
      </c>
      <c r="G917" s="154">
        <f>SUM(G918:G922)</f>
        <v>6314651.9000000004</v>
      </c>
      <c r="H917" s="154">
        <f>SUM(H918:H922)</f>
        <v>1580668.8999999999</v>
      </c>
      <c r="I917" s="154">
        <f>SUM(I918:I922)</f>
        <v>3014844.6899999999</v>
      </c>
      <c r="J917" s="155">
        <f>SUM(J918:J922)</f>
        <v>0</v>
      </c>
      <c r="K917" s="154">
        <f>SUM(K918:K922)</f>
        <v>0</v>
      </c>
      <c r="L917" s="154">
        <f>SUM(L918:L922)</f>
        <v>0</v>
      </c>
      <c r="M917" s="154">
        <f>SUM(M918:M922)</f>
        <v>0</v>
      </c>
      <c r="N917" s="154">
        <f>SUM(N918:N922)</f>
        <v>8906307</v>
      </c>
      <c r="O917" s="154">
        <f>SUM(O918:O922)</f>
        <v>0</v>
      </c>
      <c r="P917" s="154">
        <f>SUM(P918:P922)</f>
        <v>1932716</v>
      </c>
      <c r="Q917" s="154">
        <f>SUM(Q918:Q922)</f>
        <v>0</v>
      </c>
      <c r="R917" s="154">
        <f>SUM(R918:R922)</f>
        <v>835579.45999999996</v>
      </c>
      <c r="S917" s="154">
        <f>SUM(S918:S922)</f>
        <v>0</v>
      </c>
      <c r="T917" s="154">
        <f>SUM(T918:T922)</f>
        <v>0</v>
      </c>
      <c r="U917" s="350"/>
      <c r="V917" s="350"/>
      <c r="W917" s="350"/>
      <c r="X917" s="350"/>
      <c r="Y917" s="350"/>
      <c r="Z917" s="350"/>
      <c r="AA917" s="350"/>
      <c r="AB917" s="350"/>
      <c r="AC917" s="350"/>
      <c r="AD917" s="350"/>
      <c r="AE917" s="350"/>
    </row>
    <row r="918" s="54" customFormat="1" ht="21.75" customHeight="1">
      <c r="A918" s="472">
        <v>1</v>
      </c>
      <c r="B918" s="495" t="s">
        <v>496</v>
      </c>
      <c r="C918" s="79">
        <f t="shared" ref="C918:C922" si="330">D918+K918+L918+M918+N918+O918+P918+Q918+R918+S918+T918</f>
        <v>1874943.9900000002</v>
      </c>
      <c r="D918" s="79">
        <f t="shared" ref="D918:D922" si="331">SUM(E918:I918)</f>
        <v>1816524.6800000002</v>
      </c>
      <c r="E918" s="475">
        <v>0</v>
      </c>
      <c r="F918" s="475">
        <v>1313098.0900000001</v>
      </c>
      <c r="G918" s="475">
        <v>0</v>
      </c>
      <c r="H918" s="475">
        <v>0</v>
      </c>
      <c r="I918" s="475">
        <v>503426.59000000003</v>
      </c>
      <c r="J918" s="476">
        <v>0</v>
      </c>
      <c r="K918" s="475">
        <v>0</v>
      </c>
      <c r="L918" s="474">
        <v>0</v>
      </c>
      <c r="M918" s="475">
        <v>0</v>
      </c>
      <c r="N918" s="475">
        <v>0</v>
      </c>
      <c r="O918" s="475">
        <v>0</v>
      </c>
      <c r="P918" s="474">
        <v>0</v>
      </c>
      <c r="Q918" s="475">
        <v>0</v>
      </c>
      <c r="R918" s="475">
        <f>16588.38+41830.93</f>
        <v>58419.309999999998</v>
      </c>
      <c r="S918" s="475">
        <v>0</v>
      </c>
      <c r="T918" s="475">
        <v>0</v>
      </c>
      <c r="U918" s="54"/>
      <c r="V918" s="54"/>
      <c r="W918" s="54"/>
      <c r="X918" s="54"/>
      <c r="Y918" s="54"/>
      <c r="Z918" s="54"/>
      <c r="AA918" s="54"/>
      <c r="AB918" s="54"/>
      <c r="AC918" s="54"/>
      <c r="AD918" s="54"/>
      <c r="AE918" s="54"/>
      <c r="AF918" s="54"/>
      <c r="AG918" s="54"/>
      <c r="AH918" s="54"/>
      <c r="AI918" s="54"/>
      <c r="AJ918" s="54"/>
      <c r="AK918" s="54"/>
    </row>
    <row r="919" s="54" customFormat="1" ht="21.75" customHeight="1">
      <c r="A919" s="496">
        <v>2</v>
      </c>
      <c r="B919" s="497" t="s">
        <v>787</v>
      </c>
      <c r="C919" s="498">
        <f t="shared" si="330"/>
        <v>1277676.22</v>
      </c>
      <c r="D919" s="499">
        <f t="shared" si="331"/>
        <v>990877.43999999994</v>
      </c>
      <c r="E919" s="500">
        <v>990877.43999999994</v>
      </c>
      <c r="F919" s="500">
        <v>0</v>
      </c>
      <c r="G919" s="500">
        <v>0</v>
      </c>
      <c r="H919" s="500">
        <v>0</v>
      </c>
      <c r="I919" s="500">
        <v>0</v>
      </c>
      <c r="J919" s="501">
        <v>0</v>
      </c>
      <c r="K919" s="500">
        <v>0</v>
      </c>
      <c r="L919" s="500">
        <v>0</v>
      </c>
      <c r="M919" s="500">
        <v>0</v>
      </c>
      <c r="N919" s="500">
        <v>0</v>
      </c>
      <c r="O919" s="500">
        <v>0</v>
      </c>
      <c r="P919" s="500">
        <v>265594</v>
      </c>
      <c r="Q919" s="500">
        <v>0</v>
      </c>
      <c r="R919" s="500">
        <v>21204.779999999999</v>
      </c>
      <c r="S919" s="502">
        <v>0</v>
      </c>
      <c r="T919" s="502">
        <v>0</v>
      </c>
      <c r="U919" s="302"/>
      <c r="V919" s="302"/>
      <c r="W919" s="302"/>
      <c r="X919" s="302"/>
      <c r="Y919" s="302"/>
      <c r="Z919" s="302"/>
      <c r="AA919" s="302"/>
      <c r="AB919" s="302"/>
      <c r="AC919" s="302"/>
      <c r="AD919" s="302"/>
      <c r="AE919" s="302"/>
      <c r="AF919" s="302"/>
      <c r="AG919" s="302"/>
      <c r="AH919" s="302"/>
      <c r="AI919" s="302"/>
      <c r="AJ919" s="54"/>
      <c r="AK919" s="54"/>
    </row>
    <row r="920" s="54" customFormat="1" ht="21.75" customHeight="1">
      <c r="A920" s="472">
        <v>3</v>
      </c>
      <c r="B920" s="503" t="s">
        <v>788</v>
      </c>
      <c r="C920" s="339">
        <f t="shared" si="330"/>
        <v>1262028.03</v>
      </c>
      <c r="D920" s="339">
        <f t="shared" si="331"/>
        <v>975557.09999999998</v>
      </c>
      <c r="E920" s="500">
        <v>975557.09999999998</v>
      </c>
      <c r="F920" s="500">
        <v>0</v>
      </c>
      <c r="G920" s="500">
        <v>0</v>
      </c>
      <c r="H920" s="500">
        <v>0</v>
      </c>
      <c r="I920" s="500">
        <v>0</v>
      </c>
      <c r="J920" s="501">
        <v>0</v>
      </c>
      <c r="K920" s="500">
        <v>0</v>
      </c>
      <c r="L920" s="500">
        <v>0</v>
      </c>
      <c r="M920" s="500">
        <v>0</v>
      </c>
      <c r="N920" s="500">
        <v>0</v>
      </c>
      <c r="O920" s="500">
        <v>0</v>
      </c>
      <c r="P920" s="500">
        <v>265594</v>
      </c>
      <c r="Q920" s="500">
        <v>0</v>
      </c>
      <c r="R920" s="500">
        <v>20876.93</v>
      </c>
      <c r="S920" s="502">
        <v>0</v>
      </c>
      <c r="T920" s="502">
        <v>0</v>
      </c>
      <c r="U920" s="302"/>
      <c r="V920" s="302"/>
      <c r="W920" s="302"/>
      <c r="X920" s="302"/>
      <c r="Y920" s="302"/>
      <c r="Z920" s="302"/>
      <c r="AA920" s="302"/>
      <c r="AB920" s="302"/>
      <c r="AC920" s="302"/>
      <c r="AD920" s="302"/>
      <c r="AE920" s="302"/>
      <c r="AF920" s="302"/>
      <c r="AG920" s="302"/>
      <c r="AH920" s="302"/>
      <c r="AI920" s="302"/>
    </row>
    <row r="921" s="54" customFormat="1" ht="21.75" customHeight="1">
      <c r="A921" s="496">
        <v>4</v>
      </c>
      <c r="B921" s="504" t="s">
        <v>1387</v>
      </c>
      <c r="C921" s="158">
        <f t="shared" si="330"/>
        <v>17032475.050000001</v>
      </c>
      <c r="D921" s="505">
        <f t="shared" si="331"/>
        <v>11843685</v>
      </c>
      <c r="E921" s="419">
        <v>0</v>
      </c>
      <c r="F921" s="506">
        <v>6999390</v>
      </c>
      <c r="G921" s="419">
        <v>2939445</v>
      </c>
      <c r="H921" s="506">
        <v>735795</v>
      </c>
      <c r="I921" s="419">
        <v>1169055</v>
      </c>
      <c r="J921" s="507">
        <v>0</v>
      </c>
      <c r="K921" s="419">
        <v>0</v>
      </c>
      <c r="L921" s="506">
        <v>0</v>
      </c>
      <c r="M921" s="419">
        <v>0</v>
      </c>
      <c r="N921" s="506">
        <v>4145850</v>
      </c>
      <c r="O921" s="419">
        <v>0</v>
      </c>
      <c r="P921" s="506">
        <v>700764</v>
      </c>
      <c r="Q921" s="419">
        <v>0</v>
      </c>
      <c r="R921" s="506">
        <v>342176.04999999999</v>
      </c>
      <c r="S921" s="419">
        <v>0</v>
      </c>
      <c r="T921" s="506">
        <v>0</v>
      </c>
      <c r="U921" s="110"/>
      <c r="V921" s="110"/>
      <c r="W921" s="110"/>
      <c r="X921" s="110"/>
      <c r="Y921" s="110"/>
      <c r="Z921" s="110"/>
      <c r="AA921" s="110"/>
      <c r="AB921" s="110"/>
      <c r="AC921" s="110"/>
      <c r="AD921" s="110"/>
      <c r="AE921" s="110"/>
      <c r="AF921" s="54"/>
      <c r="AG921" s="54"/>
      <c r="AH921" s="54"/>
      <c r="AI921" s="54"/>
    </row>
    <row r="922" s="54" customFormat="1" ht="21.75" customHeight="1">
      <c r="A922" s="472">
        <v>5</v>
      </c>
      <c r="B922" s="415" t="s">
        <v>1388</v>
      </c>
      <c r="C922" s="79">
        <f t="shared" si="330"/>
        <v>19453591.09</v>
      </c>
      <c r="D922" s="158">
        <f t="shared" si="331"/>
        <v>13599467.699999999</v>
      </c>
      <c r="E922" s="416">
        <v>0</v>
      </c>
      <c r="F922" s="475">
        <v>8037023.7999999998</v>
      </c>
      <c r="G922" s="475">
        <v>3375206.8999999999</v>
      </c>
      <c r="H922" s="475">
        <v>844873.89999999991</v>
      </c>
      <c r="I922" s="475">
        <v>1342363.0999999999</v>
      </c>
      <c r="J922" s="476">
        <v>0</v>
      </c>
      <c r="K922" s="475">
        <v>0</v>
      </c>
      <c r="L922" s="475">
        <v>0</v>
      </c>
      <c r="M922" s="475">
        <v>0</v>
      </c>
      <c r="N922" s="475">
        <v>4760457</v>
      </c>
      <c r="O922" s="475">
        <v>0</v>
      </c>
      <c r="P922" s="475">
        <v>700764</v>
      </c>
      <c r="Q922" s="475">
        <v>0</v>
      </c>
      <c r="R922" s="475">
        <v>392902.39000000001</v>
      </c>
      <c r="S922" s="416">
        <v>0</v>
      </c>
      <c r="T922" s="416">
        <v>0</v>
      </c>
      <c r="U922" s="110"/>
      <c r="V922" s="110"/>
      <c r="W922" s="110"/>
      <c r="X922" s="110"/>
      <c r="Y922" s="110"/>
      <c r="Z922" s="110"/>
      <c r="AA922" s="110"/>
      <c r="AB922" s="110"/>
      <c r="AC922" s="110"/>
      <c r="AD922" s="110"/>
      <c r="AE922" s="110"/>
      <c r="AF922" s="54"/>
      <c r="AG922" s="54"/>
      <c r="AH922" s="54"/>
      <c r="AI922" s="54"/>
    </row>
    <row r="923" s="350" customFormat="1" ht="21.75" customHeight="1">
      <c r="A923" s="25" t="s">
        <v>501</v>
      </c>
      <c r="B923" s="25"/>
      <c r="C923" s="154">
        <f>SUM(C924:C925)</f>
        <v>8917767.8000000007</v>
      </c>
      <c r="D923" s="154">
        <f>SUM(D924:D925)</f>
        <v>5003874.2599999998</v>
      </c>
      <c r="E923" s="154">
        <f>SUM(E924:E925)</f>
        <v>0</v>
      </c>
      <c r="F923" s="154">
        <f>SUM(F924:F925)</f>
        <v>2776687.21</v>
      </c>
      <c r="G923" s="154">
        <f>SUM(G924:G925)</f>
        <v>0</v>
      </c>
      <c r="H923" s="154">
        <f>SUM(H924:H925)</f>
        <v>426832.48999999999</v>
      </c>
      <c r="I923" s="154">
        <f>SUM(I924:I925)</f>
        <v>1800354.5600000001</v>
      </c>
      <c r="J923" s="155">
        <f>SUM(J924:J925)</f>
        <v>0</v>
      </c>
      <c r="K923" s="154">
        <f>SUM(K924:K925)</f>
        <v>0</v>
      </c>
      <c r="L923" s="154">
        <f>SUM(L924:L925)</f>
        <v>0</v>
      </c>
      <c r="M923" s="154">
        <f>SUM(M924:M925)</f>
        <v>0</v>
      </c>
      <c r="N923" s="154">
        <f>SUM(N924:N925)</f>
        <v>3665007.0499999998</v>
      </c>
      <c r="O923" s="154">
        <f>SUM(O924:O925)</f>
        <v>0</v>
      </c>
      <c r="P923" s="154">
        <f>SUM(P924:P925)</f>
        <v>0</v>
      </c>
      <c r="Q923" s="154">
        <f>SUM(Q924:Q925)</f>
        <v>0</v>
      </c>
      <c r="R923" s="154">
        <f>SUM(R924:R925)</f>
        <v>248886.48999999999</v>
      </c>
      <c r="S923" s="154">
        <f>SUM(S924:S925)</f>
        <v>0</v>
      </c>
      <c r="T923" s="154">
        <f>SUM(T924:T925)</f>
        <v>0</v>
      </c>
      <c r="U923" s="350"/>
      <c r="V923" s="350"/>
      <c r="W923" s="350"/>
      <c r="X923" s="350"/>
      <c r="Y923" s="350"/>
      <c r="Z923" s="350"/>
      <c r="AA923" s="350"/>
      <c r="AB923" s="350"/>
      <c r="AC923" s="350"/>
      <c r="AD923" s="350"/>
      <c r="AE923" s="350"/>
    </row>
    <row r="924" s="54" customFormat="1" ht="21.75" customHeight="1">
      <c r="A924" s="414">
        <v>1</v>
      </c>
      <c r="B924" s="415" t="s">
        <v>789</v>
      </c>
      <c r="C924" s="79">
        <f t="shared" ref="C924:C925" si="332">D924+K924+L924+M924+N924+O924+P924+Q924+R924+S924+T924</f>
        <v>5640712.21</v>
      </c>
      <c r="D924" s="79">
        <f t="shared" ref="D924:D925" si="333">SUM(E924:I924)</f>
        <v>1726818.6699999999</v>
      </c>
      <c r="E924" s="416">
        <v>0</v>
      </c>
      <c r="F924" s="416">
        <v>1726818.6699999999</v>
      </c>
      <c r="G924" s="416">
        <v>0</v>
      </c>
      <c r="H924" s="416">
        <v>0</v>
      </c>
      <c r="I924" s="416">
        <v>0</v>
      </c>
      <c r="J924" s="417">
        <v>0</v>
      </c>
      <c r="K924" s="416">
        <v>0</v>
      </c>
      <c r="L924" s="416">
        <v>0</v>
      </c>
      <c r="M924" s="416">
        <v>0</v>
      </c>
      <c r="N924" s="416">
        <v>3665007.0499999998</v>
      </c>
      <c r="O924" s="416">
        <v>0</v>
      </c>
      <c r="P924" s="416">
        <v>0</v>
      </c>
      <c r="Q924" s="416">
        <v>0</v>
      </c>
      <c r="R924" s="416">
        <f>69732.79+179153.7</f>
        <v>248886.48999999999</v>
      </c>
      <c r="S924" s="416">
        <v>0</v>
      </c>
      <c r="T924" s="416">
        <v>0</v>
      </c>
      <c r="U924" s="54"/>
      <c r="V924" s="54"/>
      <c r="W924" s="54"/>
      <c r="X924" s="54"/>
      <c r="Y924" s="54"/>
      <c r="Z924" s="54"/>
      <c r="AA924" s="54"/>
      <c r="AB924" s="54"/>
      <c r="AC924" s="54"/>
      <c r="AD924" s="54"/>
      <c r="AE924" s="54"/>
    </row>
    <row r="925" s="54" customFormat="1" ht="21.75" customHeight="1">
      <c r="A925" s="414">
        <v>2</v>
      </c>
      <c r="B925" s="415" t="s">
        <v>732</v>
      </c>
      <c r="C925" s="79">
        <f t="shared" si="332"/>
        <v>3277055.5899999999</v>
      </c>
      <c r="D925" s="79">
        <f t="shared" si="333"/>
        <v>3277055.5899999999</v>
      </c>
      <c r="E925" s="416">
        <v>0</v>
      </c>
      <c r="F925" s="416">
        <v>1049868.54</v>
      </c>
      <c r="G925" s="416">
        <v>0</v>
      </c>
      <c r="H925" s="416">
        <v>426832.48999999999</v>
      </c>
      <c r="I925" s="416">
        <v>1800354.5600000001</v>
      </c>
      <c r="J925" s="417">
        <v>0</v>
      </c>
      <c r="K925" s="416">
        <v>0</v>
      </c>
      <c r="L925" s="416">
        <v>0</v>
      </c>
      <c r="M925" s="416">
        <v>0</v>
      </c>
      <c r="N925" s="416">
        <v>0</v>
      </c>
      <c r="O925" s="416">
        <v>0</v>
      </c>
      <c r="P925" s="416">
        <v>0</v>
      </c>
      <c r="Q925" s="416">
        <v>0</v>
      </c>
      <c r="R925" s="416">
        <v>0</v>
      </c>
      <c r="S925" s="416">
        <v>0</v>
      </c>
      <c r="T925" s="416">
        <v>0</v>
      </c>
      <c r="U925" s="54"/>
      <c r="V925" s="54"/>
      <c r="W925" s="54"/>
      <c r="X925" s="54"/>
      <c r="Y925" s="54"/>
      <c r="Z925" s="54"/>
      <c r="AA925" s="54"/>
      <c r="AB925" s="54"/>
      <c r="AC925" s="54"/>
      <c r="AD925" s="54"/>
      <c r="AE925" s="54"/>
    </row>
    <row r="926" s="350" customFormat="1" ht="21.75" customHeight="1">
      <c r="A926" s="25" t="s">
        <v>506</v>
      </c>
      <c r="B926" s="25"/>
      <c r="C926" s="154">
        <f>SUM(C927:C940)</f>
        <v>127631734.08000001</v>
      </c>
      <c r="D926" s="154">
        <f>SUM(D927:D940)</f>
        <v>70349931.359999999</v>
      </c>
      <c r="E926" s="154">
        <f>SUM(E927:E940)</f>
        <v>644324.09999999998</v>
      </c>
      <c r="F926" s="154">
        <f>SUM(F927:F940)</f>
        <v>41478546.100000001</v>
      </c>
      <c r="G926" s="154">
        <f>SUM(G927:G940)</f>
        <v>13802410.300000001</v>
      </c>
      <c r="H926" s="154">
        <f>SUM(H927:H940)</f>
        <v>5090223</v>
      </c>
      <c r="I926" s="154">
        <f>SUM(I927:I940)</f>
        <v>9334427.8599999994</v>
      </c>
      <c r="J926" s="155">
        <f>SUM(J927:J940)</f>
        <v>0</v>
      </c>
      <c r="K926" s="154">
        <f>SUM(K927:K940)</f>
        <v>0</v>
      </c>
      <c r="L926" s="154">
        <f>SUM(L927:L940)</f>
        <v>25709251.800000001</v>
      </c>
      <c r="M926" s="154">
        <f>SUM(M927:M940)</f>
        <v>0</v>
      </c>
      <c r="N926" s="154">
        <f>SUM(N927:N940)</f>
        <v>23585763</v>
      </c>
      <c r="O926" s="154">
        <f>SUM(O927:O940)</f>
        <v>0</v>
      </c>
      <c r="P926" s="154">
        <f>SUM(P927:P940)</f>
        <v>5447766</v>
      </c>
      <c r="Q926" s="154">
        <f>SUM(Q927:Q940)</f>
        <v>0</v>
      </c>
      <c r="R926" s="154">
        <f>SUM(R927:R940)</f>
        <v>2539021.9199999999</v>
      </c>
      <c r="S926" s="154">
        <f>SUM(S927:S940)</f>
        <v>0</v>
      </c>
      <c r="T926" s="154">
        <f>SUM(T927:T940)</f>
        <v>0</v>
      </c>
      <c r="U926" s="350"/>
      <c r="V926" s="350"/>
      <c r="W926" s="350"/>
      <c r="X926" s="350"/>
      <c r="Y926" s="350"/>
      <c r="Z926" s="350"/>
      <c r="AA926" s="350"/>
      <c r="AB926" s="350"/>
      <c r="AC926" s="350"/>
      <c r="AD926" s="350"/>
      <c r="AE926" s="350"/>
      <c r="AF926" s="350"/>
      <c r="AG926" s="350"/>
      <c r="AH926" s="350"/>
      <c r="AI926" s="350"/>
    </row>
    <row r="927" s="54" customFormat="1" ht="21.75" customHeight="1">
      <c r="A927" s="508">
        <v>1</v>
      </c>
      <c r="B927" s="509" t="s">
        <v>790</v>
      </c>
      <c r="C927" s="79">
        <f t="shared" ref="C927:C932" si="334">D927+K927+L927+M927+N927+O927+P927+Q927+R927+S927+T927</f>
        <v>257294.64000000001</v>
      </c>
      <c r="D927" s="79">
        <f t="shared" ref="D927:D935" si="335">SUM(E927:I927)</f>
        <v>251903.90000000002</v>
      </c>
      <c r="E927" s="418">
        <v>0</v>
      </c>
      <c r="F927" s="418">
        <v>0</v>
      </c>
      <c r="G927" s="416">
        <v>0</v>
      </c>
      <c r="H927" s="416">
        <v>251903.90000000002</v>
      </c>
      <c r="I927" s="416">
        <v>0</v>
      </c>
      <c r="J927" s="417">
        <v>0</v>
      </c>
      <c r="K927" s="416">
        <v>0</v>
      </c>
      <c r="L927" s="416">
        <v>0</v>
      </c>
      <c r="M927" s="416">
        <v>0</v>
      </c>
      <c r="N927" s="416">
        <v>0</v>
      </c>
      <c r="O927" s="418">
        <v>0</v>
      </c>
      <c r="P927" s="418">
        <v>0</v>
      </c>
      <c r="Q927" s="416">
        <v>0</v>
      </c>
      <c r="R927" s="416">
        <v>5390.7399999999998</v>
      </c>
      <c r="S927" s="416">
        <v>0</v>
      </c>
      <c r="T927" s="416">
        <v>0</v>
      </c>
      <c r="U927" s="54"/>
      <c r="V927" s="54"/>
      <c r="W927" s="54"/>
      <c r="X927" s="54"/>
      <c r="Y927" s="54"/>
      <c r="Z927" s="54"/>
      <c r="AA927" s="54"/>
      <c r="AB927" s="54"/>
      <c r="AC927" s="54"/>
      <c r="AD927" s="54"/>
      <c r="AE927" s="54"/>
    </row>
    <row r="928" s="54" customFormat="1" ht="21.75" customHeight="1">
      <c r="A928" s="508">
        <v>2</v>
      </c>
      <c r="B928" s="509" t="s">
        <v>1389</v>
      </c>
      <c r="C928" s="158">
        <f t="shared" si="334"/>
        <v>15946166.02</v>
      </c>
      <c r="D928" s="79">
        <f t="shared" si="335"/>
        <v>14582945</v>
      </c>
      <c r="E928" s="418">
        <v>0</v>
      </c>
      <c r="F928" s="418">
        <v>9562085</v>
      </c>
      <c r="G928" s="419">
        <v>4015667.5</v>
      </c>
      <c r="H928" s="416">
        <v>1005192.5</v>
      </c>
      <c r="I928" s="419">
        <v>0</v>
      </c>
      <c r="J928" s="417">
        <v>0</v>
      </c>
      <c r="K928" s="419">
        <v>0</v>
      </c>
      <c r="L928" s="416">
        <v>0</v>
      </c>
      <c r="M928" s="419">
        <v>0</v>
      </c>
      <c r="N928" s="416">
        <v>0</v>
      </c>
      <c r="O928" s="418">
        <v>0</v>
      </c>
      <c r="P928" s="418">
        <f>700764+350382</f>
        <v>1051146</v>
      </c>
      <c r="Q928" s="419">
        <v>0</v>
      </c>
      <c r="R928" s="416">
        <f>21511.12+85935.28+204628.62</f>
        <v>312075.02000000002</v>
      </c>
      <c r="S928" s="419">
        <v>0</v>
      </c>
      <c r="T928" s="416">
        <v>0</v>
      </c>
      <c r="U928" s="110"/>
      <c r="V928" s="110"/>
      <c r="W928" s="110"/>
      <c r="X928" s="110"/>
      <c r="Y928" s="110"/>
      <c r="Z928" s="110"/>
      <c r="AA928" s="110"/>
      <c r="AB928" s="110"/>
      <c r="AC928" s="110"/>
      <c r="AD928" s="110"/>
      <c r="AE928" s="110"/>
      <c r="AF928" s="54"/>
      <c r="AG928" s="54"/>
      <c r="AH928" s="54"/>
      <c r="AI928" s="54"/>
      <c r="AJ928" s="54"/>
      <c r="AK928" s="54"/>
      <c r="AL928" s="54"/>
      <c r="AM928" s="54"/>
      <c r="AN928" s="54"/>
      <c r="AO928" s="54"/>
    </row>
    <row r="929" s="54" customFormat="1" ht="21.75" customHeight="1">
      <c r="A929" s="508">
        <v>3</v>
      </c>
      <c r="B929" s="464" t="s">
        <v>738</v>
      </c>
      <c r="C929" s="79">
        <f t="shared" si="334"/>
        <v>2225300.3800000004</v>
      </c>
      <c r="D929" s="79">
        <f t="shared" si="335"/>
        <v>2178676.7000000002</v>
      </c>
      <c r="E929" s="416">
        <v>0</v>
      </c>
      <c r="F929" s="416">
        <v>2178676.7000000002</v>
      </c>
      <c r="G929" s="416">
        <v>0</v>
      </c>
      <c r="H929" s="416">
        <v>0</v>
      </c>
      <c r="I929" s="416">
        <v>0</v>
      </c>
      <c r="J929" s="417">
        <v>0</v>
      </c>
      <c r="K929" s="416">
        <v>0</v>
      </c>
      <c r="L929" s="416">
        <v>0</v>
      </c>
      <c r="M929" s="416">
        <v>0</v>
      </c>
      <c r="N929" s="416">
        <v>0</v>
      </c>
      <c r="O929" s="416">
        <v>0</v>
      </c>
      <c r="P929" s="416">
        <v>0</v>
      </c>
      <c r="Q929" s="416">
        <v>0</v>
      </c>
      <c r="R929" s="416">
        <v>46623.68</v>
      </c>
      <c r="S929" s="416">
        <v>0</v>
      </c>
      <c r="T929" s="416">
        <v>0</v>
      </c>
      <c r="U929" s="54"/>
      <c r="V929" s="54"/>
      <c r="W929" s="54"/>
      <c r="X929" s="54"/>
      <c r="Y929" s="54"/>
      <c r="Z929" s="54"/>
      <c r="AA929" s="54"/>
      <c r="AB929" s="54"/>
      <c r="AC929" s="54"/>
      <c r="AD929" s="54"/>
      <c r="AE929" s="54"/>
      <c r="AF929" s="54"/>
      <c r="AG929" s="54"/>
      <c r="AH929" s="54"/>
      <c r="AI929" s="54"/>
      <c r="AJ929" s="54"/>
      <c r="AK929" s="54"/>
    </row>
    <row r="930" s="54" customFormat="1" ht="21.75" customHeight="1">
      <c r="A930" s="508">
        <v>4</v>
      </c>
      <c r="B930" s="464" t="s">
        <v>513</v>
      </c>
      <c r="C930" s="79">
        <f t="shared" si="334"/>
        <v>2960281.9500000002</v>
      </c>
      <c r="D930" s="79">
        <f t="shared" si="335"/>
        <v>0</v>
      </c>
      <c r="E930" s="416">
        <v>0</v>
      </c>
      <c r="F930" s="416">
        <v>0</v>
      </c>
      <c r="G930" s="416">
        <v>0</v>
      </c>
      <c r="H930" s="416">
        <v>0</v>
      </c>
      <c r="I930" s="416">
        <v>0</v>
      </c>
      <c r="J930" s="417">
        <v>0</v>
      </c>
      <c r="K930" s="416">
        <v>0</v>
      </c>
      <c r="L930" s="416">
        <v>2898259.2000000002</v>
      </c>
      <c r="M930" s="416">
        <v>0</v>
      </c>
      <c r="N930" s="416">
        <v>0</v>
      </c>
      <c r="O930" s="416">
        <v>0</v>
      </c>
      <c r="P930" s="416">
        <v>0</v>
      </c>
      <c r="Q930" s="416">
        <v>0</v>
      </c>
      <c r="R930" s="416">
        <v>62022.75</v>
      </c>
      <c r="S930" s="416">
        <v>0</v>
      </c>
      <c r="T930" s="510">
        <v>0</v>
      </c>
      <c r="U930" s="54"/>
      <c r="V930" s="54"/>
      <c r="W930" s="54"/>
      <c r="X930" s="54"/>
      <c r="Y930" s="54"/>
      <c r="Z930" s="54"/>
      <c r="AA930" s="54"/>
      <c r="AB930" s="54"/>
      <c r="AC930" s="54"/>
      <c r="AD930" s="54"/>
      <c r="AE930" s="54"/>
      <c r="AF930" s="54"/>
      <c r="AG930" s="54"/>
      <c r="AH930" s="54"/>
      <c r="AI930" s="54"/>
    </row>
    <row r="931" s="54" customFormat="1" ht="21.75" customHeight="1">
      <c r="A931" s="508">
        <v>5</v>
      </c>
      <c r="B931" s="415" t="s">
        <v>792</v>
      </c>
      <c r="C931" s="79">
        <f t="shared" si="334"/>
        <v>1541119.1899999999</v>
      </c>
      <c r="D931" s="79">
        <f t="shared" si="335"/>
        <v>1501273.8599999999</v>
      </c>
      <c r="E931" s="418">
        <v>644324.09999999998</v>
      </c>
      <c r="F931" s="416">
        <v>0</v>
      </c>
      <c r="G931" s="416">
        <v>0</v>
      </c>
      <c r="H931" s="416">
        <v>0</v>
      </c>
      <c r="I931" s="418">
        <v>856949.76000000001</v>
      </c>
      <c r="J931" s="417">
        <v>0</v>
      </c>
      <c r="K931" s="416">
        <v>0</v>
      </c>
      <c r="L931" s="416">
        <v>0</v>
      </c>
      <c r="M931" s="416">
        <v>0</v>
      </c>
      <c r="N931" s="418">
        <v>0</v>
      </c>
      <c r="O931" s="416">
        <v>0</v>
      </c>
      <c r="P931" s="418">
        <v>0</v>
      </c>
      <c r="Q931" s="416">
        <v>0</v>
      </c>
      <c r="R931" s="416">
        <f>18338.72+21506.61</f>
        <v>39845.330000000002</v>
      </c>
      <c r="S931" s="416">
        <v>0</v>
      </c>
      <c r="T931" s="416">
        <v>0</v>
      </c>
      <c r="U931" s="54"/>
      <c r="V931" s="54"/>
      <c r="W931" s="54"/>
      <c r="X931" s="54"/>
      <c r="Y931" s="54"/>
      <c r="Z931" s="54"/>
      <c r="AA931" s="54"/>
      <c r="AB931" s="54"/>
      <c r="AC931" s="54"/>
      <c r="AD931" s="54"/>
      <c r="AE931" s="54"/>
    </row>
    <row r="932" s="54" customFormat="1" ht="21.75" customHeight="1">
      <c r="A932" s="508">
        <v>6</v>
      </c>
      <c r="B932" s="415" t="s">
        <v>793</v>
      </c>
      <c r="C932" s="79">
        <f t="shared" si="334"/>
        <v>3377729.7599999998</v>
      </c>
      <c r="D932" s="79">
        <f t="shared" si="335"/>
        <v>3306960.7999999998</v>
      </c>
      <c r="E932" s="418">
        <v>0</v>
      </c>
      <c r="F932" s="418">
        <v>2069522</v>
      </c>
      <c r="G932" s="416">
        <v>0</v>
      </c>
      <c r="H932" s="418">
        <v>416754</v>
      </c>
      <c r="I932" s="418">
        <v>820684.79999999993</v>
      </c>
      <c r="J932" s="417">
        <v>0</v>
      </c>
      <c r="K932" s="416">
        <v>0</v>
      </c>
      <c r="L932" s="416">
        <v>0</v>
      </c>
      <c r="M932" s="416">
        <v>0</v>
      </c>
      <c r="N932" s="418">
        <v>0</v>
      </c>
      <c r="O932" s="416">
        <v>0</v>
      </c>
      <c r="P932" s="418">
        <v>0</v>
      </c>
      <c r="Q932" s="416">
        <v>0</v>
      </c>
      <c r="R932" s="416">
        <f>17562.65+44287.77+8918.54</f>
        <v>70768.959999999992</v>
      </c>
      <c r="S932" s="416">
        <v>0</v>
      </c>
      <c r="T932" s="416">
        <v>0</v>
      </c>
      <c r="U932" s="54"/>
      <c r="V932" s="54"/>
      <c r="W932" s="54"/>
      <c r="X932" s="54"/>
      <c r="Y932" s="54"/>
      <c r="Z932" s="54"/>
      <c r="AA932" s="54"/>
      <c r="AB932" s="54"/>
      <c r="AC932" s="54"/>
      <c r="AD932" s="54"/>
      <c r="AE932" s="54"/>
      <c r="AF932" s="54"/>
      <c r="AG932" s="54"/>
      <c r="AH932" s="54"/>
      <c r="AI932" s="54"/>
      <c r="AJ932" s="54"/>
      <c r="AK932" s="54"/>
    </row>
    <row r="933" s="54" customFormat="1" ht="21.75" customHeight="1">
      <c r="A933" s="508">
        <v>7</v>
      </c>
      <c r="B933" s="511" t="s">
        <v>746</v>
      </c>
      <c r="C933" s="213">
        <f>L933+R933</f>
        <v>23299147.84</v>
      </c>
      <c r="D933" s="215">
        <f t="shared" si="335"/>
        <v>0</v>
      </c>
      <c r="E933" s="512">
        <v>0</v>
      </c>
      <c r="F933" s="512">
        <v>0</v>
      </c>
      <c r="G933" s="513">
        <v>0</v>
      </c>
      <c r="H933" s="512">
        <v>0</v>
      </c>
      <c r="I933" s="512">
        <v>0</v>
      </c>
      <c r="J933" s="514">
        <v>0</v>
      </c>
      <c r="K933" s="513">
        <v>0</v>
      </c>
      <c r="L933" s="513">
        <v>22810992.600000001</v>
      </c>
      <c r="M933" s="513">
        <v>0</v>
      </c>
      <c r="N933" s="512">
        <v>0</v>
      </c>
      <c r="O933" s="513">
        <v>0</v>
      </c>
      <c r="P933" s="512">
        <v>0</v>
      </c>
      <c r="Q933" s="513">
        <v>0</v>
      </c>
      <c r="R933" s="513">
        <v>488155.23999999999</v>
      </c>
      <c r="S933" s="515">
        <v>0</v>
      </c>
      <c r="T933" s="513">
        <v>0</v>
      </c>
      <c r="U933" s="452"/>
      <c r="V933" s="452"/>
      <c r="W933" s="452"/>
      <c r="X933" s="452"/>
      <c r="Y933" s="452"/>
      <c r="Z933" s="452"/>
      <c r="AA933" s="452"/>
      <c r="AB933" s="452"/>
      <c r="AC933" s="452"/>
      <c r="AD933" s="452"/>
      <c r="AE933" s="452"/>
      <c r="AF933" s="452"/>
      <c r="AG933" s="452"/>
      <c r="AH933" s="452"/>
      <c r="AI933" s="452"/>
      <c r="AJ933" s="54"/>
      <c r="AK933" s="54"/>
      <c r="AL933" s="54"/>
      <c r="AM933" s="54"/>
      <c r="AN933" s="54"/>
      <c r="AO933" s="54"/>
    </row>
    <row r="934" s="54" customFormat="1" ht="21.75" customHeight="1">
      <c r="A934" s="508">
        <v>8</v>
      </c>
      <c r="B934" s="464" t="s">
        <v>1390</v>
      </c>
      <c r="C934" s="79">
        <f t="shared" ref="C934:C940" si="336">D934+K934+L934+M934+N934+O934+P934+Q934+R934+S934+T934</f>
        <v>16800610.100000001</v>
      </c>
      <c r="D934" s="79">
        <f t="shared" si="335"/>
        <v>9094428</v>
      </c>
      <c r="E934" s="416">
        <v>0</v>
      </c>
      <c r="F934" s="416">
        <v>5374632</v>
      </c>
      <c r="G934" s="416">
        <v>2257116</v>
      </c>
      <c r="H934" s="416">
        <v>564996</v>
      </c>
      <c r="I934" s="416">
        <v>897684</v>
      </c>
      <c r="J934" s="417">
        <v>0</v>
      </c>
      <c r="K934" s="416">
        <v>0</v>
      </c>
      <c r="L934" s="416">
        <v>0</v>
      </c>
      <c r="M934" s="416">
        <v>0</v>
      </c>
      <c r="N934" s="416">
        <v>6668100</v>
      </c>
      <c r="O934" s="416">
        <v>0</v>
      </c>
      <c r="P934" s="416">
        <f>350382+350382</f>
        <v>700764</v>
      </c>
      <c r="Q934" s="416">
        <v>0</v>
      </c>
      <c r="R934" s="416">
        <v>337318.09999999998</v>
      </c>
      <c r="S934" s="506">
        <v>0</v>
      </c>
      <c r="T934" s="416">
        <v>0</v>
      </c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  <c r="AG934" s="47"/>
      <c r="AH934" s="47"/>
      <c r="AI934" s="47"/>
    </row>
    <row r="935" s="54" customFormat="1" ht="21.75" customHeight="1">
      <c r="A935" s="508">
        <v>9</v>
      </c>
      <c r="B935" s="464" t="s">
        <v>1391</v>
      </c>
      <c r="C935" s="79">
        <f t="shared" si="336"/>
        <v>3932512.0999999996</v>
      </c>
      <c r="D935" s="79">
        <f t="shared" si="335"/>
        <v>3330060.7999999998</v>
      </c>
      <c r="E935" s="416">
        <v>0</v>
      </c>
      <c r="F935" s="416">
        <v>2029403.2</v>
      </c>
      <c r="G935" s="416">
        <v>0</v>
      </c>
      <c r="H935" s="416">
        <v>387367.20000000001</v>
      </c>
      <c r="I935" s="416">
        <v>913290.40000000002</v>
      </c>
      <c r="J935" s="417">
        <v>0</v>
      </c>
      <c r="K935" s="416">
        <v>0</v>
      </c>
      <c r="L935" s="416">
        <v>0</v>
      </c>
      <c r="M935" s="416">
        <v>0</v>
      </c>
      <c r="N935" s="416">
        <v>0</v>
      </c>
      <c r="O935" s="416">
        <v>0</v>
      </c>
      <c r="P935" s="416">
        <f t="shared" ref="P935:P936" si="337">265594+265594</f>
        <v>531188</v>
      </c>
      <c r="Q935" s="416">
        <v>0</v>
      </c>
      <c r="R935" s="416">
        <v>71263.300000000003</v>
      </c>
      <c r="S935" s="416">
        <v>0</v>
      </c>
      <c r="T935" s="416">
        <v>0</v>
      </c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  <c r="AG935" s="47"/>
      <c r="AH935" s="47"/>
      <c r="AI935" s="47"/>
    </row>
    <row r="936" s="54" customFormat="1" ht="21.75" customHeight="1">
      <c r="A936" s="508">
        <v>10</v>
      </c>
      <c r="B936" s="464" t="s">
        <v>1392</v>
      </c>
      <c r="C936" s="79">
        <f t="shared" si="336"/>
        <v>3824057.5</v>
      </c>
      <c r="D936" s="79">
        <f t="shared" ref="D936:D940" si="338">SUM(E936:I936)</f>
        <v>3223878.5</v>
      </c>
      <c r="E936" s="416">
        <v>0</v>
      </c>
      <c r="F936" s="416">
        <v>1964693.6000000001</v>
      </c>
      <c r="G936" s="416">
        <v>0</v>
      </c>
      <c r="H936" s="416">
        <v>375015.59999999998</v>
      </c>
      <c r="I936" s="416">
        <v>884169.30000000005</v>
      </c>
      <c r="J936" s="417">
        <v>0</v>
      </c>
      <c r="K936" s="416">
        <v>0</v>
      </c>
      <c r="L936" s="416">
        <v>0</v>
      </c>
      <c r="M936" s="416">
        <v>0</v>
      </c>
      <c r="N936" s="416">
        <v>0</v>
      </c>
      <c r="O936" s="416">
        <v>0</v>
      </c>
      <c r="P936" s="416">
        <f t="shared" si="337"/>
        <v>531188</v>
      </c>
      <c r="Q936" s="416">
        <v>0</v>
      </c>
      <c r="R936" s="416">
        <v>68991</v>
      </c>
      <c r="S936" s="416">
        <v>0</v>
      </c>
      <c r="T936" s="416">
        <v>0</v>
      </c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  <c r="AG936" s="47"/>
      <c r="AH936" s="47"/>
      <c r="AI936" s="47"/>
    </row>
    <row r="937" s="54" customFormat="1" ht="21.75" customHeight="1">
      <c r="A937" s="508">
        <v>11</v>
      </c>
      <c r="B937" s="464" t="s">
        <v>1393</v>
      </c>
      <c r="C937" s="79">
        <f t="shared" si="336"/>
        <v>4429830.9400000004</v>
      </c>
      <c r="D937" s="158">
        <f t="shared" si="338"/>
        <v>3816960</v>
      </c>
      <c r="E937" s="416">
        <v>0</v>
      </c>
      <c r="F937" s="416">
        <v>1927520</v>
      </c>
      <c r="G937" s="416">
        <v>654080</v>
      </c>
      <c r="H937" s="416">
        <v>367920</v>
      </c>
      <c r="I937" s="416">
        <v>867440</v>
      </c>
      <c r="J937" s="417">
        <v>0</v>
      </c>
      <c r="K937" s="416">
        <v>0</v>
      </c>
      <c r="L937" s="416">
        <v>0</v>
      </c>
      <c r="M937" s="416">
        <v>0</v>
      </c>
      <c r="N937" s="416">
        <v>0</v>
      </c>
      <c r="O937" s="416">
        <v>0</v>
      </c>
      <c r="P937" s="416">
        <v>531188</v>
      </c>
      <c r="Q937" s="416">
        <v>0</v>
      </c>
      <c r="R937" s="416">
        <v>81682.940000000002</v>
      </c>
      <c r="S937" s="416">
        <v>0</v>
      </c>
      <c r="T937" s="416">
        <v>0</v>
      </c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  <c r="AG937" s="47"/>
      <c r="AH937" s="47"/>
      <c r="AI937" s="47"/>
    </row>
    <row r="938" s="54" customFormat="1" ht="21.75" customHeight="1">
      <c r="A938" s="508">
        <v>12</v>
      </c>
      <c r="B938" s="464" t="s">
        <v>1394</v>
      </c>
      <c r="C938" s="79">
        <f t="shared" si="336"/>
        <v>12916971.32</v>
      </c>
      <c r="D938" s="79">
        <f t="shared" si="338"/>
        <v>8859139.8000000007</v>
      </c>
      <c r="E938" s="416">
        <v>0</v>
      </c>
      <c r="F938" s="416">
        <v>5235581.2000000002</v>
      </c>
      <c r="G938" s="416">
        <v>2198720.6000000001</v>
      </c>
      <c r="H938" s="416">
        <v>550378.59999999998</v>
      </c>
      <c r="I938" s="416">
        <v>874459.40000000002</v>
      </c>
      <c r="J938" s="417">
        <v>0</v>
      </c>
      <c r="K938" s="416">
        <v>0</v>
      </c>
      <c r="L938" s="416">
        <v>0</v>
      </c>
      <c r="M938" s="416">
        <v>0</v>
      </c>
      <c r="N938" s="416">
        <v>3101118</v>
      </c>
      <c r="O938" s="416">
        <v>0</v>
      </c>
      <c r="P938" s="416">
        <f>350382+350382</f>
        <v>700764</v>
      </c>
      <c r="Q938" s="416">
        <v>0</v>
      </c>
      <c r="R938" s="416">
        <v>255949.51999999999</v>
      </c>
      <c r="S938" s="416">
        <v>0</v>
      </c>
      <c r="T938" s="416">
        <v>0</v>
      </c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  <c r="AG938" s="47"/>
      <c r="AH938" s="47"/>
      <c r="AI938" s="47"/>
    </row>
    <row r="939" s="54" customFormat="1" ht="21.75" customHeight="1">
      <c r="A939" s="508">
        <v>13</v>
      </c>
      <c r="B939" s="516" t="s">
        <v>1395</v>
      </c>
      <c r="C939" s="79">
        <f t="shared" si="336"/>
        <v>18163697.670000002</v>
      </c>
      <c r="D939" s="79">
        <f t="shared" si="338"/>
        <v>10456050</v>
      </c>
      <c r="E939" s="513">
        <v>0</v>
      </c>
      <c r="F939" s="512">
        <v>5375756.4000000004</v>
      </c>
      <c r="G939" s="513">
        <v>2257588.2000000002</v>
      </c>
      <c r="H939" s="513">
        <v>565117.19999999995</v>
      </c>
      <c r="I939" s="513">
        <v>2257588.2000000002</v>
      </c>
      <c r="J939" s="514">
        <v>0</v>
      </c>
      <c r="K939" s="513">
        <v>0</v>
      </c>
      <c r="L939" s="513">
        <v>0</v>
      </c>
      <c r="M939" s="513">
        <v>0</v>
      </c>
      <c r="N939" s="513">
        <v>6669495</v>
      </c>
      <c r="O939" s="513">
        <v>0</v>
      </c>
      <c r="P939" s="512">
        <v>700764</v>
      </c>
      <c r="Q939" s="513">
        <v>0</v>
      </c>
      <c r="R939" s="513">
        <v>337388.66999999998</v>
      </c>
      <c r="S939" s="513">
        <v>0</v>
      </c>
      <c r="T939" s="513">
        <v>0</v>
      </c>
      <c r="U939" s="453"/>
      <c r="V939" s="453"/>
      <c r="W939" s="453"/>
      <c r="X939" s="453"/>
      <c r="Y939" s="453"/>
      <c r="Z939" s="453"/>
      <c r="AA939" s="453"/>
      <c r="AB939" s="453"/>
      <c r="AC939" s="453"/>
      <c r="AD939" s="453"/>
      <c r="AE939" s="453"/>
      <c r="AF939" s="453"/>
      <c r="AG939" s="453"/>
      <c r="AH939" s="453"/>
      <c r="AI939" s="453"/>
    </row>
    <row r="940" s="54" customFormat="1" ht="21.75" customHeight="1">
      <c r="A940" s="508">
        <v>14</v>
      </c>
      <c r="B940" s="516" t="s">
        <v>1396</v>
      </c>
      <c r="C940" s="79">
        <f t="shared" si="336"/>
        <v>17957014.670000002</v>
      </c>
      <c r="D940" s="158">
        <f t="shared" si="338"/>
        <v>9747654</v>
      </c>
      <c r="E940" s="512">
        <v>0</v>
      </c>
      <c r="F940" s="512">
        <v>5760676</v>
      </c>
      <c r="G940" s="513">
        <v>2419238</v>
      </c>
      <c r="H940" s="512">
        <v>605578</v>
      </c>
      <c r="I940" s="512">
        <v>962162</v>
      </c>
      <c r="J940" s="514">
        <v>0</v>
      </c>
      <c r="K940" s="513">
        <v>0</v>
      </c>
      <c r="L940" s="513">
        <v>0</v>
      </c>
      <c r="M940" s="513">
        <v>0</v>
      </c>
      <c r="N940" s="513">
        <v>7147050</v>
      </c>
      <c r="O940" s="513">
        <v>0</v>
      </c>
      <c r="P940" s="512">
        <v>700764</v>
      </c>
      <c r="Q940" s="513">
        <v>0</v>
      </c>
      <c r="R940" s="513">
        <v>361546.66999999998</v>
      </c>
      <c r="S940" s="513">
        <v>0</v>
      </c>
      <c r="T940" s="513">
        <v>0</v>
      </c>
      <c r="U940" s="453"/>
      <c r="V940" s="453"/>
      <c r="W940" s="453"/>
      <c r="X940" s="453"/>
      <c r="Y940" s="453"/>
      <c r="Z940" s="453"/>
      <c r="AA940" s="453"/>
      <c r="AB940" s="453"/>
      <c r="AC940" s="453"/>
      <c r="AD940" s="453"/>
      <c r="AE940" s="453"/>
      <c r="AF940" s="453"/>
      <c r="AG940" s="453"/>
      <c r="AH940" s="453"/>
      <c r="AI940" s="453"/>
    </row>
    <row r="941" s="350" customFormat="1" ht="21.75" customHeight="1">
      <c r="A941" s="25" t="s">
        <v>519</v>
      </c>
      <c r="B941" s="25"/>
      <c r="C941" s="154">
        <f>SUM(C942:C948)</f>
        <v>39493254.040000007</v>
      </c>
      <c r="D941" s="154">
        <f>SUM(D942:D948)</f>
        <v>16569136.18</v>
      </c>
      <c r="E941" s="154">
        <f>SUM(E942:E948)</f>
        <v>0</v>
      </c>
      <c r="F941" s="154">
        <f>SUM(F942:F948)</f>
        <v>8980261.370000001</v>
      </c>
      <c r="G941" s="154">
        <f>SUM(G942:G948)</f>
        <v>3804598.0800000001</v>
      </c>
      <c r="H941" s="154">
        <f>SUM(H942:H948)</f>
        <v>1228980.1899999999</v>
      </c>
      <c r="I941" s="154">
        <f>SUM(I942:I948)</f>
        <v>2555296.54</v>
      </c>
      <c r="J941" s="155">
        <f>SUM(J942:J948)</f>
        <v>0</v>
      </c>
      <c r="K941" s="154">
        <f>SUM(K942:K948)</f>
        <v>0</v>
      </c>
      <c r="L941" s="154">
        <f>SUM(L942:L948)</f>
        <v>21345617.259999998</v>
      </c>
      <c r="M941" s="154">
        <f>SUM(M942:M948)</f>
        <v>1222277.3999999999</v>
      </c>
      <c r="N941" s="154">
        <f>SUM(N942:N948)</f>
        <v>0</v>
      </c>
      <c r="O941" s="154">
        <f>SUM(O942:O948)</f>
        <v>0</v>
      </c>
      <c r="P941" s="154">
        <f>SUM(P942:P948)</f>
        <v>0</v>
      </c>
      <c r="Q941" s="154">
        <f>SUM(Q942:Q948)</f>
        <v>0</v>
      </c>
      <c r="R941" s="154">
        <f>SUM(R942:R948)</f>
        <v>356223.19999999995</v>
      </c>
      <c r="S941" s="154">
        <f>SUM(S942:S948)</f>
        <v>0</v>
      </c>
      <c r="T941" s="154">
        <f>SUM(T942:T948)</f>
        <v>0</v>
      </c>
      <c r="U941" s="350"/>
      <c r="V941" s="350"/>
      <c r="W941" s="350"/>
      <c r="X941" s="350"/>
      <c r="Y941" s="350"/>
      <c r="Z941" s="350"/>
      <c r="AA941" s="350"/>
      <c r="AB941" s="350"/>
      <c r="AC941" s="350"/>
      <c r="AD941" s="350"/>
      <c r="AE941" s="350"/>
      <c r="AF941" s="350"/>
      <c r="AG941" s="350"/>
      <c r="AH941" s="350"/>
      <c r="AI941" s="350"/>
    </row>
    <row r="942" s="54" customFormat="1" ht="21.75" customHeight="1">
      <c r="A942" s="414">
        <v>1</v>
      </c>
      <c r="B942" s="466" t="s">
        <v>535</v>
      </c>
      <c r="C942" s="79">
        <f t="shared" ref="C942:C948" si="339">D942+K942+L942+M942+N942+O942+P942+Q942+R942+S942+T942</f>
        <v>6958781.1000000006</v>
      </c>
      <c r="D942" s="79">
        <f t="shared" ref="D942:D948" si="340">SUM(E942:I942)</f>
        <v>6958781.1000000006</v>
      </c>
      <c r="E942" s="418">
        <v>0</v>
      </c>
      <c r="F942" s="418">
        <v>4900697.4000000004</v>
      </c>
      <c r="G942" s="416">
        <v>2058083.7</v>
      </c>
      <c r="H942" s="418">
        <v>0</v>
      </c>
      <c r="I942" s="418">
        <v>0</v>
      </c>
      <c r="J942" s="417">
        <v>0</v>
      </c>
      <c r="K942" s="416">
        <v>0</v>
      </c>
      <c r="L942" s="416">
        <v>0</v>
      </c>
      <c r="M942" s="416">
        <v>0</v>
      </c>
      <c r="N942" s="418">
        <v>0</v>
      </c>
      <c r="O942" s="416">
        <v>0</v>
      </c>
      <c r="P942" s="418">
        <v>0</v>
      </c>
      <c r="Q942" s="416">
        <v>0</v>
      </c>
      <c r="R942" s="416">
        <v>0</v>
      </c>
      <c r="S942" s="416">
        <v>0</v>
      </c>
      <c r="T942" s="416">
        <v>0</v>
      </c>
      <c r="U942" s="54"/>
      <c r="V942" s="54"/>
      <c r="W942" s="54"/>
      <c r="X942" s="54"/>
      <c r="Y942" s="54"/>
      <c r="Z942" s="54"/>
      <c r="AA942" s="54"/>
      <c r="AB942" s="54"/>
      <c r="AC942" s="54"/>
      <c r="AD942" s="54"/>
      <c r="AE942" s="54"/>
    </row>
    <row r="943" s="54" customFormat="1" ht="21.75" customHeight="1">
      <c r="A943" s="414">
        <v>2</v>
      </c>
      <c r="B943" s="466" t="s">
        <v>543</v>
      </c>
      <c r="C943" s="79">
        <f t="shared" si="339"/>
        <v>1248434.1399999999</v>
      </c>
      <c r="D943" s="79">
        <f t="shared" si="340"/>
        <v>0</v>
      </c>
      <c r="E943" s="416">
        <v>0</v>
      </c>
      <c r="F943" s="416">
        <v>0</v>
      </c>
      <c r="G943" s="416">
        <v>0</v>
      </c>
      <c r="H943" s="416">
        <v>0</v>
      </c>
      <c r="I943" s="416">
        <v>0</v>
      </c>
      <c r="J943" s="417">
        <v>0</v>
      </c>
      <c r="K943" s="416">
        <v>0</v>
      </c>
      <c r="L943" s="416">
        <v>0</v>
      </c>
      <c r="M943" s="416">
        <v>1222277.3999999999</v>
      </c>
      <c r="N943" s="416">
        <v>0</v>
      </c>
      <c r="O943" s="416">
        <v>0</v>
      </c>
      <c r="P943" s="416">
        <v>0</v>
      </c>
      <c r="Q943" s="416">
        <v>0</v>
      </c>
      <c r="R943" s="492">
        <v>26156.740000000002</v>
      </c>
      <c r="S943" s="416">
        <v>0</v>
      </c>
      <c r="T943" s="416">
        <v>0</v>
      </c>
      <c r="U943" s="54"/>
      <c r="V943" s="54"/>
      <c r="W943" s="54"/>
      <c r="X943" s="54"/>
      <c r="Y943" s="54"/>
      <c r="Z943" s="54"/>
      <c r="AA943" s="54"/>
      <c r="AB943" s="54"/>
      <c r="AC943" s="54"/>
      <c r="AD943" s="54"/>
      <c r="AE943" s="54"/>
      <c r="AF943" s="54"/>
      <c r="AG943" s="54"/>
      <c r="AH943" s="54"/>
      <c r="AI943" s="54"/>
      <c r="AJ943" s="54"/>
      <c r="AK943" s="54"/>
    </row>
    <row r="944" s="54" customFormat="1" ht="21.75" customHeight="1">
      <c r="A944" s="414">
        <v>3</v>
      </c>
      <c r="B944" s="466" t="s">
        <v>1397</v>
      </c>
      <c r="C944" s="79">
        <f t="shared" si="339"/>
        <v>15000000</v>
      </c>
      <c r="D944" s="79">
        <f t="shared" si="340"/>
        <v>0</v>
      </c>
      <c r="E944" s="416">
        <v>0</v>
      </c>
      <c r="F944" s="416">
        <v>0</v>
      </c>
      <c r="G944" s="416">
        <v>0</v>
      </c>
      <c r="H944" s="416">
        <v>0</v>
      </c>
      <c r="I944" s="416">
        <v>0</v>
      </c>
      <c r="J944" s="417">
        <v>0</v>
      </c>
      <c r="K944" s="416">
        <v>0</v>
      </c>
      <c r="L944" s="416">
        <v>15000000</v>
      </c>
      <c r="M944" s="416">
        <v>0</v>
      </c>
      <c r="N944" s="416">
        <v>0</v>
      </c>
      <c r="O944" s="416">
        <v>0</v>
      </c>
      <c r="P944" s="416">
        <v>0</v>
      </c>
      <c r="Q944" s="416">
        <v>0</v>
      </c>
      <c r="R944" s="492">
        <v>0</v>
      </c>
      <c r="S944" s="416">
        <v>0</v>
      </c>
      <c r="T944" s="416">
        <v>0</v>
      </c>
      <c r="U944" s="54"/>
      <c r="V944" s="54"/>
      <c r="W944" s="54"/>
      <c r="X944" s="54"/>
      <c r="Y944" s="54"/>
      <c r="Z944" s="54"/>
      <c r="AA944" s="54"/>
      <c r="AB944" s="54"/>
      <c r="AC944" s="54"/>
      <c r="AD944" s="54"/>
      <c r="AE944" s="54"/>
      <c r="AF944" s="54"/>
      <c r="AG944" s="54"/>
      <c r="AH944" s="54"/>
      <c r="AI944" s="54"/>
      <c r="AJ944" s="54"/>
      <c r="AK944" s="54"/>
    </row>
    <row r="945" s="54" customFormat="1" ht="21.75" customHeight="1">
      <c r="A945" s="414">
        <v>4</v>
      </c>
      <c r="B945" s="466" t="s">
        <v>544</v>
      </c>
      <c r="C945" s="79">
        <f t="shared" si="339"/>
        <v>4647678.21</v>
      </c>
      <c r="D945" s="79">
        <f t="shared" si="340"/>
        <v>4508680.8700000001</v>
      </c>
      <c r="E945" s="416">
        <v>0</v>
      </c>
      <c r="F945" s="416">
        <v>2004754.8700000001</v>
      </c>
      <c r="G945" s="416">
        <v>874967.39999999991</v>
      </c>
      <c r="H945" s="416">
        <v>548613</v>
      </c>
      <c r="I945" s="416">
        <v>1080345.5999999999</v>
      </c>
      <c r="J945" s="417">
        <v>0</v>
      </c>
      <c r="K945" s="416">
        <v>0</v>
      </c>
      <c r="L945" s="416">
        <v>0</v>
      </c>
      <c r="M945" s="416">
        <v>0</v>
      </c>
      <c r="N945" s="416">
        <v>0</v>
      </c>
      <c r="O945" s="416">
        <v>0</v>
      </c>
      <c r="P945" s="416">
        <v>0</v>
      </c>
      <c r="Q945" s="416">
        <v>0</v>
      </c>
      <c r="R945" s="492">
        <f>23119.4+58300.21+27113.11+18724.3+11740.32</f>
        <v>138997.34</v>
      </c>
      <c r="S945" s="416">
        <v>0</v>
      </c>
      <c r="T945" s="416">
        <v>0</v>
      </c>
      <c r="U945" s="54"/>
      <c r="V945" s="54"/>
      <c r="W945" s="54"/>
      <c r="X945" s="54"/>
      <c r="Y945" s="54"/>
      <c r="Z945" s="54"/>
      <c r="AA945" s="54"/>
      <c r="AB945" s="54"/>
      <c r="AC945" s="54"/>
      <c r="AD945" s="54"/>
      <c r="AE945" s="54"/>
    </row>
    <row r="946" s="54" customFormat="1" ht="21.75" customHeight="1">
      <c r="A946" s="414">
        <v>5</v>
      </c>
      <c r="B946" s="466" t="s">
        <v>796</v>
      </c>
      <c r="C946" s="79">
        <f t="shared" si="339"/>
        <v>1225756.8199999998</v>
      </c>
      <c r="D946" s="79">
        <f t="shared" si="340"/>
        <v>1119897.71</v>
      </c>
      <c r="E946" s="416">
        <v>0</v>
      </c>
      <c r="F946" s="416">
        <v>0</v>
      </c>
      <c r="G946" s="416">
        <v>205179.72</v>
      </c>
      <c r="H946" s="416">
        <v>262548.48999999999</v>
      </c>
      <c r="I946" s="416">
        <v>652169.5</v>
      </c>
      <c r="J946" s="417">
        <v>0</v>
      </c>
      <c r="K946" s="416">
        <v>0</v>
      </c>
      <c r="L946" s="416">
        <v>0</v>
      </c>
      <c r="M946" s="416">
        <v>0</v>
      </c>
      <c r="N946" s="416">
        <v>0</v>
      </c>
      <c r="O946" s="416">
        <v>0</v>
      </c>
      <c r="P946" s="416">
        <v>0</v>
      </c>
      <c r="Q946" s="416">
        <v>0</v>
      </c>
      <c r="R946" s="492">
        <f>17607.52+44400.91+20649.1+14260.26+8941.32</f>
        <v>105859.10999999999</v>
      </c>
      <c r="S946" s="416">
        <v>0</v>
      </c>
      <c r="T946" s="416">
        <v>0</v>
      </c>
      <c r="U946" s="54"/>
      <c r="V946" s="54"/>
      <c r="W946" s="54"/>
      <c r="X946" s="54"/>
      <c r="Y946" s="54"/>
      <c r="Z946" s="54"/>
      <c r="AA946" s="54"/>
      <c r="AB946" s="54"/>
      <c r="AC946" s="54"/>
      <c r="AD946" s="54"/>
      <c r="AE946" s="54"/>
    </row>
    <row r="947" s="54" customFormat="1" ht="21.75" customHeight="1">
      <c r="A947" s="414">
        <v>6</v>
      </c>
      <c r="B947" s="466" t="s">
        <v>549</v>
      </c>
      <c r="C947" s="79">
        <f t="shared" si="339"/>
        <v>4066986.5100000002</v>
      </c>
      <c r="D947" s="79">
        <f t="shared" si="340"/>
        <v>3981776.5000000005</v>
      </c>
      <c r="E947" s="416">
        <v>0</v>
      </c>
      <c r="F947" s="416">
        <v>2074809.1000000001</v>
      </c>
      <c r="G947" s="416">
        <v>666367.26000000001</v>
      </c>
      <c r="H947" s="416">
        <v>417818.70000000001</v>
      </c>
      <c r="I947" s="416">
        <v>822781.44000000006</v>
      </c>
      <c r="J947" s="417">
        <v>0</v>
      </c>
      <c r="K947" s="416">
        <v>0</v>
      </c>
      <c r="L947" s="416">
        <v>0</v>
      </c>
      <c r="M947" s="416">
        <v>0</v>
      </c>
      <c r="N947" s="416">
        <v>0</v>
      </c>
      <c r="O947" s="416">
        <v>0</v>
      </c>
      <c r="P947" s="416">
        <v>0</v>
      </c>
      <c r="Q947" s="416">
        <v>0</v>
      </c>
      <c r="R947" s="492">
        <v>85210.009999999995</v>
      </c>
      <c r="S947" s="416">
        <v>0</v>
      </c>
      <c r="T947" s="416">
        <v>0</v>
      </c>
      <c r="U947" s="54"/>
      <c r="V947" s="54"/>
      <c r="W947" s="54"/>
      <c r="X947" s="54"/>
      <c r="Y947" s="54"/>
      <c r="Z947" s="54"/>
      <c r="AA947" s="54"/>
      <c r="AB947" s="54"/>
      <c r="AC947" s="54"/>
      <c r="AD947" s="54"/>
      <c r="AE947" s="54"/>
    </row>
    <row r="948" s="54" customFormat="1" ht="21.75" customHeight="1">
      <c r="A948" s="414">
        <v>7</v>
      </c>
      <c r="B948" s="466" t="s">
        <v>554</v>
      </c>
      <c r="C948" s="79">
        <f t="shared" si="339"/>
        <v>6345617.2599999998</v>
      </c>
      <c r="D948" s="79">
        <f t="shared" si="340"/>
        <v>0</v>
      </c>
      <c r="E948" s="416">
        <v>0</v>
      </c>
      <c r="F948" s="416">
        <v>0</v>
      </c>
      <c r="G948" s="416">
        <v>0</v>
      </c>
      <c r="H948" s="416">
        <v>0</v>
      </c>
      <c r="I948" s="416">
        <v>0</v>
      </c>
      <c r="J948" s="417">
        <v>0</v>
      </c>
      <c r="K948" s="416">
        <v>0</v>
      </c>
      <c r="L948" s="416">
        <v>6345617.2599999998</v>
      </c>
      <c r="M948" s="416">
        <v>0</v>
      </c>
      <c r="N948" s="416">
        <v>0</v>
      </c>
      <c r="O948" s="416">
        <v>0</v>
      </c>
      <c r="P948" s="416">
        <v>0</v>
      </c>
      <c r="Q948" s="416">
        <v>0</v>
      </c>
      <c r="R948" s="492">
        <v>0</v>
      </c>
      <c r="S948" s="416">
        <v>0</v>
      </c>
      <c r="T948" s="416">
        <v>0</v>
      </c>
      <c r="U948" s="54"/>
      <c r="V948" s="54"/>
      <c r="W948" s="54"/>
      <c r="X948" s="54"/>
      <c r="Y948" s="54"/>
      <c r="Z948" s="54"/>
      <c r="AA948" s="54"/>
      <c r="AB948" s="54"/>
      <c r="AC948" s="54"/>
      <c r="AD948" s="54"/>
      <c r="AE948" s="54"/>
    </row>
    <row r="949" s="54" customFormat="1">
      <c r="A949" s="517"/>
      <c r="B949" s="518"/>
      <c r="C949" s="406"/>
      <c r="D949" s="406"/>
      <c r="E949" s="406"/>
      <c r="F949" s="406"/>
      <c r="G949" s="406"/>
      <c r="H949" s="406"/>
      <c r="I949" s="406"/>
      <c r="J949" s="406"/>
      <c r="K949" s="406"/>
      <c r="L949" s="406"/>
      <c r="M949" s="406"/>
      <c r="N949" s="406"/>
      <c r="O949" s="406"/>
      <c r="P949" s="406"/>
      <c r="Q949" s="406"/>
      <c r="R949" s="406"/>
      <c r="S949" s="406"/>
      <c r="T949" s="406"/>
      <c r="U949" s="54"/>
      <c r="V949" s="54"/>
      <c r="W949" s="54"/>
      <c r="X949" s="54"/>
      <c r="Y949" s="54"/>
      <c r="Z949" s="54"/>
      <c r="AA949" s="54"/>
      <c r="AB949" s="54"/>
      <c r="AC949" s="54"/>
      <c r="AD949" s="54"/>
      <c r="AE949" s="54"/>
      <c r="AF949" s="54"/>
      <c r="AG949" s="54"/>
      <c r="AH949" s="54"/>
      <c r="AI949" s="54"/>
      <c r="AJ949" s="54"/>
      <c r="AK949" s="54"/>
      <c r="AL949" s="54"/>
    </row>
    <row r="950" s="294" customFormat="1" ht="29.25" customHeight="1">
      <c r="A950" s="519" t="s">
        <v>797</v>
      </c>
      <c r="B950" s="519"/>
      <c r="C950" s="520"/>
      <c r="D950" s="520"/>
      <c r="E950" s="520"/>
      <c r="F950" s="520"/>
      <c r="G950" s="520"/>
      <c r="H950" s="520"/>
      <c r="I950" s="520"/>
      <c r="J950" s="520"/>
      <c r="K950" s="520"/>
      <c r="L950" s="520"/>
      <c r="M950" s="520"/>
      <c r="N950" s="520"/>
      <c r="O950" s="520"/>
      <c r="P950" s="520"/>
      <c r="Q950" s="520"/>
      <c r="R950" s="520"/>
      <c r="S950" s="520"/>
      <c r="T950" s="520"/>
      <c r="U950" s="294"/>
      <c r="V950" s="294"/>
      <c r="W950" s="294"/>
      <c r="X950" s="294"/>
      <c r="Y950" s="294"/>
      <c r="Z950" s="294"/>
      <c r="AA950" s="294"/>
      <c r="AB950" s="294"/>
      <c r="AC950" s="294"/>
      <c r="AD950" s="294"/>
      <c r="AE950" s="294"/>
      <c r="AF950" s="294"/>
      <c r="AG950" s="294"/>
      <c r="AH950" s="294"/>
      <c r="AI950" s="294"/>
      <c r="AJ950" s="294"/>
      <c r="AK950" s="294"/>
      <c r="AL950" s="294"/>
      <c r="AM950" s="294"/>
      <c r="AN950" s="294"/>
      <c r="AO950" s="294"/>
      <c r="AP950" s="294"/>
      <c r="AQ950" s="294"/>
      <c r="AR950" s="294"/>
    </row>
    <row r="951" s="294" customFormat="1" ht="27" customHeight="1">
      <c r="A951" s="521" t="s">
        <v>798</v>
      </c>
      <c r="B951" s="521"/>
      <c r="C951" s="522"/>
      <c r="D951" s="522"/>
      <c r="E951" s="522"/>
      <c r="F951" s="522"/>
      <c r="G951" s="522"/>
      <c r="H951" s="522"/>
      <c r="I951" s="522"/>
      <c r="J951" s="522"/>
      <c r="K951" s="522"/>
      <c r="L951" s="522"/>
      <c r="M951" s="522"/>
      <c r="N951" s="522"/>
      <c r="O951" s="522"/>
      <c r="P951" s="522"/>
      <c r="Q951" s="522"/>
      <c r="R951" s="522"/>
      <c r="S951" s="522"/>
      <c r="T951" s="520"/>
      <c r="U951" s="294"/>
      <c r="V951" s="294"/>
      <c r="W951" s="294"/>
      <c r="X951" s="294"/>
      <c r="Y951" s="294"/>
      <c r="Z951" s="294"/>
      <c r="AA951" s="294"/>
      <c r="AB951" s="294"/>
      <c r="AC951" s="294"/>
      <c r="AD951" s="294"/>
      <c r="AE951" s="294"/>
    </row>
    <row r="952" s="294" customFormat="1" ht="27" customHeight="1">
      <c r="A952" s="523" t="s">
        <v>38</v>
      </c>
      <c r="B952" s="524"/>
      <c r="C952" s="525">
        <f>C953+C992+C994+C996+C998+C1001+C1016+C1021+C1024+C1028+C1031</f>
        <v>46425427.529999986</v>
      </c>
      <c r="D952" s="525">
        <f>D953+D992+D994+D996+D998+D1001+D1016+D1021+D1024+D1028+D1031</f>
        <v>22247278.150000006</v>
      </c>
      <c r="E952" s="525">
        <f>E953+E992+E994+E996+E998+E1001+E1016+E1021+E1024+E1028+E1031</f>
        <v>2619617.0300000003</v>
      </c>
      <c r="F952" s="525">
        <f>F953+F992+F994+F996+F998+F1001+F1016+F1021+F1024+F1028+F1031</f>
        <v>9280696.0899999999</v>
      </c>
      <c r="G952" s="525">
        <f>G953+G992+G994+G996+G998+G1001+G1016+G1021+G1024+G1028+G1031</f>
        <v>4281263.4800000004</v>
      </c>
      <c r="H952" s="525">
        <f>H953+H992+H994+H996+H998+H1001+H1016+H1021+H1024+H1028+H1031</f>
        <v>5451406.9899999993</v>
      </c>
      <c r="I952" s="525">
        <f>I953+I992+I994+I996+I998+I1001+I1016+I1021+I1024+I1028+I1031</f>
        <v>614294.55999999982</v>
      </c>
      <c r="J952" s="526">
        <f>J953+J992+J994+J996+J998+J1001+J1016+J1021+J1024+J1028+J1031</f>
        <v>4</v>
      </c>
      <c r="K952" s="525">
        <f>K953+K992+K994+K996+K998+K1001+K1016+K1021+K1024+K1028+K1031</f>
        <v>11175386.35</v>
      </c>
      <c r="L952" s="525">
        <f>L953+L992+L994+L996+L998+L1001+L1016+L1021+L1024+L1028+L1031</f>
        <v>4017621.5800000001</v>
      </c>
      <c r="M952" s="525">
        <f>M953+M992+M994+M996+M998+M1001+M1016+M1021+M1024+M1028+M1031</f>
        <v>0</v>
      </c>
      <c r="N952" s="525">
        <f>N953+N992+N994+N996+N998+N1001+N1016+N1021+N1024+N1028+N1031</f>
        <v>8815531.0899999999</v>
      </c>
      <c r="O952" s="525">
        <f>O953+O992+O994+O996+O998+O1001+O1016+O1021+O1024+O1028+O1031</f>
        <v>0</v>
      </c>
      <c r="P952" s="525">
        <f>P953+P992+P994+P996+P998+P1001+P1016+P1021+P1024+P1028+P1031</f>
        <v>15000</v>
      </c>
      <c r="Q952" s="525">
        <f>Q953+Q992+Q994+Q996+Q998+Q1001+Q1016+Q1021+Q1024+Q1028+Q1031</f>
        <v>0</v>
      </c>
      <c r="R952" s="525">
        <f>R953+R992+R994+R996+R998+R1001+R1016+R1021+R1024+R1028+R1031</f>
        <v>72736</v>
      </c>
      <c r="S952" s="525">
        <f>S953+S992+S994+S996+S998+S1001+S1016+S1021+S1024+S1028+S1031</f>
        <v>81874.359999998473</v>
      </c>
      <c r="T952" s="525">
        <f>T953+T992+T994+T996+T998+T1001+T1016+T1021+T1024+T1028+T1031</f>
        <v>0</v>
      </c>
      <c r="U952" s="294"/>
      <c r="V952" s="294"/>
      <c r="W952" s="294"/>
      <c r="X952" s="294"/>
      <c r="Y952" s="294"/>
      <c r="Z952" s="294"/>
      <c r="AA952" s="294"/>
      <c r="AB952" s="294"/>
      <c r="AC952" s="294"/>
      <c r="AD952" s="294"/>
      <c r="AE952" s="294"/>
    </row>
    <row r="953" s="294" customFormat="1" ht="27" customHeight="1">
      <c r="A953" s="493" t="s">
        <v>41</v>
      </c>
      <c r="B953" s="494"/>
      <c r="C953" s="510">
        <f>SUM(C954:C991)</f>
        <v>28775439.439999998</v>
      </c>
      <c r="D953" s="510">
        <f>SUM(D954:D991)</f>
        <v>14096396.330000004</v>
      </c>
      <c r="E953" s="510">
        <f>SUM(E954:E991)</f>
        <v>2582579.0300000003</v>
      </c>
      <c r="F953" s="510">
        <f>SUM(F954:F991)</f>
        <v>1351297.0699999994</v>
      </c>
      <c r="G953" s="510">
        <f>SUM(G954:G991)</f>
        <v>4600248.0800000001</v>
      </c>
      <c r="H953" s="510">
        <f>SUM(H954:H991)</f>
        <v>4560930.3399999999</v>
      </c>
      <c r="I953" s="510">
        <f>SUM(I954:I991)</f>
        <v>1001341.8100000001</v>
      </c>
      <c r="J953" s="527">
        <f>SUM(J954:J991)</f>
        <v>4</v>
      </c>
      <c r="K953" s="510">
        <f>SUM(K954:K991)</f>
        <v>11175386.35</v>
      </c>
      <c r="L953" s="510">
        <f>SUM(L954:L991)</f>
        <v>0</v>
      </c>
      <c r="M953" s="510">
        <f>SUM(M954:M991)</f>
        <v>0</v>
      </c>
      <c r="N953" s="510">
        <f>SUM(N954:N991)</f>
        <v>3386044.4000000004</v>
      </c>
      <c r="O953" s="510">
        <f>SUM(O954:O991)</f>
        <v>0</v>
      </c>
      <c r="P953" s="510">
        <f>SUM(P954:P991)</f>
        <v>0</v>
      </c>
      <c r="Q953" s="510">
        <f>SUM(Q954:Q991)</f>
        <v>0</v>
      </c>
      <c r="R953" s="510">
        <f>SUM(R954:R991)</f>
        <v>35738</v>
      </c>
      <c r="S953" s="510">
        <f>SUM(S954:S991)</f>
        <v>81874.359999998473</v>
      </c>
      <c r="T953" s="510">
        <f>SUM(T954:T991)</f>
        <v>0</v>
      </c>
      <c r="U953" s="350"/>
      <c r="V953" s="350"/>
      <c r="W953" s="350"/>
      <c r="X953" s="350"/>
      <c r="Y953" s="350"/>
      <c r="Z953" s="350"/>
      <c r="AA953" s="350"/>
      <c r="AB953" s="350"/>
      <c r="AC953" s="350"/>
      <c r="AD953" s="350"/>
      <c r="AE953" s="350"/>
    </row>
    <row r="954" s="294" customFormat="1" ht="27" customHeight="1">
      <c r="A954" s="414">
        <v>1</v>
      </c>
      <c r="B954" s="436" t="s">
        <v>799</v>
      </c>
      <c r="C954" s="416">
        <f t="shared" ref="C954:C991" si="341">D954+K954+L954+M954+N954+O954+P954+Q954+R954+S954+T954</f>
        <v>241914</v>
      </c>
      <c r="D954" s="416">
        <f t="shared" ref="D954:D991" si="342">SUM(E954:I954)</f>
        <v>241914</v>
      </c>
      <c r="E954" s="418">
        <v>0</v>
      </c>
      <c r="F954" s="416">
        <v>0</v>
      </c>
      <c r="G954" s="416">
        <v>0</v>
      </c>
      <c r="H954" s="418">
        <v>0</v>
      </c>
      <c r="I954" s="418">
        <v>241914</v>
      </c>
      <c r="J954" s="417">
        <v>0</v>
      </c>
      <c r="K954" s="416">
        <v>0</v>
      </c>
      <c r="L954" s="418">
        <v>0</v>
      </c>
      <c r="M954" s="416">
        <v>0</v>
      </c>
      <c r="N954" s="416">
        <v>0</v>
      </c>
      <c r="O954" s="416">
        <v>0</v>
      </c>
      <c r="P954" s="418">
        <v>0</v>
      </c>
      <c r="Q954" s="416">
        <v>0</v>
      </c>
      <c r="R954" s="416">
        <v>0</v>
      </c>
      <c r="S954" s="416">
        <v>0</v>
      </c>
      <c r="T954" s="416">
        <v>0</v>
      </c>
      <c r="U954" s="54"/>
      <c r="V954" s="54"/>
      <c r="W954" s="54"/>
      <c r="X954" s="54"/>
      <c r="Y954" s="54"/>
      <c r="Z954" s="54"/>
      <c r="AA954" s="54"/>
      <c r="AB954" s="54"/>
      <c r="AC954" s="54"/>
      <c r="AD954" s="54"/>
      <c r="AE954" s="54"/>
    </row>
    <row r="955" s="294" customFormat="1" ht="27" customHeight="1">
      <c r="A955" s="414">
        <v>2</v>
      </c>
      <c r="B955" s="436" t="s">
        <v>800</v>
      </c>
      <c r="C955" s="416">
        <f t="shared" si="341"/>
        <v>2910900</v>
      </c>
      <c r="D955" s="416">
        <f t="shared" si="342"/>
        <v>0</v>
      </c>
      <c r="E955" s="418">
        <v>0</v>
      </c>
      <c r="F955" s="416">
        <v>0</v>
      </c>
      <c r="G955" s="418">
        <v>0</v>
      </c>
      <c r="H955" s="418">
        <v>0</v>
      </c>
      <c r="I955" s="418">
        <v>0</v>
      </c>
      <c r="J955" s="417">
        <v>0</v>
      </c>
      <c r="K955" s="416">
        <v>0</v>
      </c>
      <c r="L955" s="416">
        <v>0</v>
      </c>
      <c r="M955" s="416">
        <v>0</v>
      </c>
      <c r="N955" s="418">
        <v>2910900</v>
      </c>
      <c r="O955" s="416">
        <v>0</v>
      </c>
      <c r="P955" s="418">
        <v>0</v>
      </c>
      <c r="Q955" s="416">
        <v>0</v>
      </c>
      <c r="R955" s="416">
        <v>0</v>
      </c>
      <c r="S955" s="416">
        <v>0</v>
      </c>
      <c r="T955" s="416">
        <v>0</v>
      </c>
      <c r="U955" s="54"/>
      <c r="V955" s="54"/>
      <c r="W955" s="54"/>
      <c r="X955" s="54"/>
      <c r="Y955" s="54"/>
      <c r="Z955" s="54"/>
      <c r="AA955" s="54"/>
      <c r="AB955" s="54"/>
      <c r="AC955" s="54"/>
      <c r="AD955" s="54"/>
      <c r="AE955" s="54"/>
    </row>
    <row r="956" s="294" customFormat="1" ht="27" customHeight="1">
      <c r="A956" s="414">
        <v>3</v>
      </c>
      <c r="B956" s="436" t="s">
        <v>801</v>
      </c>
      <c r="C956" s="416">
        <f t="shared" si="341"/>
        <v>-5916708.8200000003</v>
      </c>
      <c r="D956" s="416">
        <f t="shared" si="342"/>
        <v>0</v>
      </c>
      <c r="E956" s="418">
        <v>0</v>
      </c>
      <c r="F956" s="416">
        <v>0</v>
      </c>
      <c r="G956" s="416">
        <v>0</v>
      </c>
      <c r="H956" s="418">
        <v>0</v>
      </c>
      <c r="I956" s="416">
        <v>0</v>
      </c>
      <c r="J956" s="417">
        <v>0</v>
      </c>
      <c r="K956" s="416">
        <v>-5916708.8200000003</v>
      </c>
      <c r="L956" s="416">
        <v>0</v>
      </c>
      <c r="M956" s="416">
        <v>0</v>
      </c>
      <c r="N956" s="418">
        <v>0</v>
      </c>
      <c r="O956" s="416">
        <v>0</v>
      </c>
      <c r="P956" s="418">
        <v>0</v>
      </c>
      <c r="Q956" s="416">
        <v>0</v>
      </c>
      <c r="R956" s="416">
        <v>0</v>
      </c>
      <c r="S956" s="416">
        <v>0</v>
      </c>
      <c r="T956" s="416">
        <v>0</v>
      </c>
      <c r="U956" s="54"/>
      <c r="V956" s="54"/>
      <c r="W956" s="54"/>
      <c r="X956" s="54"/>
      <c r="Y956" s="54"/>
      <c r="Z956" s="54"/>
      <c r="AA956" s="54"/>
      <c r="AB956" s="54"/>
      <c r="AC956" s="54"/>
      <c r="AD956" s="54"/>
      <c r="AE956" s="54"/>
    </row>
    <row r="957" s="294" customFormat="1" ht="27" customHeight="1">
      <c r="A957" s="414"/>
      <c r="B957" s="436" t="s">
        <v>801</v>
      </c>
      <c r="C957" s="416">
        <f t="shared" si="341"/>
        <v>5957481.9800000004</v>
      </c>
      <c r="D957" s="416">
        <f t="shared" si="342"/>
        <v>0</v>
      </c>
      <c r="E957" s="418">
        <v>0</v>
      </c>
      <c r="F957" s="416">
        <v>0</v>
      </c>
      <c r="G957" s="416">
        <v>0</v>
      </c>
      <c r="H957" s="418">
        <v>0</v>
      </c>
      <c r="I957" s="416">
        <v>0</v>
      </c>
      <c r="J957" s="417">
        <v>0</v>
      </c>
      <c r="K957" s="416">
        <v>5957481.9800000004</v>
      </c>
      <c r="L957" s="416">
        <v>0</v>
      </c>
      <c r="M957" s="416">
        <v>0</v>
      </c>
      <c r="N957" s="418">
        <v>0</v>
      </c>
      <c r="O957" s="416">
        <v>0</v>
      </c>
      <c r="P957" s="418">
        <v>0</v>
      </c>
      <c r="Q957" s="416">
        <v>0</v>
      </c>
      <c r="R957" s="416">
        <v>0</v>
      </c>
      <c r="S957" s="416">
        <v>0</v>
      </c>
      <c r="T957" s="416">
        <v>0</v>
      </c>
      <c r="U957" s="54"/>
      <c r="V957" s="54"/>
      <c r="W957" s="54"/>
      <c r="X957" s="54"/>
      <c r="Y957" s="54"/>
      <c r="Z957" s="54"/>
      <c r="AA957" s="54"/>
      <c r="AB957" s="54"/>
      <c r="AC957" s="54"/>
      <c r="AD957" s="54"/>
      <c r="AE957" s="54"/>
    </row>
    <row r="958" s="294" customFormat="1" ht="27" customHeight="1">
      <c r="A958" s="414">
        <v>3</v>
      </c>
      <c r="B958" s="436" t="s">
        <v>802</v>
      </c>
      <c r="C958" s="419">
        <f t="shared" si="341"/>
        <v>-5149178.9500000002</v>
      </c>
      <c r="D958" s="416">
        <f t="shared" si="342"/>
        <v>0</v>
      </c>
      <c r="E958" s="418">
        <v>0</v>
      </c>
      <c r="F958" s="419">
        <v>0</v>
      </c>
      <c r="G958" s="416">
        <v>0</v>
      </c>
      <c r="H958" s="418">
        <v>0</v>
      </c>
      <c r="I958" s="419">
        <v>0</v>
      </c>
      <c r="J958" s="417">
        <v>0</v>
      </c>
      <c r="K958" s="419">
        <v>-5149178.9500000002</v>
      </c>
      <c r="L958" s="416">
        <v>0</v>
      </c>
      <c r="M958" s="419">
        <v>0</v>
      </c>
      <c r="N958" s="418">
        <v>0</v>
      </c>
      <c r="O958" s="419">
        <v>0</v>
      </c>
      <c r="P958" s="418">
        <v>0</v>
      </c>
      <c r="Q958" s="419">
        <v>0</v>
      </c>
      <c r="R958" s="416">
        <v>0</v>
      </c>
      <c r="S958" s="419">
        <v>0</v>
      </c>
      <c r="T958" s="416">
        <v>0</v>
      </c>
      <c r="U958" s="110"/>
      <c r="V958" s="110"/>
      <c r="W958" s="110"/>
      <c r="X958" s="110"/>
      <c r="Y958" s="110"/>
      <c r="Z958" s="110"/>
      <c r="AA958" s="110"/>
      <c r="AB958" s="110"/>
      <c r="AC958" s="110"/>
      <c r="AD958" s="110"/>
      <c r="AE958" s="110"/>
    </row>
    <row r="959" s="294" customFormat="1" ht="27" customHeight="1">
      <c r="A959" s="414"/>
      <c r="B959" s="436" t="s">
        <v>802</v>
      </c>
      <c r="C959" s="416">
        <f t="shared" si="341"/>
        <v>5353057.2000000002</v>
      </c>
      <c r="D959" s="419">
        <f t="shared" si="342"/>
        <v>0</v>
      </c>
      <c r="E959" s="418">
        <v>0</v>
      </c>
      <c r="F959" s="416">
        <v>0</v>
      </c>
      <c r="G959" s="419">
        <v>0</v>
      </c>
      <c r="H959" s="418">
        <v>0</v>
      </c>
      <c r="I959" s="416">
        <v>0</v>
      </c>
      <c r="J959" s="462">
        <v>0</v>
      </c>
      <c r="K959" s="416">
        <v>5353057.2000000002</v>
      </c>
      <c r="L959" s="419">
        <v>0</v>
      </c>
      <c r="M959" s="416">
        <v>0</v>
      </c>
      <c r="N959" s="418">
        <v>0</v>
      </c>
      <c r="O959" s="416">
        <v>0</v>
      </c>
      <c r="P959" s="418">
        <v>0</v>
      </c>
      <c r="Q959" s="416">
        <v>0</v>
      </c>
      <c r="R959" s="419">
        <v>0</v>
      </c>
      <c r="S959" s="416">
        <v>0</v>
      </c>
      <c r="T959" s="416">
        <v>0</v>
      </c>
      <c r="U959" s="110"/>
      <c r="V959" s="110"/>
      <c r="W959" s="110"/>
      <c r="X959" s="110"/>
      <c r="Y959" s="110"/>
      <c r="Z959" s="110"/>
      <c r="AA959" s="110"/>
      <c r="AB959" s="110"/>
      <c r="AC959" s="110"/>
      <c r="AD959" s="110"/>
      <c r="AE959" s="110"/>
    </row>
    <row r="960" s="294" customFormat="1" ht="27" customHeight="1">
      <c r="A960" s="414">
        <v>4</v>
      </c>
      <c r="B960" s="436" t="s">
        <v>586</v>
      </c>
      <c r="C960" s="416">
        <f t="shared" si="341"/>
        <v>1494789.0800000001</v>
      </c>
      <c r="D960" s="416">
        <f t="shared" si="342"/>
        <v>1494789.0800000001</v>
      </c>
      <c r="E960" s="418">
        <v>1494789.0800000001</v>
      </c>
      <c r="F960" s="416">
        <v>0</v>
      </c>
      <c r="G960" s="418">
        <v>0</v>
      </c>
      <c r="H960" s="418">
        <v>0</v>
      </c>
      <c r="I960" s="418">
        <v>0</v>
      </c>
      <c r="J960" s="417">
        <v>0</v>
      </c>
      <c r="K960" s="416">
        <v>0</v>
      </c>
      <c r="L960" s="416">
        <v>0</v>
      </c>
      <c r="M960" s="416">
        <v>0</v>
      </c>
      <c r="N960" s="418">
        <v>0</v>
      </c>
      <c r="O960" s="416">
        <v>0</v>
      </c>
      <c r="P960" s="418">
        <v>0</v>
      </c>
      <c r="Q960" s="416">
        <v>0</v>
      </c>
      <c r="R960" s="416">
        <v>0</v>
      </c>
      <c r="S960" s="416">
        <v>0</v>
      </c>
      <c r="T960" s="416">
        <v>0</v>
      </c>
      <c r="U960" s="54"/>
      <c r="V960" s="54"/>
      <c r="W960" s="54"/>
      <c r="X960" s="54"/>
      <c r="Y960" s="54"/>
      <c r="Z960" s="54"/>
      <c r="AA960" s="54"/>
      <c r="AB960" s="54"/>
      <c r="AC960" s="54"/>
      <c r="AD960" s="54"/>
      <c r="AE960" s="54"/>
    </row>
    <row r="961" s="294" customFormat="1" ht="27" customHeight="1">
      <c r="A961" s="414">
        <v>5</v>
      </c>
      <c r="B961" s="436" t="s">
        <v>803</v>
      </c>
      <c r="C961" s="416">
        <f t="shared" si="341"/>
        <v>-6243297.3399999999</v>
      </c>
      <c r="D961" s="416">
        <f t="shared" si="342"/>
        <v>0</v>
      </c>
      <c r="E961" s="418">
        <v>0</v>
      </c>
      <c r="F961" s="416">
        <v>0</v>
      </c>
      <c r="G961" s="416">
        <v>0</v>
      </c>
      <c r="H961" s="418">
        <v>0</v>
      </c>
      <c r="I961" s="416">
        <v>0</v>
      </c>
      <c r="J961" s="417">
        <v>0</v>
      </c>
      <c r="K961" s="416">
        <v>0</v>
      </c>
      <c r="L961" s="416">
        <v>0</v>
      </c>
      <c r="M961" s="416">
        <v>0</v>
      </c>
      <c r="N961" s="418">
        <v>0</v>
      </c>
      <c r="O961" s="416">
        <v>0</v>
      </c>
      <c r="P961" s="418">
        <v>0</v>
      </c>
      <c r="Q961" s="416">
        <v>0</v>
      </c>
      <c r="R961" s="416">
        <v>0</v>
      </c>
      <c r="S961" s="416">
        <v>-6243297.3399999999</v>
      </c>
      <c r="T961" s="416">
        <v>0</v>
      </c>
      <c r="U961" s="54"/>
      <c r="V961" s="54"/>
      <c r="W961" s="54"/>
      <c r="X961" s="54"/>
      <c r="Y961" s="54"/>
      <c r="Z961" s="54"/>
      <c r="AA961" s="54"/>
      <c r="AB961" s="54"/>
      <c r="AC961" s="54"/>
      <c r="AD961" s="54"/>
      <c r="AE961" s="54"/>
    </row>
    <row r="962" s="294" customFormat="1" ht="27" customHeight="1">
      <c r="A962" s="414"/>
      <c r="B962" s="436" t="s">
        <v>803</v>
      </c>
      <c r="C962" s="416">
        <f t="shared" si="341"/>
        <v>6029143.8399999999</v>
      </c>
      <c r="D962" s="416">
        <f t="shared" si="342"/>
        <v>0</v>
      </c>
      <c r="E962" s="418">
        <v>0</v>
      </c>
      <c r="F962" s="416">
        <v>0</v>
      </c>
      <c r="G962" s="416">
        <v>0</v>
      </c>
      <c r="H962" s="418">
        <v>0</v>
      </c>
      <c r="I962" s="416">
        <v>0</v>
      </c>
      <c r="J962" s="417">
        <v>0</v>
      </c>
      <c r="K962" s="416">
        <v>0</v>
      </c>
      <c r="L962" s="416">
        <v>0</v>
      </c>
      <c r="M962" s="416">
        <v>0</v>
      </c>
      <c r="N962" s="418">
        <v>0</v>
      </c>
      <c r="O962" s="416">
        <v>0</v>
      </c>
      <c r="P962" s="418">
        <v>0</v>
      </c>
      <c r="Q962" s="416">
        <v>0</v>
      </c>
      <c r="R962" s="416">
        <v>0</v>
      </c>
      <c r="S962" s="416">
        <v>6029143.8399999999</v>
      </c>
      <c r="T962" s="416">
        <v>0</v>
      </c>
      <c r="U962" s="54"/>
      <c r="V962" s="54"/>
      <c r="W962" s="54"/>
      <c r="X962" s="54"/>
      <c r="Y962" s="54"/>
      <c r="Z962" s="54"/>
      <c r="AA962" s="54"/>
      <c r="AB962" s="54"/>
      <c r="AC962" s="54"/>
      <c r="AD962" s="54"/>
      <c r="AE962" s="54"/>
    </row>
    <row r="963" s="294" customFormat="1" ht="27" customHeight="1">
      <c r="A963" s="414">
        <v>6</v>
      </c>
      <c r="B963" s="436" t="s">
        <v>804</v>
      </c>
      <c r="C963" s="416">
        <f t="shared" si="341"/>
        <v>-5040429.5999999996</v>
      </c>
      <c r="D963" s="416">
        <f t="shared" si="342"/>
        <v>0</v>
      </c>
      <c r="E963" s="418">
        <v>0</v>
      </c>
      <c r="F963" s="416">
        <v>0</v>
      </c>
      <c r="G963" s="416">
        <v>0</v>
      </c>
      <c r="H963" s="418">
        <v>0</v>
      </c>
      <c r="I963" s="416">
        <v>0</v>
      </c>
      <c r="J963" s="417">
        <v>0</v>
      </c>
      <c r="K963" s="416">
        <v>0</v>
      </c>
      <c r="L963" s="416">
        <v>0</v>
      </c>
      <c r="M963" s="416">
        <v>0</v>
      </c>
      <c r="N963" s="418">
        <v>-5040429.5999999996</v>
      </c>
      <c r="O963" s="416">
        <v>0</v>
      </c>
      <c r="P963" s="418">
        <v>0</v>
      </c>
      <c r="Q963" s="416">
        <v>0</v>
      </c>
      <c r="R963" s="416">
        <v>0</v>
      </c>
      <c r="S963" s="416">
        <v>0</v>
      </c>
      <c r="T963" s="416">
        <v>0</v>
      </c>
      <c r="U963" s="110"/>
      <c r="V963" s="110"/>
      <c r="W963" s="110"/>
      <c r="X963" s="110"/>
      <c r="Y963" s="110"/>
      <c r="Z963" s="110"/>
      <c r="AA963" s="110"/>
      <c r="AB963" s="110"/>
      <c r="AC963" s="110"/>
      <c r="AD963" s="110"/>
      <c r="AE963" s="110"/>
    </row>
    <row r="964" s="294" customFormat="1" ht="27" customHeight="1">
      <c r="A964" s="414"/>
      <c r="B964" s="436" t="s">
        <v>804</v>
      </c>
      <c r="C964" s="416">
        <f t="shared" si="341"/>
        <v>5555044</v>
      </c>
      <c r="D964" s="416">
        <f t="shared" si="342"/>
        <v>0</v>
      </c>
      <c r="E964" s="418">
        <v>0</v>
      </c>
      <c r="F964" s="416">
        <v>0</v>
      </c>
      <c r="G964" s="416">
        <v>0</v>
      </c>
      <c r="H964" s="418">
        <v>0</v>
      </c>
      <c r="I964" s="416">
        <v>0</v>
      </c>
      <c r="J964" s="417">
        <v>0</v>
      </c>
      <c r="K964" s="416">
        <v>0</v>
      </c>
      <c r="L964" s="416">
        <v>0</v>
      </c>
      <c r="M964" s="416">
        <v>0</v>
      </c>
      <c r="N964" s="418">
        <v>5555044</v>
      </c>
      <c r="O964" s="416">
        <v>0</v>
      </c>
      <c r="P964" s="418">
        <v>0</v>
      </c>
      <c r="Q964" s="416">
        <v>0</v>
      </c>
      <c r="R964" s="416">
        <v>0</v>
      </c>
      <c r="S964" s="416">
        <v>0</v>
      </c>
      <c r="T964" s="416">
        <v>0</v>
      </c>
      <c r="U964" s="110"/>
      <c r="V964" s="110"/>
      <c r="W964" s="110"/>
      <c r="X964" s="110"/>
      <c r="Y964" s="110"/>
      <c r="Z964" s="110"/>
      <c r="AA964" s="110"/>
      <c r="AB964" s="110"/>
      <c r="AC964" s="110"/>
      <c r="AD964" s="110"/>
      <c r="AE964" s="110"/>
    </row>
    <row r="965" s="294" customFormat="1" ht="27" customHeight="1">
      <c r="A965" s="414">
        <v>6</v>
      </c>
      <c r="B965" s="436" t="s">
        <v>805</v>
      </c>
      <c r="C965" s="416">
        <f t="shared" si="341"/>
        <v>-6359734.96</v>
      </c>
      <c r="D965" s="416">
        <f t="shared" si="342"/>
        <v>0</v>
      </c>
      <c r="E965" s="418">
        <v>0</v>
      </c>
      <c r="F965" s="416">
        <v>0</v>
      </c>
      <c r="G965" s="416">
        <v>0</v>
      </c>
      <c r="H965" s="418">
        <v>0</v>
      </c>
      <c r="I965" s="416">
        <v>0</v>
      </c>
      <c r="J965" s="417">
        <v>0</v>
      </c>
      <c r="K965" s="416">
        <v>-6359734.96</v>
      </c>
      <c r="L965" s="416">
        <v>0</v>
      </c>
      <c r="M965" s="416">
        <v>0</v>
      </c>
      <c r="N965" s="418">
        <v>0</v>
      </c>
      <c r="O965" s="416">
        <v>0</v>
      </c>
      <c r="P965" s="418">
        <v>0</v>
      </c>
      <c r="Q965" s="416">
        <v>0</v>
      </c>
      <c r="R965" s="416">
        <v>0</v>
      </c>
      <c r="S965" s="416">
        <v>0</v>
      </c>
      <c r="T965" s="416">
        <v>0</v>
      </c>
      <c r="U965" s="54"/>
      <c r="V965" s="54"/>
      <c r="W965" s="54"/>
      <c r="X965" s="54"/>
      <c r="Y965" s="54"/>
      <c r="Z965" s="54"/>
      <c r="AA965" s="54"/>
      <c r="AB965" s="54"/>
      <c r="AC965" s="54"/>
      <c r="AD965" s="54"/>
      <c r="AE965" s="54"/>
    </row>
    <row r="966" s="294" customFormat="1" ht="27" customHeight="1">
      <c r="A966" s="414"/>
      <c r="B966" s="436" t="s">
        <v>805</v>
      </c>
      <c r="C966" s="416">
        <f t="shared" si="341"/>
        <v>6472054.7699999996</v>
      </c>
      <c r="D966" s="416">
        <f t="shared" si="342"/>
        <v>0</v>
      </c>
      <c r="E966" s="418">
        <v>0</v>
      </c>
      <c r="F966" s="416">
        <v>0</v>
      </c>
      <c r="G966" s="416">
        <v>0</v>
      </c>
      <c r="H966" s="418">
        <v>0</v>
      </c>
      <c r="I966" s="416">
        <v>0</v>
      </c>
      <c r="J966" s="417">
        <v>0</v>
      </c>
      <c r="K966" s="416">
        <v>6472054.7699999996</v>
      </c>
      <c r="L966" s="416">
        <v>0</v>
      </c>
      <c r="M966" s="416">
        <v>0</v>
      </c>
      <c r="N966" s="418">
        <v>0</v>
      </c>
      <c r="O966" s="416">
        <v>0</v>
      </c>
      <c r="P966" s="418">
        <v>0</v>
      </c>
      <c r="Q966" s="416">
        <v>0</v>
      </c>
      <c r="R966" s="416">
        <v>0</v>
      </c>
      <c r="S966" s="416">
        <v>0</v>
      </c>
      <c r="T966" s="416">
        <v>0</v>
      </c>
      <c r="U966" s="54"/>
      <c r="V966" s="54"/>
      <c r="W966" s="54"/>
      <c r="X966" s="54"/>
      <c r="Y966" s="54"/>
      <c r="Z966" s="54"/>
      <c r="AA966" s="54"/>
      <c r="AB966" s="54"/>
      <c r="AC966" s="54"/>
      <c r="AD966" s="54"/>
      <c r="AE966" s="54"/>
    </row>
    <row r="967" s="294" customFormat="1" ht="27" customHeight="1">
      <c r="A967" s="414">
        <v>7</v>
      </c>
      <c r="B967" s="436" t="s">
        <v>806</v>
      </c>
      <c r="C967" s="416">
        <f t="shared" si="341"/>
        <v>5120728.3900000006</v>
      </c>
      <c r="D967" s="416">
        <f t="shared" si="342"/>
        <v>5120728.3900000006</v>
      </c>
      <c r="E967" s="418">
        <v>0</v>
      </c>
      <c r="F967" s="416">
        <v>0</v>
      </c>
      <c r="G967" s="418">
        <v>2498422.7400000002</v>
      </c>
      <c r="H967" s="418">
        <v>2622305.6499999999</v>
      </c>
      <c r="I967" s="418">
        <v>0</v>
      </c>
      <c r="J967" s="417">
        <v>0</v>
      </c>
      <c r="K967" s="416">
        <v>0</v>
      </c>
      <c r="L967" s="416">
        <v>0</v>
      </c>
      <c r="M967" s="416">
        <v>0</v>
      </c>
      <c r="N967" s="418">
        <v>0</v>
      </c>
      <c r="O967" s="416">
        <v>0</v>
      </c>
      <c r="P967" s="418">
        <v>0</v>
      </c>
      <c r="Q967" s="416">
        <v>0</v>
      </c>
      <c r="R967" s="416">
        <v>0</v>
      </c>
      <c r="S967" s="416">
        <v>0</v>
      </c>
      <c r="T967" s="416">
        <v>0</v>
      </c>
      <c r="U967" s="54"/>
      <c r="V967" s="54"/>
      <c r="W967" s="54"/>
      <c r="X967" s="54"/>
      <c r="Y967" s="54"/>
      <c r="Z967" s="54"/>
      <c r="AA967" s="54"/>
      <c r="AB967" s="54"/>
      <c r="AC967" s="54"/>
      <c r="AD967" s="54"/>
      <c r="AE967" s="54"/>
    </row>
    <row r="968" s="294" customFormat="1" ht="27" customHeight="1">
      <c r="A968" s="414">
        <v>8</v>
      </c>
      <c r="B968" s="436" t="s">
        <v>807</v>
      </c>
      <c r="C968" s="419">
        <f t="shared" si="341"/>
        <v>2833148.8399999999</v>
      </c>
      <c r="D968" s="416">
        <f t="shared" si="342"/>
        <v>2833148.8399999999</v>
      </c>
      <c r="E968" s="418">
        <v>0</v>
      </c>
      <c r="F968" s="419">
        <v>794582.56999999995</v>
      </c>
      <c r="G968" s="418">
        <v>962577.84999999998</v>
      </c>
      <c r="H968" s="418">
        <v>316560.60999999999</v>
      </c>
      <c r="I968" s="418">
        <v>759427.81000000006</v>
      </c>
      <c r="J968" s="462">
        <v>0</v>
      </c>
      <c r="K968" s="416">
        <v>0</v>
      </c>
      <c r="L968" s="419">
        <v>0</v>
      </c>
      <c r="M968" s="416">
        <v>0</v>
      </c>
      <c r="N968" s="418">
        <v>0</v>
      </c>
      <c r="O968" s="419">
        <v>0</v>
      </c>
      <c r="P968" s="418">
        <v>0</v>
      </c>
      <c r="Q968" s="419">
        <v>0</v>
      </c>
      <c r="R968" s="416">
        <v>0</v>
      </c>
      <c r="S968" s="419">
        <v>0</v>
      </c>
      <c r="T968" s="416">
        <v>0</v>
      </c>
      <c r="U968" s="54"/>
      <c r="V968" s="54"/>
      <c r="W968" s="54"/>
      <c r="X968" s="54"/>
      <c r="Y968" s="54"/>
      <c r="Z968" s="54"/>
      <c r="AA968" s="54"/>
      <c r="AB968" s="54"/>
      <c r="AC968" s="54"/>
      <c r="AD968" s="54"/>
      <c r="AE968" s="54"/>
    </row>
    <row r="969" s="294" customFormat="1" ht="27" customHeight="1">
      <c r="A969" s="414">
        <v>9</v>
      </c>
      <c r="B969" s="436" t="s">
        <v>174</v>
      </c>
      <c r="C969" s="416">
        <f t="shared" si="341"/>
        <v>-10693184.220000001</v>
      </c>
      <c r="D969" s="416">
        <f t="shared" si="342"/>
        <v>0</v>
      </c>
      <c r="E969" s="418">
        <v>0</v>
      </c>
      <c r="F969" s="416">
        <v>0</v>
      </c>
      <c r="G969" s="416">
        <v>0</v>
      </c>
      <c r="H969" s="418">
        <v>0</v>
      </c>
      <c r="I969" s="416">
        <v>0</v>
      </c>
      <c r="J969" s="417">
        <v>0</v>
      </c>
      <c r="K969" s="416">
        <v>0</v>
      </c>
      <c r="L969" s="416">
        <v>0</v>
      </c>
      <c r="M969" s="416">
        <v>0</v>
      </c>
      <c r="N969" s="418">
        <v>0</v>
      </c>
      <c r="O969" s="416">
        <v>0</v>
      </c>
      <c r="P969" s="418">
        <v>0</v>
      </c>
      <c r="Q969" s="416">
        <v>0</v>
      </c>
      <c r="R969" s="416">
        <v>0</v>
      </c>
      <c r="S969" s="416">
        <v>-10693184.220000001</v>
      </c>
      <c r="T969" s="416">
        <v>0</v>
      </c>
      <c r="U969" s="54"/>
      <c r="V969" s="54"/>
      <c r="W969" s="54"/>
      <c r="X969" s="54"/>
      <c r="Y969" s="54"/>
      <c r="Z969" s="54"/>
      <c r="AA969" s="54"/>
      <c r="AB969" s="54"/>
      <c r="AC969" s="54"/>
      <c r="AD969" s="54"/>
      <c r="AE969" s="54"/>
    </row>
    <row r="970" s="294" customFormat="1" ht="27" customHeight="1">
      <c r="A970" s="414"/>
      <c r="B970" s="436" t="s">
        <v>174</v>
      </c>
      <c r="C970" s="416">
        <f t="shared" si="341"/>
        <v>10795086.539999999</v>
      </c>
      <c r="D970" s="419">
        <f t="shared" si="342"/>
        <v>0</v>
      </c>
      <c r="E970" s="418">
        <v>0</v>
      </c>
      <c r="F970" s="416">
        <v>0</v>
      </c>
      <c r="G970" s="419">
        <v>0</v>
      </c>
      <c r="H970" s="418">
        <v>0</v>
      </c>
      <c r="I970" s="416">
        <v>0</v>
      </c>
      <c r="J970" s="462">
        <v>0</v>
      </c>
      <c r="K970" s="416">
        <v>0</v>
      </c>
      <c r="L970" s="419">
        <v>0</v>
      </c>
      <c r="M970" s="416">
        <v>0</v>
      </c>
      <c r="N970" s="418">
        <v>0</v>
      </c>
      <c r="O970" s="416">
        <v>0</v>
      </c>
      <c r="P970" s="418">
        <v>0</v>
      </c>
      <c r="Q970" s="416">
        <v>0</v>
      </c>
      <c r="R970" s="419">
        <v>0</v>
      </c>
      <c r="S970" s="416">
        <v>10795086.539999999</v>
      </c>
      <c r="T970" s="416">
        <v>0</v>
      </c>
      <c r="U970" s="54"/>
      <c r="V970" s="54"/>
      <c r="W970" s="54"/>
      <c r="X970" s="54"/>
      <c r="Y970" s="54"/>
      <c r="Z970" s="54"/>
      <c r="AA970" s="54"/>
      <c r="AB970" s="54"/>
      <c r="AC970" s="54"/>
      <c r="AD970" s="54"/>
      <c r="AE970" s="54"/>
    </row>
    <row r="971" s="294" customFormat="1" ht="27" customHeight="1">
      <c r="A971" s="414">
        <v>10</v>
      </c>
      <c r="B971" s="436" t="s">
        <v>808</v>
      </c>
      <c r="C971" s="416">
        <f t="shared" si="341"/>
        <v>1476875.8</v>
      </c>
      <c r="D971" s="416">
        <f t="shared" si="342"/>
        <v>1476875.8</v>
      </c>
      <c r="E971" s="418">
        <v>0</v>
      </c>
      <c r="F971" s="416">
        <v>0</v>
      </c>
      <c r="G971" s="418">
        <v>847887.48999999999</v>
      </c>
      <c r="H971" s="418">
        <v>628988.31000000006</v>
      </c>
      <c r="I971" s="418">
        <v>0</v>
      </c>
      <c r="J971" s="417">
        <v>0</v>
      </c>
      <c r="K971" s="416">
        <v>0</v>
      </c>
      <c r="L971" s="416">
        <v>0</v>
      </c>
      <c r="M971" s="416">
        <v>0</v>
      </c>
      <c r="N971" s="418">
        <v>0</v>
      </c>
      <c r="O971" s="416">
        <v>0</v>
      </c>
      <c r="P971" s="418">
        <v>0</v>
      </c>
      <c r="Q971" s="416">
        <v>0</v>
      </c>
      <c r="R971" s="416">
        <v>0</v>
      </c>
      <c r="S971" s="416">
        <v>0</v>
      </c>
      <c r="T971" s="416">
        <v>0</v>
      </c>
      <c r="U971" s="54"/>
      <c r="V971" s="54"/>
      <c r="W971" s="54"/>
      <c r="X971" s="54"/>
      <c r="Y971" s="54"/>
      <c r="Z971" s="54"/>
      <c r="AA971" s="54"/>
      <c r="AB971" s="54"/>
      <c r="AC971" s="54"/>
      <c r="AD971" s="54"/>
      <c r="AE971" s="54"/>
    </row>
    <row r="972" s="294" customFormat="1" ht="27" customHeight="1">
      <c r="A972" s="414">
        <v>11</v>
      </c>
      <c r="B972" s="436" t="s">
        <v>809</v>
      </c>
      <c r="C972" s="416">
        <f t="shared" si="341"/>
        <v>35738</v>
      </c>
      <c r="D972" s="416">
        <f t="shared" si="342"/>
        <v>0</v>
      </c>
      <c r="E972" s="418">
        <v>0</v>
      </c>
      <c r="F972" s="416">
        <v>0</v>
      </c>
      <c r="G972" s="418">
        <v>0</v>
      </c>
      <c r="H972" s="418">
        <v>0</v>
      </c>
      <c r="I972" s="418">
        <v>0</v>
      </c>
      <c r="J972" s="417">
        <v>0</v>
      </c>
      <c r="K972" s="416">
        <v>0</v>
      </c>
      <c r="L972" s="416">
        <v>0</v>
      </c>
      <c r="M972" s="416">
        <v>0</v>
      </c>
      <c r="N972" s="418">
        <v>0</v>
      </c>
      <c r="O972" s="416">
        <v>0</v>
      </c>
      <c r="P972" s="418">
        <v>0</v>
      </c>
      <c r="Q972" s="416">
        <v>0</v>
      </c>
      <c r="R972" s="416">
        <v>35738</v>
      </c>
      <c r="S972" s="416">
        <v>0</v>
      </c>
      <c r="T972" s="416">
        <v>0</v>
      </c>
      <c r="U972" s="54"/>
      <c r="V972" s="54"/>
      <c r="W972" s="54"/>
      <c r="X972" s="54"/>
      <c r="Y972" s="54"/>
      <c r="Z972" s="54"/>
      <c r="AA972" s="54"/>
      <c r="AB972" s="54"/>
      <c r="AC972" s="54"/>
      <c r="AD972" s="54"/>
      <c r="AE972" s="54"/>
    </row>
    <row r="973" s="294" customFormat="1" ht="27" customHeight="1">
      <c r="A973" s="414">
        <v>12</v>
      </c>
      <c r="B973" s="436" t="s">
        <v>810</v>
      </c>
      <c r="C973" s="416">
        <f t="shared" si="341"/>
        <v>3472303.25</v>
      </c>
      <c r="D973" s="416">
        <f t="shared" si="342"/>
        <v>0</v>
      </c>
      <c r="E973" s="418">
        <v>0</v>
      </c>
      <c r="F973" s="416">
        <v>0</v>
      </c>
      <c r="G973" s="418">
        <v>0</v>
      </c>
      <c r="H973" s="418">
        <v>0</v>
      </c>
      <c r="I973" s="418">
        <v>0</v>
      </c>
      <c r="J973" s="417">
        <v>1</v>
      </c>
      <c r="K973" s="416">
        <v>3472303.25</v>
      </c>
      <c r="L973" s="416">
        <v>0</v>
      </c>
      <c r="M973" s="416">
        <v>0</v>
      </c>
      <c r="N973" s="418">
        <v>0</v>
      </c>
      <c r="O973" s="416">
        <v>0</v>
      </c>
      <c r="P973" s="418">
        <v>0</v>
      </c>
      <c r="Q973" s="416">
        <v>0</v>
      </c>
      <c r="R973" s="416">
        <v>0</v>
      </c>
      <c r="S973" s="416">
        <v>0</v>
      </c>
      <c r="T973" s="416">
        <v>0</v>
      </c>
      <c r="U973" s="54"/>
      <c r="V973" s="54"/>
      <c r="W973" s="54"/>
      <c r="X973" s="54"/>
      <c r="Y973" s="54"/>
      <c r="Z973" s="54"/>
      <c r="AA973" s="54"/>
      <c r="AB973" s="54"/>
      <c r="AC973" s="54"/>
      <c r="AD973" s="54"/>
      <c r="AE973" s="54"/>
    </row>
    <row r="974" s="294" customFormat="1" ht="27" customHeight="1">
      <c r="A974" s="414">
        <v>12</v>
      </c>
      <c r="B974" s="436" t="s">
        <v>1398</v>
      </c>
      <c r="C974" s="419">
        <f t="shared" si="341"/>
        <v>1087519.95</v>
      </c>
      <c r="D974" s="416">
        <f t="shared" si="342"/>
        <v>1087519.95</v>
      </c>
      <c r="E974" s="418">
        <v>1087519.95</v>
      </c>
      <c r="F974" s="419">
        <v>0</v>
      </c>
      <c r="G974" s="418">
        <v>0</v>
      </c>
      <c r="H974" s="418">
        <v>0</v>
      </c>
      <c r="I974" s="418">
        <v>0</v>
      </c>
      <c r="J974" s="462">
        <v>0</v>
      </c>
      <c r="K974" s="416">
        <v>0</v>
      </c>
      <c r="L974" s="419">
        <v>0</v>
      </c>
      <c r="M974" s="416">
        <v>0</v>
      </c>
      <c r="N974" s="418">
        <v>0</v>
      </c>
      <c r="O974" s="419">
        <v>0</v>
      </c>
      <c r="P974" s="418">
        <v>0</v>
      </c>
      <c r="Q974" s="419">
        <v>0</v>
      </c>
      <c r="R974" s="416">
        <v>0</v>
      </c>
      <c r="S974" s="419">
        <v>0</v>
      </c>
      <c r="T974" s="416">
        <v>0</v>
      </c>
      <c r="U974" s="110"/>
      <c r="V974" s="110"/>
      <c r="W974" s="110"/>
      <c r="X974" s="110"/>
      <c r="Y974" s="110"/>
      <c r="Z974" s="110"/>
      <c r="AA974" s="110"/>
      <c r="AB974" s="110"/>
      <c r="AC974" s="110"/>
      <c r="AD974" s="110"/>
      <c r="AE974" s="110"/>
    </row>
    <row r="975" s="294" customFormat="1" ht="27" customHeight="1">
      <c r="A975" s="414">
        <v>13</v>
      </c>
      <c r="B975" s="436" t="s">
        <v>811</v>
      </c>
      <c r="C975" s="416">
        <f t="shared" si="341"/>
        <v>-2301256.7999999998</v>
      </c>
      <c r="D975" s="416">
        <f t="shared" si="342"/>
        <v>-2301256.7999999998</v>
      </c>
      <c r="E975" s="418">
        <v>-2301256.7999999998</v>
      </c>
      <c r="F975" s="416">
        <v>0</v>
      </c>
      <c r="G975" s="416">
        <v>0</v>
      </c>
      <c r="H975" s="418">
        <v>0</v>
      </c>
      <c r="I975" s="416">
        <v>0</v>
      </c>
      <c r="J975" s="417">
        <v>0</v>
      </c>
      <c r="K975" s="416">
        <v>0</v>
      </c>
      <c r="L975" s="416">
        <v>0</v>
      </c>
      <c r="M975" s="416">
        <v>0</v>
      </c>
      <c r="N975" s="418">
        <v>0</v>
      </c>
      <c r="O975" s="416">
        <v>0</v>
      </c>
      <c r="P975" s="418">
        <v>0</v>
      </c>
      <c r="Q975" s="416">
        <v>0</v>
      </c>
      <c r="R975" s="416">
        <v>0</v>
      </c>
      <c r="S975" s="416">
        <v>0</v>
      </c>
      <c r="T975" s="416">
        <v>0</v>
      </c>
      <c r="U975" s="54"/>
      <c r="V975" s="54"/>
      <c r="W975" s="54"/>
      <c r="X975" s="54"/>
      <c r="Y975" s="54"/>
      <c r="Z975" s="54"/>
      <c r="AA975" s="54"/>
      <c r="AB975" s="54"/>
      <c r="AC975" s="54"/>
      <c r="AD975" s="54"/>
      <c r="AE975" s="54"/>
    </row>
    <row r="976" s="294" customFormat="1" ht="27" customHeight="1">
      <c r="A976" s="414"/>
      <c r="B976" s="436" t="s">
        <v>811</v>
      </c>
      <c r="C976" s="416">
        <f t="shared" si="341"/>
        <v>2301526.7999999998</v>
      </c>
      <c r="D976" s="416">
        <f t="shared" si="342"/>
        <v>2301526.7999999998</v>
      </c>
      <c r="E976" s="418">
        <v>2301526.7999999998</v>
      </c>
      <c r="F976" s="416">
        <v>0</v>
      </c>
      <c r="G976" s="416">
        <v>0</v>
      </c>
      <c r="H976" s="418">
        <v>0</v>
      </c>
      <c r="I976" s="416">
        <v>0</v>
      </c>
      <c r="J976" s="417">
        <v>0</v>
      </c>
      <c r="K976" s="416">
        <v>0</v>
      </c>
      <c r="L976" s="416">
        <v>0</v>
      </c>
      <c r="M976" s="416">
        <v>0</v>
      </c>
      <c r="N976" s="418">
        <v>0</v>
      </c>
      <c r="O976" s="416">
        <v>0</v>
      </c>
      <c r="P976" s="418">
        <v>0</v>
      </c>
      <c r="Q976" s="416">
        <v>0</v>
      </c>
      <c r="R976" s="416">
        <v>0</v>
      </c>
      <c r="S976" s="416">
        <v>0</v>
      </c>
      <c r="T976" s="416">
        <v>0</v>
      </c>
      <c r="U976" s="54"/>
      <c r="V976" s="54"/>
      <c r="W976" s="54"/>
      <c r="X976" s="54"/>
      <c r="Y976" s="54"/>
      <c r="Z976" s="54"/>
      <c r="AA976" s="54"/>
      <c r="AB976" s="54"/>
      <c r="AC976" s="54"/>
      <c r="AD976" s="54"/>
      <c r="AE976" s="54"/>
    </row>
    <row r="977" s="294" customFormat="1" ht="27" customHeight="1">
      <c r="A977" s="414">
        <v>14</v>
      </c>
      <c r="B977" s="436" t="s">
        <v>812</v>
      </c>
      <c r="C977" s="416">
        <f t="shared" si="341"/>
        <v>-2940034.6099999999</v>
      </c>
      <c r="D977" s="416">
        <f t="shared" si="342"/>
        <v>0</v>
      </c>
      <c r="E977" s="418">
        <v>0</v>
      </c>
      <c r="F977" s="416">
        <v>0</v>
      </c>
      <c r="G977" s="416">
        <v>0</v>
      </c>
      <c r="H977" s="418">
        <v>0</v>
      </c>
      <c r="I977" s="416">
        <v>0</v>
      </c>
      <c r="J977" s="417">
        <v>0</v>
      </c>
      <c r="K977" s="416">
        <v>0</v>
      </c>
      <c r="L977" s="416">
        <v>0</v>
      </c>
      <c r="M977" s="416">
        <v>0</v>
      </c>
      <c r="N977" s="418">
        <v>0</v>
      </c>
      <c r="O977" s="416">
        <v>0</v>
      </c>
      <c r="P977" s="418">
        <v>0</v>
      </c>
      <c r="Q977" s="416">
        <v>0</v>
      </c>
      <c r="R977" s="416">
        <v>0</v>
      </c>
      <c r="S977" s="416">
        <v>-2940034.6099999999</v>
      </c>
      <c r="T977" s="416">
        <v>0</v>
      </c>
      <c r="U977" s="110"/>
      <c r="V977" s="110"/>
      <c r="W977" s="110"/>
      <c r="X977" s="110"/>
      <c r="Y977" s="110"/>
      <c r="Z977" s="110"/>
      <c r="AA977" s="110"/>
      <c r="AB977" s="110"/>
      <c r="AC977" s="110"/>
      <c r="AD977" s="110"/>
      <c r="AE977" s="110"/>
    </row>
    <row r="978" s="294" customFormat="1" ht="27" customHeight="1">
      <c r="A978" s="414"/>
      <c r="B978" s="436" t="s">
        <v>812</v>
      </c>
      <c r="C978" s="416">
        <f t="shared" si="341"/>
        <v>3134160.1499999999</v>
      </c>
      <c r="D978" s="416">
        <f t="shared" si="342"/>
        <v>0</v>
      </c>
      <c r="E978" s="418">
        <v>0</v>
      </c>
      <c r="F978" s="416">
        <v>0</v>
      </c>
      <c r="G978" s="416">
        <v>0</v>
      </c>
      <c r="H978" s="418">
        <v>0</v>
      </c>
      <c r="I978" s="416">
        <v>0</v>
      </c>
      <c r="J978" s="417">
        <v>0</v>
      </c>
      <c r="K978" s="416">
        <v>0</v>
      </c>
      <c r="L978" s="416">
        <v>0</v>
      </c>
      <c r="M978" s="416">
        <v>0</v>
      </c>
      <c r="N978" s="418">
        <v>0</v>
      </c>
      <c r="O978" s="416">
        <v>0</v>
      </c>
      <c r="P978" s="418">
        <v>0</v>
      </c>
      <c r="Q978" s="416">
        <v>0</v>
      </c>
      <c r="R978" s="416">
        <v>0</v>
      </c>
      <c r="S978" s="416">
        <v>3134160.1499999999</v>
      </c>
      <c r="T978" s="416">
        <v>0</v>
      </c>
      <c r="U978" s="110"/>
      <c r="V978" s="110"/>
      <c r="W978" s="110"/>
      <c r="X978" s="110"/>
      <c r="Y978" s="110"/>
      <c r="Z978" s="110"/>
      <c r="AA978" s="110"/>
      <c r="AB978" s="110"/>
      <c r="AC978" s="110"/>
      <c r="AD978" s="110"/>
      <c r="AE978" s="110"/>
    </row>
    <row r="979" s="294" customFormat="1" ht="27" customHeight="1">
      <c r="A979" s="414">
        <v>14</v>
      </c>
      <c r="B979" s="436" t="s">
        <v>207</v>
      </c>
      <c r="C979" s="416">
        <f t="shared" si="341"/>
        <v>-2425939.2000000002</v>
      </c>
      <c r="D979" s="416">
        <f t="shared" si="342"/>
        <v>-2425939.2000000002</v>
      </c>
      <c r="E979" s="418">
        <v>0</v>
      </c>
      <c r="F979" s="416">
        <v>-2425939.2000000002</v>
      </c>
      <c r="G979" s="416">
        <v>0</v>
      </c>
      <c r="H979" s="418">
        <v>0</v>
      </c>
      <c r="I979" s="416">
        <v>0</v>
      </c>
      <c r="J979" s="417">
        <v>0</v>
      </c>
      <c r="K979" s="416">
        <v>0</v>
      </c>
      <c r="L979" s="416">
        <v>0</v>
      </c>
      <c r="M979" s="416">
        <v>0</v>
      </c>
      <c r="N979" s="418">
        <v>0</v>
      </c>
      <c r="O979" s="416">
        <v>0</v>
      </c>
      <c r="P979" s="418">
        <v>0</v>
      </c>
      <c r="Q979" s="416">
        <v>0</v>
      </c>
      <c r="R979" s="416">
        <v>0</v>
      </c>
      <c r="S979" s="416">
        <v>0</v>
      </c>
      <c r="T979" s="416">
        <v>0</v>
      </c>
      <c r="U979" s="54"/>
      <c r="V979" s="54"/>
      <c r="W979" s="54"/>
      <c r="X979" s="54"/>
      <c r="Y979" s="54"/>
      <c r="Z979" s="54"/>
      <c r="AA979" s="54"/>
      <c r="AB979" s="54"/>
      <c r="AC979" s="54"/>
      <c r="AD979" s="54"/>
      <c r="AE979" s="54"/>
    </row>
    <row r="980" s="294" customFormat="1" ht="27" customHeight="1">
      <c r="A980" s="414"/>
      <c r="B980" s="436" t="s">
        <v>207</v>
      </c>
      <c r="C980" s="475">
        <f t="shared" si="341"/>
        <v>3102376.7999999998</v>
      </c>
      <c r="D980" s="475">
        <f t="shared" si="342"/>
        <v>3102376.7999999998</v>
      </c>
      <c r="E980" s="418">
        <v>0</v>
      </c>
      <c r="F980" s="475">
        <v>3102376.7999999998</v>
      </c>
      <c r="G980" s="475">
        <v>0</v>
      </c>
      <c r="H980" s="418">
        <v>0</v>
      </c>
      <c r="I980" s="416">
        <v>0</v>
      </c>
      <c r="J980" s="476">
        <v>0</v>
      </c>
      <c r="K980" s="419">
        <v>0</v>
      </c>
      <c r="L980" s="475">
        <v>0</v>
      </c>
      <c r="M980" s="419">
        <v>0</v>
      </c>
      <c r="N980" s="418">
        <v>0</v>
      </c>
      <c r="O980" s="419">
        <v>0</v>
      </c>
      <c r="P980" s="418">
        <v>0</v>
      </c>
      <c r="Q980" s="419">
        <v>0</v>
      </c>
      <c r="R980" s="475">
        <v>0</v>
      </c>
      <c r="S980" s="419">
        <v>0</v>
      </c>
      <c r="T980" s="416">
        <v>0</v>
      </c>
      <c r="U980" s="54"/>
      <c r="V980" s="54"/>
      <c r="W980" s="54"/>
      <c r="X980" s="54"/>
      <c r="Y980" s="54"/>
      <c r="Z980" s="54"/>
      <c r="AA980" s="54"/>
      <c r="AB980" s="54"/>
      <c r="AC980" s="54"/>
      <c r="AD980" s="54"/>
      <c r="AE980" s="54"/>
    </row>
    <row r="981" s="294" customFormat="1" ht="27" customHeight="1">
      <c r="A981" s="414">
        <v>15</v>
      </c>
      <c r="B981" s="436" t="s">
        <v>813</v>
      </c>
      <c r="C981" s="416">
        <f t="shared" si="341"/>
        <v>-10590316.800000001</v>
      </c>
      <c r="D981" s="416">
        <f t="shared" si="342"/>
        <v>0</v>
      </c>
      <c r="E981" s="418">
        <v>0</v>
      </c>
      <c r="F981" s="416">
        <v>0</v>
      </c>
      <c r="G981" s="416">
        <v>0</v>
      </c>
      <c r="H981" s="418">
        <v>0</v>
      </c>
      <c r="I981" s="416">
        <v>0</v>
      </c>
      <c r="J981" s="417">
        <v>0</v>
      </c>
      <c r="K981" s="416">
        <v>0</v>
      </c>
      <c r="L981" s="416">
        <v>0</v>
      </c>
      <c r="M981" s="416">
        <v>0</v>
      </c>
      <c r="N981" s="418">
        <v>-10590316.800000001</v>
      </c>
      <c r="O981" s="416">
        <v>0</v>
      </c>
      <c r="P981" s="418">
        <v>0</v>
      </c>
      <c r="Q981" s="416">
        <v>0</v>
      </c>
      <c r="R981" s="416">
        <v>0</v>
      </c>
      <c r="S981" s="416">
        <v>0</v>
      </c>
      <c r="T981" s="416">
        <v>0</v>
      </c>
      <c r="U981" s="54"/>
      <c r="V981" s="54"/>
      <c r="W981" s="54"/>
      <c r="X981" s="54"/>
      <c r="Y981" s="54"/>
      <c r="Z981" s="54"/>
      <c r="AA981" s="54"/>
      <c r="AB981" s="54"/>
      <c r="AC981" s="54"/>
      <c r="AD981" s="54"/>
      <c r="AE981" s="54"/>
    </row>
    <row r="982" s="294" customFormat="1" ht="27" customHeight="1">
      <c r="A982" s="414"/>
      <c r="B982" s="436" t="s">
        <v>813</v>
      </c>
      <c r="C982" s="416">
        <f t="shared" si="341"/>
        <v>10550846.800000001</v>
      </c>
      <c r="D982" s="416">
        <f t="shared" si="342"/>
        <v>0</v>
      </c>
      <c r="E982" s="418">
        <v>0</v>
      </c>
      <c r="F982" s="416">
        <v>0</v>
      </c>
      <c r="G982" s="416">
        <v>0</v>
      </c>
      <c r="H982" s="418">
        <v>0</v>
      </c>
      <c r="I982" s="416">
        <v>0</v>
      </c>
      <c r="J982" s="417">
        <v>0</v>
      </c>
      <c r="K982" s="416">
        <v>0</v>
      </c>
      <c r="L982" s="416">
        <v>0</v>
      </c>
      <c r="M982" s="416">
        <v>0</v>
      </c>
      <c r="N982" s="418">
        <v>10550846.800000001</v>
      </c>
      <c r="O982" s="416">
        <v>0</v>
      </c>
      <c r="P982" s="418">
        <v>0</v>
      </c>
      <c r="Q982" s="416">
        <v>0</v>
      </c>
      <c r="R982" s="416">
        <v>0</v>
      </c>
      <c r="S982" s="416">
        <v>0</v>
      </c>
      <c r="T982" s="416">
        <v>0</v>
      </c>
      <c r="U982" s="54"/>
      <c r="V982" s="54"/>
      <c r="W982" s="54"/>
      <c r="X982" s="54"/>
      <c r="Y982" s="54"/>
      <c r="Z982" s="54"/>
      <c r="AA982" s="54"/>
      <c r="AB982" s="54"/>
      <c r="AC982" s="54"/>
      <c r="AD982" s="54"/>
      <c r="AE982" s="54"/>
    </row>
    <row r="983" s="294" customFormat="1" ht="27" customHeight="1">
      <c r="A983" s="414">
        <v>16</v>
      </c>
      <c r="B983" s="436" t="s">
        <v>814</v>
      </c>
      <c r="C983" s="416">
        <f t="shared" si="341"/>
        <v>271360</v>
      </c>
      <c r="D983" s="416">
        <f t="shared" si="342"/>
        <v>271360</v>
      </c>
      <c r="E983" s="418">
        <v>0</v>
      </c>
      <c r="F983" s="416">
        <v>0</v>
      </c>
      <c r="G983" s="418">
        <v>271360</v>
      </c>
      <c r="H983" s="418">
        <v>0</v>
      </c>
      <c r="I983" s="418">
        <v>0</v>
      </c>
      <c r="J983" s="417">
        <v>0</v>
      </c>
      <c r="K983" s="416">
        <v>0</v>
      </c>
      <c r="L983" s="416">
        <v>0</v>
      </c>
      <c r="M983" s="416">
        <v>0</v>
      </c>
      <c r="N983" s="418">
        <v>0</v>
      </c>
      <c r="O983" s="416">
        <v>0</v>
      </c>
      <c r="P983" s="418">
        <v>0</v>
      </c>
      <c r="Q983" s="416">
        <v>0</v>
      </c>
      <c r="R983" s="416">
        <v>0</v>
      </c>
      <c r="S983" s="416">
        <v>0</v>
      </c>
      <c r="T983" s="416">
        <v>0</v>
      </c>
      <c r="U983" s="54"/>
      <c r="V983" s="54"/>
      <c r="W983" s="54"/>
      <c r="X983" s="54"/>
      <c r="Y983" s="54"/>
      <c r="Z983" s="54"/>
      <c r="AA983" s="54"/>
      <c r="AB983" s="54"/>
      <c r="AC983" s="54"/>
      <c r="AD983" s="54"/>
      <c r="AE983" s="54"/>
    </row>
    <row r="984" s="294" customFormat="1" ht="27" customHeight="1">
      <c r="A984" s="414">
        <v>16</v>
      </c>
      <c r="B984" s="436" t="s">
        <v>1399</v>
      </c>
      <c r="C984" s="416">
        <f t="shared" si="341"/>
        <v>0</v>
      </c>
      <c r="D984" s="416">
        <f t="shared" si="342"/>
        <v>0</v>
      </c>
      <c r="E984" s="418">
        <v>0</v>
      </c>
      <c r="F984" s="416">
        <v>0</v>
      </c>
      <c r="G984" s="418">
        <v>0</v>
      </c>
      <c r="H984" s="418">
        <v>0</v>
      </c>
      <c r="I984" s="418">
        <v>0</v>
      </c>
      <c r="J984" s="417">
        <v>0</v>
      </c>
      <c r="K984" s="416">
        <v>0</v>
      </c>
      <c r="L984" s="416">
        <v>0</v>
      </c>
      <c r="M984" s="416">
        <v>0</v>
      </c>
      <c r="N984" s="418">
        <v>0</v>
      </c>
      <c r="O984" s="416">
        <v>0</v>
      </c>
      <c r="P984" s="418">
        <v>0</v>
      </c>
      <c r="Q984" s="416">
        <v>0</v>
      </c>
      <c r="R984" s="416">
        <v>0</v>
      </c>
      <c r="S984" s="416">
        <v>0</v>
      </c>
      <c r="T984" s="416">
        <v>0</v>
      </c>
      <c r="U984" s="110"/>
      <c r="V984" s="110"/>
      <c r="W984" s="110"/>
      <c r="X984" s="110"/>
      <c r="Y984" s="110"/>
      <c r="Z984" s="110"/>
      <c r="AA984" s="110"/>
      <c r="AB984" s="110"/>
      <c r="AC984" s="110"/>
      <c r="AD984" s="110"/>
      <c r="AE984" s="110"/>
    </row>
    <row r="985" s="294" customFormat="1" ht="27" customHeight="1">
      <c r="A985" s="414">
        <v>17</v>
      </c>
      <c r="B985" s="436" t="s">
        <v>815</v>
      </c>
      <c r="C985" s="416">
        <f t="shared" si="341"/>
        <v>-1745876.8600000001</v>
      </c>
      <c r="D985" s="419">
        <f t="shared" si="342"/>
        <v>-1745876.8600000001</v>
      </c>
      <c r="E985" s="418">
        <v>0</v>
      </c>
      <c r="F985" s="416">
        <v>-1745876.8600000001</v>
      </c>
      <c r="G985" s="419">
        <v>0</v>
      </c>
      <c r="H985" s="418">
        <v>0</v>
      </c>
      <c r="I985" s="416">
        <v>0</v>
      </c>
      <c r="J985" s="417">
        <v>0</v>
      </c>
      <c r="K985" s="416">
        <v>0</v>
      </c>
      <c r="L985" s="416">
        <v>0</v>
      </c>
      <c r="M985" s="419">
        <v>0</v>
      </c>
      <c r="N985" s="418">
        <v>0</v>
      </c>
      <c r="O985" s="416">
        <v>0</v>
      </c>
      <c r="P985" s="418">
        <v>0</v>
      </c>
      <c r="Q985" s="416">
        <v>0</v>
      </c>
      <c r="R985" s="416">
        <v>0</v>
      </c>
      <c r="S985" s="416">
        <v>0</v>
      </c>
      <c r="T985" s="416">
        <v>0</v>
      </c>
      <c r="U985" s="54"/>
      <c r="V985" s="54"/>
      <c r="W985" s="54"/>
      <c r="X985" s="54"/>
      <c r="Y985" s="54"/>
      <c r="Z985" s="54"/>
      <c r="AA985" s="54"/>
      <c r="AB985" s="54"/>
      <c r="AC985" s="54"/>
      <c r="AD985" s="54"/>
      <c r="AE985" s="54"/>
    </row>
    <row r="986" s="294" customFormat="1" ht="27" customHeight="1">
      <c r="A986" s="414"/>
      <c r="B986" s="436" t="s">
        <v>815</v>
      </c>
      <c r="C986" s="416">
        <f t="shared" si="341"/>
        <v>1626153.76</v>
      </c>
      <c r="D986" s="416">
        <f t="shared" si="342"/>
        <v>1626153.76</v>
      </c>
      <c r="E986" s="418">
        <v>0</v>
      </c>
      <c r="F986" s="416">
        <v>1626153.76</v>
      </c>
      <c r="G986" s="416">
        <v>0</v>
      </c>
      <c r="H986" s="418">
        <v>0</v>
      </c>
      <c r="I986" s="416">
        <v>0</v>
      </c>
      <c r="J986" s="417">
        <v>0</v>
      </c>
      <c r="K986" s="416">
        <v>0</v>
      </c>
      <c r="L986" s="416">
        <v>0</v>
      </c>
      <c r="M986" s="416">
        <v>0</v>
      </c>
      <c r="N986" s="418">
        <v>0</v>
      </c>
      <c r="O986" s="416">
        <v>0</v>
      </c>
      <c r="P986" s="418">
        <v>0</v>
      </c>
      <c r="Q986" s="416">
        <v>0</v>
      </c>
      <c r="R986" s="416">
        <v>0</v>
      </c>
      <c r="S986" s="416">
        <v>0</v>
      </c>
      <c r="T986" s="416">
        <v>0</v>
      </c>
      <c r="U986" s="54"/>
      <c r="V986" s="54"/>
      <c r="W986" s="54"/>
      <c r="X986" s="54"/>
      <c r="Y986" s="54"/>
      <c r="Z986" s="54"/>
      <c r="AA986" s="54"/>
      <c r="AB986" s="54"/>
      <c r="AC986" s="54"/>
      <c r="AD986" s="54"/>
      <c r="AE986" s="54"/>
    </row>
    <row r="987" s="294" customFormat="1" ht="27" customHeight="1">
      <c r="A987" s="414">
        <v>18</v>
      </c>
      <c r="B987" s="436" t="s">
        <v>634</v>
      </c>
      <c r="C987" s="416">
        <f t="shared" si="341"/>
        <v>2425079</v>
      </c>
      <c r="D987" s="416">
        <f t="shared" si="342"/>
        <v>0</v>
      </c>
      <c r="E987" s="418">
        <v>0</v>
      </c>
      <c r="F987" s="416">
        <v>0</v>
      </c>
      <c r="G987" s="418">
        <v>0</v>
      </c>
      <c r="H987" s="418">
        <v>0</v>
      </c>
      <c r="I987" s="418">
        <v>0</v>
      </c>
      <c r="J987" s="417">
        <v>1</v>
      </c>
      <c r="K987" s="416">
        <v>2425079</v>
      </c>
      <c r="L987" s="416">
        <v>0</v>
      </c>
      <c r="M987" s="416">
        <v>0</v>
      </c>
      <c r="N987" s="418">
        <v>0</v>
      </c>
      <c r="O987" s="416">
        <v>0</v>
      </c>
      <c r="P987" s="418">
        <v>0</v>
      </c>
      <c r="Q987" s="416">
        <v>0</v>
      </c>
      <c r="R987" s="416">
        <v>0</v>
      </c>
      <c r="S987" s="416">
        <v>0</v>
      </c>
      <c r="T987" s="416">
        <v>0</v>
      </c>
      <c r="U987" s="54"/>
      <c r="V987" s="54"/>
      <c r="W987" s="54"/>
      <c r="X987" s="54"/>
      <c r="Y987" s="54"/>
      <c r="Z987" s="54"/>
      <c r="AA987" s="54"/>
      <c r="AB987" s="54"/>
      <c r="AC987" s="54"/>
      <c r="AD987" s="54"/>
      <c r="AE987" s="54"/>
    </row>
    <row r="988" s="294" customFormat="1" ht="27" customHeight="1">
      <c r="A988" s="414">
        <v>19</v>
      </c>
      <c r="B988" s="436" t="s">
        <v>277</v>
      </c>
      <c r="C988" s="416">
        <f t="shared" si="341"/>
        <v>4921032.8799999999</v>
      </c>
      <c r="D988" s="416">
        <f t="shared" si="342"/>
        <v>0</v>
      </c>
      <c r="E988" s="418">
        <v>0</v>
      </c>
      <c r="F988" s="416">
        <v>0</v>
      </c>
      <c r="G988" s="418">
        <v>0</v>
      </c>
      <c r="H988" s="418">
        <v>0</v>
      </c>
      <c r="I988" s="418">
        <v>0</v>
      </c>
      <c r="J988" s="417">
        <v>2</v>
      </c>
      <c r="K988" s="416">
        <f>2413311.98+2507720.9</f>
        <v>4921032.8799999999</v>
      </c>
      <c r="L988" s="416">
        <v>0</v>
      </c>
      <c r="M988" s="416">
        <v>0</v>
      </c>
      <c r="N988" s="418">
        <v>0</v>
      </c>
      <c r="O988" s="416">
        <v>0</v>
      </c>
      <c r="P988" s="418">
        <v>0</v>
      </c>
      <c r="Q988" s="416">
        <v>0</v>
      </c>
      <c r="R988" s="416">
        <v>0</v>
      </c>
      <c r="S988" s="416">
        <v>0</v>
      </c>
      <c r="T988" s="416">
        <v>0</v>
      </c>
      <c r="U988" s="54"/>
      <c r="V988" s="54"/>
      <c r="W988" s="54"/>
      <c r="X988" s="54"/>
      <c r="Y988" s="54"/>
      <c r="Z988" s="54"/>
      <c r="AA988" s="54"/>
      <c r="AB988" s="54"/>
      <c r="AC988" s="54"/>
      <c r="AD988" s="54"/>
      <c r="AE988" s="54"/>
    </row>
    <row r="989" s="294" customFormat="1" ht="27" customHeight="1">
      <c r="A989" s="414">
        <v>20</v>
      </c>
      <c r="B989" s="436" t="s">
        <v>816</v>
      </c>
      <c r="C989" s="465">
        <f t="shared" si="341"/>
        <v>993075.77000000002</v>
      </c>
      <c r="D989" s="416">
        <f t="shared" si="342"/>
        <v>993075.77000000002</v>
      </c>
      <c r="E989" s="418">
        <v>0</v>
      </c>
      <c r="F989" s="416">
        <v>0</v>
      </c>
      <c r="G989" s="418">
        <v>0</v>
      </c>
      <c r="H989" s="418">
        <v>993075.77000000002</v>
      </c>
      <c r="I989" s="418">
        <v>0</v>
      </c>
      <c r="J989" s="417">
        <v>0</v>
      </c>
      <c r="K989" s="416">
        <v>0</v>
      </c>
      <c r="L989" s="416">
        <v>0</v>
      </c>
      <c r="M989" s="416">
        <v>0</v>
      </c>
      <c r="N989" s="418">
        <v>0</v>
      </c>
      <c r="O989" s="416">
        <v>0</v>
      </c>
      <c r="P989" s="418">
        <v>0</v>
      </c>
      <c r="Q989" s="416">
        <v>0</v>
      </c>
      <c r="R989" s="416">
        <v>0</v>
      </c>
      <c r="S989" s="465">
        <v>0</v>
      </c>
      <c r="T989" s="416">
        <v>0</v>
      </c>
      <c r="U989" s="54"/>
      <c r="V989" s="54"/>
      <c r="W989" s="54"/>
      <c r="X989" s="54"/>
      <c r="Y989" s="54"/>
      <c r="Z989" s="54"/>
      <c r="AA989" s="54"/>
      <c r="AB989" s="54"/>
      <c r="AC989" s="54"/>
      <c r="AD989" s="54"/>
      <c r="AE989" s="54"/>
    </row>
    <row r="990" s="294" customFormat="1" ht="27" customHeight="1">
      <c r="A990" s="414">
        <v>21</v>
      </c>
      <c r="B990" s="436" t="s">
        <v>817</v>
      </c>
      <c r="C990" s="416">
        <f t="shared" si="341"/>
        <v>-1943409.49</v>
      </c>
      <c r="D990" s="416">
        <f t="shared" si="342"/>
        <v>-1943409.49</v>
      </c>
      <c r="E990" s="418">
        <v>0</v>
      </c>
      <c r="F990" s="416">
        <v>0</v>
      </c>
      <c r="G990" s="416">
        <v>-1943409.49</v>
      </c>
      <c r="H990" s="418">
        <v>0</v>
      </c>
      <c r="I990" s="416">
        <v>0</v>
      </c>
      <c r="J990" s="417">
        <v>0</v>
      </c>
      <c r="K990" s="416">
        <v>0</v>
      </c>
      <c r="L990" s="416">
        <v>0</v>
      </c>
      <c r="M990" s="416">
        <v>0</v>
      </c>
      <c r="N990" s="418">
        <v>0</v>
      </c>
      <c r="O990" s="416">
        <v>0</v>
      </c>
      <c r="P990" s="418">
        <v>0</v>
      </c>
      <c r="Q990" s="416">
        <v>0</v>
      </c>
      <c r="R990" s="416">
        <v>0</v>
      </c>
      <c r="S990" s="416">
        <v>0</v>
      </c>
      <c r="T990" s="416">
        <v>0</v>
      </c>
      <c r="U990" s="54"/>
      <c r="V990" s="54"/>
      <c r="W990" s="54"/>
      <c r="X990" s="54"/>
      <c r="Y990" s="54"/>
      <c r="Z990" s="54"/>
      <c r="AA990" s="54"/>
      <c r="AB990" s="54"/>
      <c r="AC990" s="54"/>
      <c r="AD990" s="54"/>
      <c r="AE990" s="54"/>
    </row>
    <row r="991" s="294" customFormat="1" ht="27" customHeight="1">
      <c r="A991" s="414"/>
      <c r="B991" s="436" t="s">
        <v>817</v>
      </c>
      <c r="C991" s="416">
        <f t="shared" si="341"/>
        <v>1963409.49</v>
      </c>
      <c r="D991" s="419">
        <f t="shared" si="342"/>
        <v>1963409.49</v>
      </c>
      <c r="E991" s="418">
        <v>0</v>
      </c>
      <c r="F991" s="419">
        <v>0</v>
      </c>
      <c r="G991" s="416">
        <v>1963409.49</v>
      </c>
      <c r="H991" s="418">
        <v>0</v>
      </c>
      <c r="I991" s="416">
        <v>0</v>
      </c>
      <c r="J991" s="462">
        <v>0</v>
      </c>
      <c r="K991" s="416">
        <v>0</v>
      </c>
      <c r="L991" s="416">
        <v>0</v>
      </c>
      <c r="M991" s="419">
        <v>0</v>
      </c>
      <c r="N991" s="418">
        <v>0</v>
      </c>
      <c r="O991" s="419">
        <v>0</v>
      </c>
      <c r="P991" s="418">
        <v>0</v>
      </c>
      <c r="Q991" s="419">
        <v>0</v>
      </c>
      <c r="R991" s="416">
        <v>0</v>
      </c>
      <c r="S991" s="419">
        <v>0</v>
      </c>
      <c r="T991" s="416">
        <v>0</v>
      </c>
      <c r="U991" s="54"/>
      <c r="V991" s="54"/>
      <c r="W991" s="54"/>
      <c r="X991" s="54"/>
      <c r="Y991" s="54"/>
      <c r="Z991" s="54"/>
      <c r="AA991" s="54"/>
      <c r="AB991" s="54"/>
      <c r="AC991" s="54"/>
      <c r="AD991" s="54"/>
      <c r="AE991" s="54"/>
    </row>
    <row r="992" s="294" customFormat="1" ht="27" customHeight="1">
      <c r="A992" s="493" t="s">
        <v>317</v>
      </c>
      <c r="B992" s="494"/>
      <c r="C992" s="510">
        <f>C993</f>
        <v>106040</v>
      </c>
      <c r="D992" s="510">
        <f>D993</f>
        <v>106040</v>
      </c>
      <c r="E992" s="510">
        <f>E993</f>
        <v>0</v>
      </c>
      <c r="F992" s="510">
        <f>F993</f>
        <v>0</v>
      </c>
      <c r="G992" s="528">
        <f>G993</f>
        <v>0</v>
      </c>
      <c r="H992" s="510">
        <f>H993</f>
        <v>0</v>
      </c>
      <c r="I992" s="510">
        <f>I993</f>
        <v>106040</v>
      </c>
      <c r="J992" s="527">
        <f>J993</f>
        <v>0</v>
      </c>
      <c r="K992" s="528">
        <f>K993</f>
        <v>0</v>
      </c>
      <c r="L992" s="510">
        <f>L993</f>
        <v>0</v>
      </c>
      <c r="M992" s="510">
        <f>M993</f>
        <v>0</v>
      </c>
      <c r="N992" s="510">
        <f>N993</f>
        <v>0</v>
      </c>
      <c r="O992" s="510">
        <f>O993</f>
        <v>0</v>
      </c>
      <c r="P992" s="510">
        <f>P993</f>
        <v>0</v>
      </c>
      <c r="Q992" s="510">
        <f>Q993</f>
        <v>0</v>
      </c>
      <c r="R992" s="510">
        <f>R993</f>
        <v>0</v>
      </c>
      <c r="S992" s="510">
        <f>S993</f>
        <v>0</v>
      </c>
      <c r="T992" s="510">
        <f>T993</f>
        <v>0</v>
      </c>
      <c r="U992" s="399"/>
      <c r="V992" s="399"/>
      <c r="W992" s="399"/>
      <c r="X992" s="399"/>
      <c r="Y992" s="399"/>
      <c r="Z992" s="399"/>
      <c r="AA992" s="399"/>
      <c r="AB992" s="399"/>
      <c r="AC992" s="399"/>
      <c r="AD992" s="399"/>
      <c r="AE992" s="399"/>
    </row>
    <row r="993" s="294" customFormat="1" ht="27" customHeight="1">
      <c r="A993" s="414">
        <v>1</v>
      </c>
      <c r="B993" s="464" t="s">
        <v>818</v>
      </c>
      <c r="C993" s="416">
        <f>D993+K993+L993+M993+N993+O993+P993+Q993+R993+S993+T993</f>
        <v>106040</v>
      </c>
      <c r="D993" s="419">
        <f>SUM(E993:I993)</f>
        <v>106040</v>
      </c>
      <c r="E993" s="416">
        <v>0</v>
      </c>
      <c r="F993" s="419">
        <v>0</v>
      </c>
      <c r="G993" s="416">
        <v>0</v>
      </c>
      <c r="H993" s="419">
        <v>0</v>
      </c>
      <c r="I993" s="416">
        <v>106040</v>
      </c>
      <c r="J993" s="462">
        <v>0</v>
      </c>
      <c r="K993" s="416">
        <v>0</v>
      </c>
      <c r="L993" s="416">
        <v>0</v>
      </c>
      <c r="M993" s="419">
        <v>0</v>
      </c>
      <c r="N993" s="416">
        <v>0</v>
      </c>
      <c r="O993" s="419">
        <v>0</v>
      </c>
      <c r="P993" s="416">
        <v>0</v>
      </c>
      <c r="Q993" s="419">
        <v>0</v>
      </c>
      <c r="R993" s="416">
        <v>0</v>
      </c>
      <c r="S993" s="419">
        <v>0</v>
      </c>
      <c r="T993" s="416">
        <v>0</v>
      </c>
      <c r="U993" s="110"/>
      <c r="V993" s="110"/>
      <c r="W993" s="110"/>
      <c r="X993" s="110"/>
      <c r="Y993" s="110"/>
      <c r="Z993" s="110"/>
      <c r="AA993" s="110"/>
      <c r="AB993" s="110"/>
      <c r="AC993" s="110"/>
      <c r="AD993" s="110"/>
      <c r="AE993" s="110"/>
    </row>
    <row r="994" s="294" customFormat="1" ht="23.25" customHeight="1">
      <c r="A994" s="493" t="s">
        <v>324</v>
      </c>
      <c r="B994" s="494"/>
      <c r="C994" s="510">
        <f>C995</f>
        <v>5313438.3700000001</v>
      </c>
      <c r="D994" s="510">
        <f>D995</f>
        <v>5313438.3700000001</v>
      </c>
      <c r="E994" s="510">
        <f>E995</f>
        <v>0</v>
      </c>
      <c r="F994" s="510">
        <f>F995</f>
        <v>4303241.3200000003</v>
      </c>
      <c r="G994" s="510">
        <f>G995</f>
        <v>0</v>
      </c>
      <c r="H994" s="510">
        <f>H995</f>
        <v>1010197.05</v>
      </c>
      <c r="I994" s="510">
        <f>I995</f>
        <v>0</v>
      </c>
      <c r="J994" s="527">
        <f>J995</f>
        <v>0</v>
      </c>
      <c r="K994" s="510">
        <f>K995</f>
        <v>0</v>
      </c>
      <c r="L994" s="510">
        <f>L995</f>
        <v>0</v>
      </c>
      <c r="M994" s="510">
        <f>M995</f>
        <v>0</v>
      </c>
      <c r="N994" s="510">
        <f>N995</f>
        <v>0</v>
      </c>
      <c r="O994" s="510">
        <f>O995</f>
        <v>0</v>
      </c>
      <c r="P994" s="510">
        <f>P995</f>
        <v>0</v>
      </c>
      <c r="Q994" s="510">
        <f>Q995</f>
        <v>0</v>
      </c>
      <c r="R994" s="510">
        <f>R995</f>
        <v>0</v>
      </c>
      <c r="S994" s="510">
        <f>S995</f>
        <v>0</v>
      </c>
      <c r="T994" s="510">
        <f>T995</f>
        <v>0</v>
      </c>
      <c r="U994" s="350"/>
      <c r="V994" s="350"/>
      <c r="W994" s="350"/>
      <c r="X994" s="350"/>
      <c r="Y994" s="350"/>
      <c r="Z994" s="350"/>
      <c r="AA994" s="350"/>
      <c r="AB994" s="350"/>
      <c r="AC994" s="350"/>
      <c r="AD994" s="350"/>
      <c r="AE994" s="350"/>
    </row>
    <row r="995" s="294" customFormat="1" ht="27" customHeight="1">
      <c r="A995" s="414">
        <v>1</v>
      </c>
      <c r="B995" s="464" t="s">
        <v>1400</v>
      </c>
      <c r="C995" s="416">
        <f>D995+K995+L995+M995+N995+O995+P995+Q995+R995+S995+T995</f>
        <v>5313438.3700000001</v>
      </c>
      <c r="D995" s="416">
        <f>SUM(E995:I995)</f>
        <v>5313438.3700000001</v>
      </c>
      <c r="E995" s="416">
        <v>0</v>
      </c>
      <c r="F995" s="416">
        <v>4303241.3200000003</v>
      </c>
      <c r="G995" s="416">
        <v>0</v>
      </c>
      <c r="H995" s="416">
        <v>1010197.05</v>
      </c>
      <c r="I995" s="416">
        <v>0</v>
      </c>
      <c r="J995" s="417">
        <v>0</v>
      </c>
      <c r="K995" s="416">
        <v>0</v>
      </c>
      <c r="L995" s="416">
        <v>0</v>
      </c>
      <c r="M995" s="416">
        <v>0</v>
      </c>
      <c r="N995" s="416">
        <v>0</v>
      </c>
      <c r="O995" s="416">
        <v>0</v>
      </c>
      <c r="P995" s="416">
        <v>0</v>
      </c>
      <c r="Q995" s="416">
        <v>0</v>
      </c>
      <c r="R995" s="416">
        <v>0</v>
      </c>
      <c r="S995" s="416">
        <v>0</v>
      </c>
      <c r="T995" s="416">
        <v>0</v>
      </c>
      <c r="U995" s="54"/>
      <c r="V995" s="54"/>
      <c r="W995" s="54"/>
      <c r="X995" s="54"/>
      <c r="Y995" s="54"/>
      <c r="Z995" s="54"/>
      <c r="AA995" s="54"/>
      <c r="AB995" s="54"/>
      <c r="AC995" s="54"/>
      <c r="AD995" s="54"/>
      <c r="AE995" s="54"/>
    </row>
    <row r="996" s="294" customFormat="1" ht="27" customHeight="1">
      <c r="A996" s="493" t="s">
        <v>350</v>
      </c>
      <c r="B996" s="494"/>
      <c r="C996" s="510">
        <f>C997</f>
        <v>1132951.51</v>
      </c>
      <c r="D996" s="510">
        <f>D997</f>
        <v>0</v>
      </c>
      <c r="E996" s="510">
        <f>E997</f>
        <v>0</v>
      </c>
      <c r="F996" s="510">
        <f>F997</f>
        <v>0</v>
      </c>
      <c r="G996" s="510">
        <f>G997</f>
        <v>0</v>
      </c>
      <c r="H996" s="510">
        <f>H997</f>
        <v>0</v>
      </c>
      <c r="I996" s="510">
        <f>I997</f>
        <v>0</v>
      </c>
      <c r="J996" s="527">
        <f>J997</f>
        <v>0</v>
      </c>
      <c r="K996" s="510">
        <f>K997</f>
        <v>0</v>
      </c>
      <c r="L996" s="510">
        <f>L997</f>
        <v>0</v>
      </c>
      <c r="M996" s="510">
        <f>M997</f>
        <v>0</v>
      </c>
      <c r="N996" s="510">
        <f>N997</f>
        <v>1132951.51</v>
      </c>
      <c r="O996" s="510">
        <f>O997</f>
        <v>0</v>
      </c>
      <c r="P996" s="510">
        <f>P997</f>
        <v>0</v>
      </c>
      <c r="Q996" s="510">
        <f>Q997</f>
        <v>0</v>
      </c>
      <c r="R996" s="510">
        <f>R997</f>
        <v>0</v>
      </c>
      <c r="S996" s="510">
        <f>S997</f>
        <v>0</v>
      </c>
      <c r="T996" s="510">
        <f>T997</f>
        <v>0</v>
      </c>
      <c r="U996" s="350"/>
      <c r="V996" s="350"/>
      <c r="W996" s="350"/>
      <c r="X996" s="350"/>
      <c r="Y996" s="350"/>
      <c r="Z996" s="350"/>
      <c r="AA996" s="350"/>
      <c r="AB996" s="350"/>
      <c r="AC996" s="350"/>
      <c r="AD996" s="350"/>
      <c r="AE996" s="350"/>
    </row>
    <row r="997" s="294" customFormat="1" ht="27" customHeight="1">
      <c r="A997" s="414">
        <v>1</v>
      </c>
      <c r="B997" s="415" t="s">
        <v>820</v>
      </c>
      <c r="C997" s="416">
        <f>D997+K997+L997+M997+N997+O997+P997+Q997+R997+S997+T997</f>
        <v>1132951.51</v>
      </c>
      <c r="D997" s="416">
        <f>SUM(E997:I997)</f>
        <v>0</v>
      </c>
      <c r="E997" s="418">
        <v>0</v>
      </c>
      <c r="F997" s="418">
        <v>0</v>
      </c>
      <c r="G997" s="418">
        <v>0</v>
      </c>
      <c r="H997" s="418">
        <v>0</v>
      </c>
      <c r="I997" s="416">
        <v>0</v>
      </c>
      <c r="J997" s="417">
        <v>0</v>
      </c>
      <c r="K997" s="416">
        <v>0</v>
      </c>
      <c r="L997" s="416">
        <v>0</v>
      </c>
      <c r="M997" s="416">
        <v>0</v>
      </c>
      <c r="N997" s="416">
        <v>1132951.51</v>
      </c>
      <c r="O997" s="416">
        <v>0</v>
      </c>
      <c r="P997" s="418">
        <v>0</v>
      </c>
      <c r="Q997" s="416">
        <v>0</v>
      </c>
      <c r="R997" s="416">
        <v>0</v>
      </c>
      <c r="S997" s="416">
        <v>0</v>
      </c>
      <c r="T997" s="416">
        <v>0</v>
      </c>
      <c r="U997" s="54"/>
      <c r="V997" s="54"/>
      <c r="W997" s="54"/>
      <c r="X997" s="54"/>
      <c r="Y997" s="54"/>
      <c r="Z997" s="54"/>
      <c r="AA997" s="54"/>
      <c r="AB997" s="54"/>
      <c r="AC997" s="54"/>
      <c r="AD997" s="54"/>
      <c r="AE997" s="54"/>
    </row>
    <row r="998" s="294" customFormat="1" ht="27" customHeight="1">
      <c r="A998" s="493" t="s">
        <v>362</v>
      </c>
      <c r="B998" s="494"/>
      <c r="C998" s="510">
        <f>SUM(C999:C1000)</f>
        <v>40</v>
      </c>
      <c r="D998" s="510">
        <f>SUM(D999:D1000)</f>
        <v>40</v>
      </c>
      <c r="E998" s="510">
        <f>SUM(E999:E1000)</f>
        <v>40</v>
      </c>
      <c r="F998" s="510">
        <f>SUM(F999:F1000)</f>
        <v>0</v>
      </c>
      <c r="G998" s="510">
        <f>SUM(G999:G1000)</f>
        <v>0</v>
      </c>
      <c r="H998" s="510">
        <f>SUM(H999:H1000)</f>
        <v>0</v>
      </c>
      <c r="I998" s="510">
        <f>SUM(I999:I1000)</f>
        <v>0</v>
      </c>
      <c r="J998" s="527">
        <f>SUM(J999:J1000)</f>
        <v>0</v>
      </c>
      <c r="K998" s="510">
        <f>SUM(K999:K1000)</f>
        <v>0</v>
      </c>
      <c r="L998" s="510">
        <f>SUM(L999:L1000)</f>
        <v>0</v>
      </c>
      <c r="M998" s="510">
        <f>SUM(M999:M1000)</f>
        <v>0</v>
      </c>
      <c r="N998" s="510">
        <f>SUM(N999:N1000)</f>
        <v>0</v>
      </c>
      <c r="O998" s="510">
        <f>SUM(O999:O1000)</f>
        <v>0</v>
      </c>
      <c r="P998" s="510">
        <f>SUM(P999:P1000)</f>
        <v>0</v>
      </c>
      <c r="Q998" s="510">
        <f>SUM(Q999:Q1000)</f>
        <v>0</v>
      </c>
      <c r="R998" s="510">
        <f>SUM(R999:R1000)</f>
        <v>0</v>
      </c>
      <c r="S998" s="510">
        <f>SUM(S999:S1000)</f>
        <v>0</v>
      </c>
      <c r="T998" s="510">
        <f>SUM(T999:T1000)</f>
        <v>0</v>
      </c>
      <c r="U998" s="350"/>
      <c r="V998" s="350"/>
      <c r="W998" s="350"/>
      <c r="X998" s="350"/>
      <c r="Y998" s="350"/>
      <c r="Z998" s="350"/>
      <c r="AA998" s="350"/>
      <c r="AB998" s="350"/>
      <c r="AC998" s="350"/>
      <c r="AD998" s="350"/>
      <c r="AE998" s="350"/>
    </row>
    <row r="999" s="294" customFormat="1" ht="27" customHeight="1">
      <c r="A999" s="414">
        <v>1</v>
      </c>
      <c r="B999" s="415" t="s">
        <v>821</v>
      </c>
      <c r="C999" s="416">
        <f t="shared" ref="C999:C1000" si="343">D999+K999+L999+M999+N999+O999+P999+Q999+R999+S999+T999</f>
        <v>-2308115.6000000001</v>
      </c>
      <c r="D999" s="416">
        <f t="shared" ref="D999:D1000" si="344">SUM(E999:I999)</f>
        <v>-2308115.6000000001</v>
      </c>
      <c r="E999" s="416">
        <v>-2308115.6000000001</v>
      </c>
      <c r="F999" s="418">
        <v>0</v>
      </c>
      <c r="G999" s="416">
        <v>0</v>
      </c>
      <c r="H999" s="416">
        <v>0</v>
      </c>
      <c r="I999" s="416">
        <v>0</v>
      </c>
      <c r="J999" s="417">
        <v>0</v>
      </c>
      <c r="K999" s="416">
        <v>0</v>
      </c>
      <c r="L999" s="416">
        <v>0</v>
      </c>
      <c r="M999" s="418">
        <v>0</v>
      </c>
      <c r="N999" s="416">
        <v>0</v>
      </c>
      <c r="O999" s="418">
        <v>0</v>
      </c>
      <c r="P999" s="416">
        <v>0</v>
      </c>
      <c r="Q999" s="418">
        <v>0</v>
      </c>
      <c r="R999" s="416">
        <v>0</v>
      </c>
      <c r="S999" s="418">
        <v>0</v>
      </c>
      <c r="T999" s="416">
        <v>0</v>
      </c>
      <c r="U999" s="54"/>
      <c r="V999" s="54"/>
      <c r="W999" s="54"/>
      <c r="X999" s="54"/>
      <c r="Y999" s="54"/>
      <c r="Z999" s="54"/>
      <c r="AA999" s="54"/>
      <c r="AB999" s="54"/>
      <c r="AC999" s="54"/>
      <c r="AD999" s="54"/>
      <c r="AE999" s="54"/>
    </row>
    <row r="1000" s="294" customFormat="1" ht="27" customHeight="1">
      <c r="A1000" s="414"/>
      <c r="B1000" s="415" t="s">
        <v>821</v>
      </c>
      <c r="C1000" s="416">
        <f t="shared" si="343"/>
        <v>2308155.6000000001</v>
      </c>
      <c r="D1000" s="416">
        <f t="shared" si="344"/>
        <v>2308155.6000000001</v>
      </c>
      <c r="E1000" s="416">
        <v>2308155.6000000001</v>
      </c>
      <c r="F1000" s="416">
        <v>0</v>
      </c>
      <c r="G1000" s="416">
        <v>0</v>
      </c>
      <c r="H1000" s="416">
        <v>0</v>
      </c>
      <c r="I1000" s="416">
        <v>0</v>
      </c>
      <c r="J1000" s="417">
        <v>0</v>
      </c>
      <c r="K1000" s="416">
        <v>0</v>
      </c>
      <c r="L1000" s="416">
        <v>0</v>
      </c>
      <c r="M1000" s="416">
        <v>0</v>
      </c>
      <c r="N1000" s="416">
        <v>0</v>
      </c>
      <c r="O1000" s="416">
        <v>0</v>
      </c>
      <c r="P1000" s="416">
        <v>0</v>
      </c>
      <c r="Q1000" s="416">
        <v>0</v>
      </c>
      <c r="R1000" s="416">
        <v>0</v>
      </c>
      <c r="S1000" s="416">
        <v>0</v>
      </c>
      <c r="T1000" s="416">
        <v>0</v>
      </c>
      <c r="U1000" s="54"/>
      <c r="V1000" s="54"/>
      <c r="W1000" s="54"/>
      <c r="X1000" s="54"/>
      <c r="Y1000" s="54"/>
      <c r="Z1000" s="54"/>
      <c r="AA1000" s="54"/>
      <c r="AB1000" s="54"/>
      <c r="AC1000" s="54"/>
      <c r="AD1000" s="54"/>
      <c r="AE1000" s="54"/>
    </row>
    <row r="1001" s="294" customFormat="1" ht="23.25" customHeight="1">
      <c r="A1001" s="529" t="s">
        <v>381</v>
      </c>
      <c r="B1001" s="530"/>
      <c r="C1001" s="531">
        <f>SUM(C1002:C1015)</f>
        <v>10233715.550000001</v>
      </c>
      <c r="D1001" s="532">
        <f>SUM(D1002:D1015)</f>
        <v>4828677.7000000011</v>
      </c>
      <c r="E1001" s="532">
        <f>SUM(E1002:E1015)</f>
        <v>0</v>
      </c>
      <c r="F1001" s="532">
        <f>SUM(F1002:F1015)</f>
        <v>4828677.7000000011</v>
      </c>
      <c r="G1001" s="532">
        <f>SUM(G1002:G1015)</f>
        <v>0</v>
      </c>
      <c r="H1001" s="532">
        <f>SUM(H1002:H1015)</f>
        <v>0</v>
      </c>
      <c r="I1001" s="532">
        <f>SUM(I1002:I1015)</f>
        <v>0</v>
      </c>
      <c r="J1001" s="533">
        <f>SUM(J1002:J1015)</f>
        <v>0</v>
      </c>
      <c r="K1001" s="532">
        <f>SUM(K1002:K1015)</f>
        <v>0</v>
      </c>
      <c r="L1001" s="532">
        <f>SUM(L1002:L1015)</f>
        <v>4175025.96</v>
      </c>
      <c r="M1001" s="532">
        <f>SUM(M1002:M1015)</f>
        <v>0</v>
      </c>
      <c r="N1001" s="532">
        <f>SUM(N1002:N1015)</f>
        <v>1230011.8900000001</v>
      </c>
      <c r="O1001" s="532">
        <f>SUM(O1002:O1015)</f>
        <v>0</v>
      </c>
      <c r="P1001" s="532">
        <f>SUM(P1002:P1015)</f>
        <v>0</v>
      </c>
      <c r="Q1001" s="532">
        <f>SUM(Q1002:Q1015)</f>
        <v>0</v>
      </c>
      <c r="R1001" s="532">
        <f>SUM(R1002:R1015)</f>
        <v>0</v>
      </c>
      <c r="S1001" s="532">
        <f>SUM(S1002:S1015)</f>
        <v>0</v>
      </c>
      <c r="T1001" s="532">
        <f>SUM(T1002:T1015)</f>
        <v>0</v>
      </c>
      <c r="U1001" s="294"/>
      <c r="V1001" s="294"/>
      <c r="W1001" s="294"/>
      <c r="X1001" s="294"/>
      <c r="Y1001" s="294"/>
      <c r="Z1001" s="294"/>
      <c r="AA1001" s="294"/>
      <c r="AB1001" s="294"/>
      <c r="AC1001" s="294"/>
      <c r="AD1001" s="294"/>
      <c r="AE1001" s="294"/>
    </row>
    <row r="1002" s="294" customFormat="1" ht="22.5" customHeight="1">
      <c r="A1002" s="414">
        <v>1</v>
      </c>
      <c r="B1002" s="415" t="s">
        <v>822</v>
      </c>
      <c r="C1002" s="416">
        <f t="shared" ref="C1002:C1015" si="345">D1002+K1002+L1002+M1002+N1002+O1002+P1002+Q1002+R1002+S1002+T1002</f>
        <v>584936.85999999999</v>
      </c>
      <c r="D1002" s="416">
        <f t="shared" ref="D1002:D1015" si="346">SUM(E1002:I1002)</f>
        <v>0</v>
      </c>
      <c r="E1002" s="416">
        <v>0</v>
      </c>
      <c r="F1002" s="492">
        <v>0</v>
      </c>
      <c r="G1002" s="492">
        <v>0</v>
      </c>
      <c r="H1002" s="492">
        <v>0</v>
      </c>
      <c r="I1002" s="492">
        <v>0</v>
      </c>
      <c r="J1002" s="534">
        <v>0</v>
      </c>
      <c r="K1002" s="492">
        <v>0</v>
      </c>
      <c r="L1002" s="492">
        <v>0</v>
      </c>
      <c r="M1002" s="492">
        <v>0</v>
      </c>
      <c r="N1002" s="492">
        <v>584936.85999999999</v>
      </c>
      <c r="O1002" s="492">
        <v>0</v>
      </c>
      <c r="P1002" s="492">
        <v>0</v>
      </c>
      <c r="Q1002" s="492">
        <v>0</v>
      </c>
      <c r="R1002" s="492">
        <v>0</v>
      </c>
      <c r="S1002" s="492">
        <v>0</v>
      </c>
      <c r="T1002" s="492">
        <v>0</v>
      </c>
      <c r="U1002" s="294"/>
      <c r="V1002" s="294"/>
      <c r="W1002" s="294"/>
      <c r="X1002" s="294"/>
      <c r="Y1002" s="294"/>
      <c r="Z1002" s="294"/>
      <c r="AA1002" s="294"/>
      <c r="AB1002" s="294"/>
      <c r="AC1002" s="294"/>
      <c r="AD1002" s="294"/>
      <c r="AE1002" s="294"/>
    </row>
    <row r="1003" s="294" customFormat="1" ht="22.5" customHeight="1">
      <c r="A1003" s="414">
        <v>2</v>
      </c>
      <c r="B1003" s="415" t="s">
        <v>823</v>
      </c>
      <c r="C1003" s="416">
        <f t="shared" si="345"/>
        <v>0</v>
      </c>
      <c r="D1003" s="416">
        <f t="shared" si="346"/>
        <v>0</v>
      </c>
      <c r="E1003" s="416">
        <v>0</v>
      </c>
      <c r="F1003" s="492">
        <v>0</v>
      </c>
      <c r="G1003" s="492">
        <v>0</v>
      </c>
      <c r="H1003" s="492">
        <v>0</v>
      </c>
      <c r="I1003" s="492">
        <v>0</v>
      </c>
      <c r="J1003" s="534">
        <v>0</v>
      </c>
      <c r="K1003" s="492">
        <v>0</v>
      </c>
      <c r="L1003" s="492">
        <v>-645075.03000000003</v>
      </c>
      <c r="M1003" s="492">
        <v>0</v>
      </c>
      <c r="N1003" s="492">
        <v>645075.03000000003</v>
      </c>
      <c r="O1003" s="492">
        <v>0</v>
      </c>
      <c r="P1003" s="492">
        <v>0</v>
      </c>
      <c r="Q1003" s="492">
        <v>0</v>
      </c>
      <c r="R1003" s="492">
        <v>0</v>
      </c>
      <c r="S1003" s="492">
        <v>0</v>
      </c>
      <c r="T1003" s="492">
        <v>0</v>
      </c>
      <c r="U1003" s="294"/>
      <c r="V1003" s="294"/>
      <c r="W1003" s="294"/>
      <c r="X1003" s="294"/>
      <c r="Y1003" s="294"/>
      <c r="Z1003" s="294"/>
      <c r="AA1003" s="294"/>
      <c r="AB1003" s="294"/>
      <c r="AC1003" s="294"/>
      <c r="AD1003" s="294"/>
      <c r="AE1003" s="294"/>
    </row>
    <row r="1004" s="294" customFormat="1" ht="22.5" customHeight="1">
      <c r="A1004" s="414">
        <v>3</v>
      </c>
      <c r="B1004" s="415" t="s">
        <v>824</v>
      </c>
      <c r="C1004" s="416">
        <f t="shared" si="345"/>
        <v>542338.79000000004</v>
      </c>
      <c r="D1004" s="416">
        <f t="shared" si="346"/>
        <v>542338.79000000004</v>
      </c>
      <c r="E1004" s="416">
        <v>0</v>
      </c>
      <c r="F1004" s="492">
        <v>542338.79000000004</v>
      </c>
      <c r="G1004" s="492">
        <v>0</v>
      </c>
      <c r="H1004" s="492">
        <v>0</v>
      </c>
      <c r="I1004" s="492">
        <v>0</v>
      </c>
      <c r="J1004" s="534">
        <v>0</v>
      </c>
      <c r="K1004" s="492">
        <v>0</v>
      </c>
      <c r="L1004" s="492">
        <v>0</v>
      </c>
      <c r="M1004" s="492">
        <v>0</v>
      </c>
      <c r="N1004" s="492">
        <v>0</v>
      </c>
      <c r="O1004" s="492">
        <v>0</v>
      </c>
      <c r="P1004" s="492">
        <v>0</v>
      </c>
      <c r="Q1004" s="492">
        <v>0</v>
      </c>
      <c r="R1004" s="492">
        <v>0</v>
      </c>
      <c r="S1004" s="492">
        <v>0</v>
      </c>
      <c r="T1004" s="492">
        <v>0</v>
      </c>
      <c r="U1004" s="294"/>
      <c r="V1004" s="294"/>
      <c r="W1004" s="294"/>
      <c r="X1004" s="294"/>
      <c r="Y1004" s="294"/>
      <c r="Z1004" s="294"/>
      <c r="AA1004" s="294"/>
      <c r="AB1004" s="294"/>
      <c r="AC1004" s="294"/>
      <c r="AD1004" s="294"/>
      <c r="AE1004" s="294"/>
    </row>
    <row r="1005" s="294" customFormat="1" ht="22.5" customHeight="1">
      <c r="A1005" s="414">
        <v>4</v>
      </c>
      <c r="B1005" s="415" t="s">
        <v>825</v>
      </c>
      <c r="C1005" s="416">
        <f t="shared" si="345"/>
        <v>534857.16000000003</v>
      </c>
      <c r="D1005" s="416">
        <f t="shared" si="346"/>
        <v>534857.16000000003</v>
      </c>
      <c r="E1005" s="416">
        <v>0</v>
      </c>
      <c r="F1005" s="492">
        <v>534857.16000000003</v>
      </c>
      <c r="G1005" s="492">
        <v>0</v>
      </c>
      <c r="H1005" s="492">
        <v>0</v>
      </c>
      <c r="I1005" s="492">
        <v>0</v>
      </c>
      <c r="J1005" s="534">
        <v>0</v>
      </c>
      <c r="K1005" s="492">
        <v>0</v>
      </c>
      <c r="L1005" s="492">
        <v>0</v>
      </c>
      <c r="M1005" s="492">
        <v>0</v>
      </c>
      <c r="N1005" s="492">
        <v>0</v>
      </c>
      <c r="O1005" s="492">
        <v>0</v>
      </c>
      <c r="P1005" s="492">
        <v>0</v>
      </c>
      <c r="Q1005" s="492">
        <v>0</v>
      </c>
      <c r="R1005" s="492">
        <v>0</v>
      </c>
      <c r="S1005" s="492">
        <v>0</v>
      </c>
      <c r="T1005" s="492">
        <v>0</v>
      </c>
      <c r="U1005" s="294"/>
      <c r="V1005" s="294"/>
      <c r="W1005" s="294"/>
      <c r="X1005" s="294"/>
      <c r="Y1005" s="294"/>
      <c r="Z1005" s="294"/>
      <c r="AA1005" s="294"/>
      <c r="AB1005" s="294"/>
      <c r="AC1005" s="294"/>
      <c r="AD1005" s="294"/>
      <c r="AE1005" s="294"/>
    </row>
    <row r="1006" s="294" customFormat="1" ht="22.5" customHeight="1">
      <c r="A1006" s="414">
        <v>5</v>
      </c>
      <c r="B1006" s="415" t="s">
        <v>826</v>
      </c>
      <c r="C1006" s="416">
        <f t="shared" si="345"/>
        <v>534857.16000000003</v>
      </c>
      <c r="D1006" s="416">
        <f t="shared" si="346"/>
        <v>534857.16000000003</v>
      </c>
      <c r="E1006" s="416">
        <v>0</v>
      </c>
      <c r="F1006" s="492">
        <v>534857.16000000003</v>
      </c>
      <c r="G1006" s="492">
        <v>0</v>
      </c>
      <c r="H1006" s="492">
        <v>0</v>
      </c>
      <c r="I1006" s="492">
        <v>0</v>
      </c>
      <c r="J1006" s="534">
        <v>0</v>
      </c>
      <c r="K1006" s="492">
        <v>0</v>
      </c>
      <c r="L1006" s="492">
        <v>0</v>
      </c>
      <c r="M1006" s="492">
        <v>0</v>
      </c>
      <c r="N1006" s="492">
        <v>0</v>
      </c>
      <c r="O1006" s="492">
        <v>0</v>
      </c>
      <c r="P1006" s="492">
        <v>0</v>
      </c>
      <c r="Q1006" s="492">
        <v>0</v>
      </c>
      <c r="R1006" s="492">
        <v>0</v>
      </c>
      <c r="S1006" s="492">
        <v>0</v>
      </c>
      <c r="T1006" s="492">
        <v>0</v>
      </c>
      <c r="U1006" s="294"/>
      <c r="V1006" s="294"/>
      <c r="W1006" s="294"/>
      <c r="X1006" s="294"/>
      <c r="Y1006" s="294"/>
      <c r="Z1006" s="294"/>
      <c r="AA1006" s="294"/>
      <c r="AB1006" s="294"/>
      <c r="AC1006" s="294"/>
      <c r="AD1006" s="294"/>
      <c r="AE1006" s="294"/>
    </row>
    <row r="1007" s="294" customFormat="1" ht="22.5" customHeight="1">
      <c r="A1007" s="414">
        <v>6</v>
      </c>
      <c r="B1007" s="415" t="s">
        <v>827</v>
      </c>
      <c r="C1007" s="416">
        <f t="shared" si="345"/>
        <v>534857.16000000003</v>
      </c>
      <c r="D1007" s="416">
        <f t="shared" si="346"/>
        <v>534857.16000000003</v>
      </c>
      <c r="E1007" s="416">
        <v>0</v>
      </c>
      <c r="F1007" s="492">
        <v>534857.16000000003</v>
      </c>
      <c r="G1007" s="492">
        <v>0</v>
      </c>
      <c r="H1007" s="492">
        <v>0</v>
      </c>
      <c r="I1007" s="492">
        <v>0</v>
      </c>
      <c r="J1007" s="534">
        <v>0</v>
      </c>
      <c r="K1007" s="492">
        <v>0</v>
      </c>
      <c r="L1007" s="492">
        <v>0</v>
      </c>
      <c r="M1007" s="492">
        <v>0</v>
      </c>
      <c r="N1007" s="492">
        <v>0</v>
      </c>
      <c r="O1007" s="492">
        <v>0</v>
      </c>
      <c r="P1007" s="492">
        <v>0</v>
      </c>
      <c r="Q1007" s="492">
        <v>0</v>
      </c>
      <c r="R1007" s="492">
        <v>0</v>
      </c>
      <c r="S1007" s="492">
        <v>0</v>
      </c>
      <c r="T1007" s="492">
        <v>0</v>
      </c>
      <c r="U1007" s="294"/>
      <c r="V1007" s="294"/>
      <c r="W1007" s="294"/>
      <c r="X1007" s="294"/>
      <c r="Y1007" s="294"/>
      <c r="Z1007" s="294"/>
      <c r="AA1007" s="294"/>
      <c r="AB1007" s="294"/>
      <c r="AC1007" s="294"/>
      <c r="AD1007" s="294"/>
      <c r="AE1007" s="294"/>
    </row>
    <row r="1008" s="294" customFormat="1" ht="22.5" customHeight="1">
      <c r="A1008" s="414">
        <v>7</v>
      </c>
      <c r="B1008" s="415" t="s">
        <v>828</v>
      </c>
      <c r="C1008" s="416">
        <f t="shared" si="345"/>
        <v>534857.16000000003</v>
      </c>
      <c r="D1008" s="416">
        <f t="shared" si="346"/>
        <v>534857.16000000003</v>
      </c>
      <c r="E1008" s="416">
        <v>0</v>
      </c>
      <c r="F1008" s="492">
        <v>534857.16000000003</v>
      </c>
      <c r="G1008" s="492">
        <v>0</v>
      </c>
      <c r="H1008" s="492">
        <v>0</v>
      </c>
      <c r="I1008" s="492">
        <v>0</v>
      </c>
      <c r="J1008" s="534">
        <v>0</v>
      </c>
      <c r="K1008" s="492">
        <v>0</v>
      </c>
      <c r="L1008" s="492">
        <v>0</v>
      </c>
      <c r="M1008" s="492">
        <v>0</v>
      </c>
      <c r="N1008" s="492">
        <v>0</v>
      </c>
      <c r="O1008" s="492">
        <v>0</v>
      </c>
      <c r="P1008" s="492">
        <v>0</v>
      </c>
      <c r="Q1008" s="492">
        <v>0</v>
      </c>
      <c r="R1008" s="492">
        <v>0</v>
      </c>
      <c r="S1008" s="492">
        <v>0</v>
      </c>
      <c r="T1008" s="492">
        <v>0</v>
      </c>
      <c r="U1008" s="294"/>
      <c r="V1008" s="294"/>
      <c r="W1008" s="294"/>
      <c r="X1008" s="294"/>
      <c r="Y1008" s="294"/>
      <c r="Z1008" s="294"/>
      <c r="AA1008" s="294"/>
      <c r="AB1008" s="294"/>
      <c r="AC1008" s="294"/>
      <c r="AD1008" s="294"/>
      <c r="AE1008" s="294"/>
    </row>
    <row r="1009" s="294" customFormat="1" ht="22.5" customHeight="1">
      <c r="A1009" s="414">
        <v>8</v>
      </c>
      <c r="B1009" s="415" t="s">
        <v>829</v>
      </c>
      <c r="C1009" s="416">
        <f t="shared" si="345"/>
        <v>534857.16000000003</v>
      </c>
      <c r="D1009" s="416">
        <f t="shared" si="346"/>
        <v>534857.16000000003</v>
      </c>
      <c r="E1009" s="416">
        <v>0</v>
      </c>
      <c r="F1009" s="492">
        <v>534857.16000000003</v>
      </c>
      <c r="G1009" s="492">
        <v>0</v>
      </c>
      <c r="H1009" s="492">
        <v>0</v>
      </c>
      <c r="I1009" s="492">
        <v>0</v>
      </c>
      <c r="J1009" s="534">
        <v>0</v>
      </c>
      <c r="K1009" s="492">
        <v>0</v>
      </c>
      <c r="L1009" s="492">
        <v>0</v>
      </c>
      <c r="M1009" s="492">
        <v>0</v>
      </c>
      <c r="N1009" s="492">
        <v>0</v>
      </c>
      <c r="O1009" s="492">
        <v>0</v>
      </c>
      <c r="P1009" s="492">
        <v>0</v>
      </c>
      <c r="Q1009" s="492">
        <v>0</v>
      </c>
      <c r="R1009" s="492">
        <v>0</v>
      </c>
      <c r="S1009" s="492">
        <v>0</v>
      </c>
      <c r="T1009" s="492">
        <v>0</v>
      </c>
      <c r="U1009" s="294"/>
      <c r="V1009" s="294"/>
      <c r="W1009" s="294"/>
      <c r="X1009" s="294"/>
      <c r="Y1009" s="294"/>
      <c r="Z1009" s="294"/>
      <c r="AA1009" s="294"/>
      <c r="AB1009" s="294"/>
      <c r="AC1009" s="294"/>
      <c r="AD1009" s="294"/>
      <c r="AE1009" s="294"/>
    </row>
    <row r="1010" s="294" customFormat="1" ht="22.5" customHeight="1">
      <c r="A1010" s="414">
        <v>9</v>
      </c>
      <c r="B1010" s="415" t="s">
        <v>830</v>
      </c>
      <c r="C1010" s="416">
        <f t="shared" si="345"/>
        <v>534857.16000000003</v>
      </c>
      <c r="D1010" s="416">
        <f t="shared" si="346"/>
        <v>534857.16000000003</v>
      </c>
      <c r="E1010" s="416">
        <v>0</v>
      </c>
      <c r="F1010" s="492">
        <v>534857.16000000003</v>
      </c>
      <c r="G1010" s="492">
        <v>0</v>
      </c>
      <c r="H1010" s="492">
        <v>0</v>
      </c>
      <c r="I1010" s="492">
        <v>0</v>
      </c>
      <c r="J1010" s="534">
        <v>0</v>
      </c>
      <c r="K1010" s="492">
        <v>0</v>
      </c>
      <c r="L1010" s="492">
        <v>0</v>
      </c>
      <c r="M1010" s="492">
        <v>0</v>
      </c>
      <c r="N1010" s="492">
        <v>0</v>
      </c>
      <c r="O1010" s="492">
        <v>0</v>
      </c>
      <c r="P1010" s="492">
        <v>0</v>
      </c>
      <c r="Q1010" s="492">
        <v>0</v>
      </c>
      <c r="R1010" s="492">
        <v>0</v>
      </c>
      <c r="S1010" s="492">
        <v>0</v>
      </c>
      <c r="T1010" s="492">
        <v>0</v>
      </c>
      <c r="U1010" s="294"/>
      <c r="V1010" s="294"/>
      <c r="W1010" s="294"/>
      <c r="X1010" s="294"/>
      <c r="Y1010" s="294"/>
      <c r="Z1010" s="294"/>
      <c r="AA1010" s="294"/>
      <c r="AB1010" s="294"/>
      <c r="AC1010" s="294"/>
      <c r="AD1010" s="294"/>
      <c r="AE1010" s="294"/>
    </row>
    <row r="1011" s="294" customFormat="1" ht="22.5" customHeight="1">
      <c r="A1011" s="414">
        <v>10</v>
      </c>
      <c r="B1011" s="415" t="s">
        <v>831</v>
      </c>
      <c r="C1011" s="416">
        <f t="shared" si="345"/>
        <v>534857.16000000003</v>
      </c>
      <c r="D1011" s="416">
        <f t="shared" si="346"/>
        <v>534857.16000000003</v>
      </c>
      <c r="E1011" s="416">
        <v>0</v>
      </c>
      <c r="F1011" s="492">
        <v>534857.16000000003</v>
      </c>
      <c r="G1011" s="492">
        <v>0</v>
      </c>
      <c r="H1011" s="492">
        <v>0</v>
      </c>
      <c r="I1011" s="492">
        <v>0</v>
      </c>
      <c r="J1011" s="534">
        <v>0</v>
      </c>
      <c r="K1011" s="492">
        <v>0</v>
      </c>
      <c r="L1011" s="492">
        <v>0</v>
      </c>
      <c r="M1011" s="492">
        <v>0</v>
      </c>
      <c r="N1011" s="492">
        <v>0</v>
      </c>
      <c r="O1011" s="492">
        <v>0</v>
      </c>
      <c r="P1011" s="492">
        <v>0</v>
      </c>
      <c r="Q1011" s="492">
        <v>0</v>
      </c>
      <c r="R1011" s="492">
        <v>0</v>
      </c>
      <c r="S1011" s="492">
        <v>0</v>
      </c>
      <c r="T1011" s="492">
        <v>0</v>
      </c>
      <c r="U1011" s="294"/>
      <c r="V1011" s="294"/>
      <c r="W1011" s="294"/>
      <c r="X1011" s="294"/>
      <c r="Y1011" s="294"/>
      <c r="Z1011" s="294"/>
      <c r="AA1011" s="294"/>
      <c r="AB1011" s="294"/>
      <c r="AC1011" s="294"/>
      <c r="AD1011" s="294"/>
      <c r="AE1011" s="294"/>
    </row>
    <row r="1012" s="294" customFormat="1" ht="22.5" customHeight="1">
      <c r="A1012" s="414">
        <v>11</v>
      </c>
      <c r="B1012" s="415" t="s">
        <v>832</v>
      </c>
      <c r="C1012" s="416">
        <f t="shared" si="345"/>
        <v>542338.79000000004</v>
      </c>
      <c r="D1012" s="416">
        <f t="shared" si="346"/>
        <v>542338.79000000004</v>
      </c>
      <c r="E1012" s="416">
        <v>0</v>
      </c>
      <c r="F1012" s="492">
        <v>542338.79000000004</v>
      </c>
      <c r="G1012" s="492">
        <v>0</v>
      </c>
      <c r="H1012" s="492">
        <v>0</v>
      </c>
      <c r="I1012" s="492">
        <v>0</v>
      </c>
      <c r="J1012" s="534">
        <v>0</v>
      </c>
      <c r="K1012" s="492">
        <v>0</v>
      </c>
      <c r="L1012" s="492">
        <v>0</v>
      </c>
      <c r="M1012" s="492">
        <v>0</v>
      </c>
      <c r="N1012" s="492">
        <v>0</v>
      </c>
      <c r="O1012" s="492">
        <v>0</v>
      </c>
      <c r="P1012" s="492">
        <v>0</v>
      </c>
      <c r="Q1012" s="492">
        <v>0</v>
      </c>
      <c r="R1012" s="492">
        <v>0</v>
      </c>
      <c r="S1012" s="492">
        <v>0</v>
      </c>
      <c r="T1012" s="492">
        <v>0</v>
      </c>
      <c r="U1012" s="294"/>
      <c r="V1012" s="294"/>
      <c r="W1012" s="294"/>
      <c r="X1012" s="294"/>
      <c r="Y1012" s="294"/>
      <c r="Z1012" s="294"/>
      <c r="AA1012" s="294"/>
      <c r="AB1012" s="294"/>
      <c r="AC1012" s="294"/>
      <c r="AD1012" s="294"/>
      <c r="AE1012" s="294"/>
    </row>
    <row r="1013" s="294" customFormat="1" ht="22.5" customHeight="1">
      <c r="A1013" s="414">
        <v>12</v>
      </c>
      <c r="B1013" s="55" t="s">
        <v>833</v>
      </c>
      <c r="C1013" s="416">
        <f t="shared" si="345"/>
        <v>994215.5</v>
      </c>
      <c r="D1013" s="416">
        <f t="shared" si="346"/>
        <v>0</v>
      </c>
      <c r="E1013" s="416">
        <v>0</v>
      </c>
      <c r="F1013" s="492">
        <v>0</v>
      </c>
      <c r="G1013" s="492">
        <v>0</v>
      </c>
      <c r="H1013" s="492">
        <v>0</v>
      </c>
      <c r="I1013" s="492">
        <v>0</v>
      </c>
      <c r="J1013" s="534">
        <v>0</v>
      </c>
      <c r="K1013" s="492">
        <v>0</v>
      </c>
      <c r="L1013" s="492">
        <v>994215.5</v>
      </c>
      <c r="M1013" s="492">
        <v>0</v>
      </c>
      <c r="N1013" s="492">
        <v>0</v>
      </c>
      <c r="O1013" s="492">
        <v>0</v>
      </c>
      <c r="P1013" s="492">
        <v>0</v>
      </c>
      <c r="Q1013" s="492">
        <v>0</v>
      </c>
      <c r="R1013" s="492">
        <v>0</v>
      </c>
      <c r="S1013" s="492">
        <v>0</v>
      </c>
      <c r="T1013" s="492">
        <v>0</v>
      </c>
      <c r="U1013" s="294"/>
      <c r="V1013" s="294"/>
      <c r="W1013" s="294"/>
      <c r="X1013" s="294"/>
      <c r="Y1013" s="294"/>
      <c r="Z1013" s="294"/>
      <c r="AA1013" s="294"/>
      <c r="AB1013" s="294"/>
      <c r="AC1013" s="294"/>
      <c r="AD1013" s="294"/>
      <c r="AE1013" s="294"/>
    </row>
    <row r="1014" s="294" customFormat="1" ht="22.5" customHeight="1">
      <c r="A1014" s="414">
        <v>13</v>
      </c>
      <c r="B1014" s="535" t="s">
        <v>688</v>
      </c>
      <c r="C1014" s="536">
        <f t="shared" si="345"/>
        <v>1346613.52</v>
      </c>
      <c r="D1014" s="536">
        <f t="shared" si="346"/>
        <v>0</v>
      </c>
      <c r="E1014" s="536">
        <v>0</v>
      </c>
      <c r="F1014" s="537">
        <v>0</v>
      </c>
      <c r="G1014" s="537">
        <v>0</v>
      </c>
      <c r="H1014" s="537">
        <v>0</v>
      </c>
      <c r="I1014" s="537">
        <v>0</v>
      </c>
      <c r="J1014" s="538">
        <v>0</v>
      </c>
      <c r="K1014" s="537">
        <v>0</v>
      </c>
      <c r="L1014" s="537">
        <v>1346613.52</v>
      </c>
      <c r="M1014" s="537">
        <v>0</v>
      </c>
      <c r="N1014" s="537">
        <v>0</v>
      </c>
      <c r="O1014" s="537">
        <v>0</v>
      </c>
      <c r="P1014" s="537">
        <v>0</v>
      </c>
      <c r="Q1014" s="537">
        <v>0</v>
      </c>
      <c r="R1014" s="537">
        <v>0</v>
      </c>
      <c r="S1014" s="537">
        <v>0</v>
      </c>
      <c r="T1014" s="537">
        <v>0</v>
      </c>
      <c r="U1014" s="294"/>
      <c r="V1014" s="294"/>
      <c r="W1014" s="294"/>
      <c r="X1014" s="294"/>
      <c r="Y1014" s="294"/>
      <c r="Z1014" s="294"/>
      <c r="AA1014" s="294"/>
      <c r="AB1014" s="294"/>
      <c r="AC1014" s="294"/>
      <c r="AD1014" s="294"/>
      <c r="AE1014" s="294"/>
    </row>
    <row r="1015" s="294" customFormat="1" ht="22.5" customHeight="1">
      <c r="A1015" s="414">
        <v>14</v>
      </c>
      <c r="B1015" s="415" t="s">
        <v>834</v>
      </c>
      <c r="C1015" s="416">
        <f t="shared" si="345"/>
        <v>2479271.9700000002</v>
      </c>
      <c r="D1015" s="416">
        <f t="shared" si="346"/>
        <v>0</v>
      </c>
      <c r="E1015" s="416">
        <v>0</v>
      </c>
      <c r="F1015" s="492">
        <v>0</v>
      </c>
      <c r="G1015" s="492">
        <v>0</v>
      </c>
      <c r="H1015" s="492">
        <v>0</v>
      </c>
      <c r="I1015" s="492">
        <v>0</v>
      </c>
      <c r="J1015" s="534">
        <v>0</v>
      </c>
      <c r="K1015" s="492">
        <v>0</v>
      </c>
      <c r="L1015" s="492">
        <v>2479271.9700000002</v>
      </c>
      <c r="M1015" s="492">
        <v>0</v>
      </c>
      <c r="N1015" s="492">
        <v>0</v>
      </c>
      <c r="O1015" s="492">
        <v>0</v>
      </c>
      <c r="P1015" s="492">
        <v>0</v>
      </c>
      <c r="Q1015" s="492">
        <v>0</v>
      </c>
      <c r="R1015" s="492">
        <v>0</v>
      </c>
      <c r="S1015" s="492">
        <v>0</v>
      </c>
      <c r="T1015" s="492">
        <v>0</v>
      </c>
      <c r="U1015" s="294"/>
      <c r="V1015" s="294"/>
      <c r="W1015" s="294"/>
      <c r="X1015" s="294"/>
      <c r="Y1015" s="294"/>
      <c r="Z1015" s="294"/>
      <c r="AA1015" s="294"/>
      <c r="AB1015" s="294"/>
      <c r="AC1015" s="294"/>
      <c r="AD1015" s="294"/>
      <c r="AE1015" s="294"/>
    </row>
    <row r="1016" s="294" customFormat="1" ht="22.5" customHeight="1">
      <c r="A1016" s="493" t="s">
        <v>411</v>
      </c>
      <c r="B1016" s="494"/>
      <c r="C1016" s="510">
        <f>SUM(C1017:C1020)</f>
        <v>-2057903.3999999994</v>
      </c>
      <c r="D1016" s="510">
        <f>SUM(D1017:D1020)</f>
        <v>-2057903.3999999994</v>
      </c>
      <c r="E1016" s="510">
        <f>SUM(E1017:E1020)</f>
        <v>0</v>
      </c>
      <c r="F1016" s="510">
        <f>SUM(F1017:F1020)</f>
        <v>-1202520</v>
      </c>
      <c r="G1016" s="510">
        <f>SUM(G1017:G1020)</f>
        <v>-318984.59999999998</v>
      </c>
      <c r="H1016" s="510">
        <f>SUM(H1017:H1020)</f>
        <v>-119720.40000000002</v>
      </c>
      <c r="I1016" s="510">
        <f>SUM(I1017:I1020)</f>
        <v>-416678.40000000014</v>
      </c>
      <c r="J1016" s="527">
        <f>SUM(J1017:J1020)</f>
        <v>0</v>
      </c>
      <c r="K1016" s="510">
        <f>SUM(K1017:K1020)</f>
        <v>0</v>
      </c>
      <c r="L1016" s="510">
        <f>SUM(L1017:L1020)</f>
        <v>0</v>
      </c>
      <c r="M1016" s="510">
        <f>SUM(M1017:M1020)</f>
        <v>0</v>
      </c>
      <c r="N1016" s="510">
        <f>SUM(N1017:N1020)</f>
        <v>0</v>
      </c>
      <c r="O1016" s="510">
        <f>SUM(O1017:O1020)</f>
        <v>0</v>
      </c>
      <c r="P1016" s="510">
        <f>SUM(P1017:P1020)</f>
        <v>0</v>
      </c>
      <c r="Q1016" s="510">
        <f>SUM(Q1017:Q1020)</f>
        <v>0</v>
      </c>
      <c r="R1016" s="510">
        <f>SUM(R1017:R1020)</f>
        <v>0</v>
      </c>
      <c r="S1016" s="510">
        <f>SUM(S1017:S1020)</f>
        <v>0</v>
      </c>
      <c r="T1016" s="510">
        <f>SUM(T1017:T1020)</f>
        <v>0</v>
      </c>
      <c r="U1016" s="350"/>
      <c r="V1016" s="350"/>
      <c r="W1016" s="350"/>
      <c r="X1016" s="350"/>
      <c r="Y1016" s="350"/>
      <c r="Z1016" s="350"/>
      <c r="AA1016" s="350"/>
      <c r="AB1016" s="350"/>
      <c r="AC1016" s="350"/>
      <c r="AD1016" s="350"/>
      <c r="AE1016" s="350"/>
      <c r="AF1016" s="294"/>
      <c r="AG1016" s="294"/>
      <c r="AH1016" s="294"/>
      <c r="AI1016" s="294"/>
    </row>
    <row r="1017" s="294" customFormat="1" ht="22.5" customHeight="1">
      <c r="A1017" s="414">
        <v>1</v>
      </c>
      <c r="B1017" s="467" t="s">
        <v>418</v>
      </c>
      <c r="C1017" s="416">
        <f t="shared" ref="C1017:C1020" si="347">D1017+K1017+L1017+M1017+N1017+O1017+P1017+Q1017+R1017+S1017+T1017</f>
        <v>-459594</v>
      </c>
      <c r="D1017" s="416">
        <f t="shared" ref="D1017:D1020" si="348">SUM(E1017:I1017)</f>
        <v>-459594</v>
      </c>
      <c r="E1017" s="468">
        <v>0</v>
      </c>
      <c r="F1017" s="468">
        <v>0</v>
      </c>
      <c r="G1017" s="470">
        <v>0</v>
      </c>
      <c r="H1017" s="468">
        <v>-190591.20000000001</v>
      </c>
      <c r="I1017" s="470">
        <v>-269002.79999999999</v>
      </c>
      <c r="J1017" s="469">
        <v>0</v>
      </c>
      <c r="K1017" s="468">
        <v>0</v>
      </c>
      <c r="L1017" s="468">
        <v>0</v>
      </c>
      <c r="M1017" s="470">
        <v>0</v>
      </c>
      <c r="N1017" s="470">
        <v>0</v>
      </c>
      <c r="O1017" s="470">
        <v>0</v>
      </c>
      <c r="P1017" s="468">
        <v>0</v>
      </c>
      <c r="Q1017" s="470">
        <v>0</v>
      </c>
      <c r="R1017" s="470">
        <v>0</v>
      </c>
      <c r="S1017" s="470">
        <v>0</v>
      </c>
      <c r="T1017" s="470">
        <v>0</v>
      </c>
      <c r="U1017" s="54"/>
      <c r="V1017" s="54"/>
      <c r="W1017" s="54"/>
      <c r="X1017" s="54"/>
      <c r="Y1017" s="54"/>
      <c r="Z1017" s="54"/>
      <c r="AA1017" s="54"/>
      <c r="AB1017" s="54"/>
      <c r="AC1017" s="54"/>
      <c r="AD1017" s="54"/>
      <c r="AE1017" s="54"/>
      <c r="AF1017" s="294"/>
      <c r="AG1017" s="294"/>
      <c r="AH1017" s="294"/>
      <c r="AI1017" s="294"/>
    </row>
    <row r="1018" s="294" customFormat="1" ht="22.5" customHeight="1">
      <c r="A1018" s="414"/>
      <c r="B1018" s="467" t="s">
        <v>418</v>
      </c>
      <c r="C1018" s="416">
        <f t="shared" si="347"/>
        <v>201775.20000000001</v>
      </c>
      <c r="D1018" s="416">
        <f t="shared" si="348"/>
        <v>201775.20000000001</v>
      </c>
      <c r="E1018" s="468">
        <v>0</v>
      </c>
      <c r="F1018" s="468">
        <v>0</v>
      </c>
      <c r="G1018" s="470">
        <v>0</v>
      </c>
      <c r="H1018" s="468">
        <v>126085.2</v>
      </c>
      <c r="I1018" s="470">
        <v>75690</v>
      </c>
      <c r="J1018" s="469">
        <v>0</v>
      </c>
      <c r="K1018" s="468">
        <v>0</v>
      </c>
      <c r="L1018" s="468">
        <v>0</v>
      </c>
      <c r="M1018" s="470">
        <v>0</v>
      </c>
      <c r="N1018" s="470">
        <v>0</v>
      </c>
      <c r="O1018" s="470">
        <v>0</v>
      </c>
      <c r="P1018" s="468">
        <v>0</v>
      </c>
      <c r="Q1018" s="470">
        <v>0</v>
      </c>
      <c r="R1018" s="470">
        <v>0</v>
      </c>
      <c r="S1018" s="470">
        <v>0</v>
      </c>
      <c r="T1018" s="470">
        <v>0</v>
      </c>
      <c r="U1018" s="54"/>
      <c r="V1018" s="54"/>
      <c r="W1018" s="54"/>
      <c r="X1018" s="54"/>
      <c r="Y1018" s="54"/>
      <c r="Z1018" s="54"/>
      <c r="AA1018" s="54"/>
      <c r="AB1018" s="54"/>
      <c r="AC1018" s="54"/>
      <c r="AD1018" s="54"/>
      <c r="AE1018" s="54"/>
      <c r="AF1018" s="294"/>
      <c r="AG1018" s="294"/>
      <c r="AH1018" s="294"/>
      <c r="AI1018" s="294"/>
    </row>
    <row r="1019" s="294" customFormat="1" ht="22.5" customHeight="1">
      <c r="A1019" s="414">
        <v>2</v>
      </c>
      <c r="B1019" s="511" t="s">
        <v>835</v>
      </c>
      <c r="C1019" s="416">
        <f t="shared" si="347"/>
        <v>-7812895.1999999993</v>
      </c>
      <c r="D1019" s="416">
        <f t="shared" si="348"/>
        <v>-7812895.1999999993</v>
      </c>
      <c r="E1019" s="468">
        <v>0</v>
      </c>
      <c r="F1019" s="404">
        <v>-4981728</v>
      </c>
      <c r="G1019" s="404">
        <v>-1045713.6</v>
      </c>
      <c r="H1019" s="404">
        <v>-423396</v>
      </c>
      <c r="I1019" s="404">
        <v>-1362057.6000000001</v>
      </c>
      <c r="J1019" s="469">
        <v>0</v>
      </c>
      <c r="K1019" s="468">
        <v>0</v>
      </c>
      <c r="L1019" s="468">
        <v>0</v>
      </c>
      <c r="M1019" s="470">
        <v>0</v>
      </c>
      <c r="N1019" s="470">
        <v>0</v>
      </c>
      <c r="O1019" s="470">
        <v>0</v>
      </c>
      <c r="P1019" s="468">
        <v>0</v>
      </c>
      <c r="Q1019" s="470">
        <v>0</v>
      </c>
      <c r="R1019" s="470">
        <v>0</v>
      </c>
      <c r="S1019" s="470">
        <v>0</v>
      </c>
      <c r="T1019" s="470">
        <v>0</v>
      </c>
      <c r="U1019" s="54"/>
      <c r="V1019" s="54"/>
      <c r="W1019" s="54"/>
      <c r="X1019" s="54"/>
      <c r="Y1019" s="54"/>
      <c r="Z1019" s="54"/>
      <c r="AA1019" s="54"/>
      <c r="AB1019" s="54"/>
      <c r="AC1019" s="54"/>
      <c r="AD1019" s="54"/>
      <c r="AE1019" s="54"/>
    </row>
    <row r="1020" s="294" customFormat="1" ht="22.5" customHeight="1">
      <c r="A1020" s="414"/>
      <c r="B1020" s="511" t="s">
        <v>835</v>
      </c>
      <c r="C1020" s="416">
        <f t="shared" si="347"/>
        <v>6012810.5999999996</v>
      </c>
      <c r="D1020" s="416">
        <f t="shared" si="348"/>
        <v>6012810.5999999996</v>
      </c>
      <c r="E1020" s="468">
        <v>0</v>
      </c>
      <c r="F1020" s="404">
        <v>3779208</v>
      </c>
      <c r="G1020" s="404">
        <v>726729</v>
      </c>
      <c r="H1020" s="404">
        <v>368181.59999999998</v>
      </c>
      <c r="I1020" s="404">
        <v>1138692</v>
      </c>
      <c r="J1020" s="469">
        <v>0</v>
      </c>
      <c r="K1020" s="468">
        <v>0</v>
      </c>
      <c r="L1020" s="468">
        <v>0</v>
      </c>
      <c r="M1020" s="470">
        <v>0</v>
      </c>
      <c r="N1020" s="470">
        <v>0</v>
      </c>
      <c r="O1020" s="470">
        <v>0</v>
      </c>
      <c r="P1020" s="468">
        <v>0</v>
      </c>
      <c r="Q1020" s="470">
        <v>0</v>
      </c>
      <c r="R1020" s="470">
        <v>0</v>
      </c>
      <c r="S1020" s="470">
        <v>0</v>
      </c>
      <c r="T1020" s="470">
        <v>0</v>
      </c>
      <c r="U1020" s="54"/>
      <c r="V1020" s="54"/>
      <c r="W1020" s="54"/>
      <c r="X1020" s="54"/>
      <c r="Y1020" s="54"/>
      <c r="Z1020" s="54"/>
      <c r="AA1020" s="54"/>
      <c r="AB1020" s="54"/>
      <c r="AC1020" s="54"/>
      <c r="AD1020" s="54"/>
      <c r="AE1020" s="54"/>
      <c r="AF1020" s="294"/>
      <c r="AG1020" s="294"/>
      <c r="AH1020" s="294"/>
      <c r="AI1020" s="294"/>
    </row>
    <row r="1021" s="294" customFormat="1" ht="22.5" customHeight="1">
      <c r="A1021" s="493" t="s">
        <v>435</v>
      </c>
      <c r="B1021" s="494"/>
      <c r="C1021" s="528">
        <f>SUM(C1022:C1023)</f>
        <v>-0.5</v>
      </c>
      <c r="D1021" s="510">
        <f>SUM(D1022:D1023)</f>
        <v>0</v>
      </c>
      <c r="E1021" s="528">
        <f>SUM(E1022:E1023)</f>
        <v>0</v>
      </c>
      <c r="F1021" s="510">
        <f>SUM(F1022:F1023)</f>
        <v>0</v>
      </c>
      <c r="G1021" s="528">
        <f>SUM(G1022:G1023)</f>
        <v>0</v>
      </c>
      <c r="H1021" s="510">
        <f>SUM(H1022:H1023)</f>
        <v>0</v>
      </c>
      <c r="I1021" s="528">
        <f>SUM(I1022:I1023)</f>
        <v>0</v>
      </c>
      <c r="J1021" s="527">
        <f>SUM(J1022:J1023)</f>
        <v>0</v>
      </c>
      <c r="K1021" s="528">
        <f>SUM(K1022:K1023)</f>
        <v>0</v>
      </c>
      <c r="L1021" s="510">
        <f>SUM(L1022:L1023)</f>
        <v>-0.5</v>
      </c>
      <c r="M1021" s="528">
        <f>SUM(M1022:M1023)</f>
        <v>0</v>
      </c>
      <c r="N1021" s="510">
        <f>SUM(N1022:N1023)</f>
        <v>0</v>
      </c>
      <c r="O1021" s="528">
        <f>SUM(O1022:O1023)</f>
        <v>0</v>
      </c>
      <c r="P1021" s="510">
        <f>SUM(P1022:P1023)</f>
        <v>0</v>
      </c>
      <c r="Q1021" s="528">
        <f>SUM(Q1022:Q1023)</f>
        <v>0</v>
      </c>
      <c r="R1021" s="510">
        <f>SUM(R1022:R1023)</f>
        <v>0</v>
      </c>
      <c r="S1021" s="528">
        <f>SUM(S1022:S1023)</f>
        <v>0</v>
      </c>
      <c r="T1021" s="510">
        <f>SUM(T1022:T1023)</f>
        <v>0</v>
      </c>
      <c r="U1021" s="350"/>
      <c r="V1021" s="350"/>
      <c r="W1021" s="350"/>
      <c r="X1021" s="350"/>
      <c r="Y1021" s="350"/>
      <c r="Z1021" s="350"/>
      <c r="AA1021" s="350"/>
      <c r="AB1021" s="350"/>
      <c r="AC1021" s="350"/>
      <c r="AD1021" s="350"/>
      <c r="AE1021" s="350"/>
      <c r="AF1021" s="350"/>
      <c r="AG1021" s="350"/>
      <c r="AH1021" s="350"/>
      <c r="AI1021" s="350"/>
    </row>
    <row r="1022" s="294" customFormat="1" ht="22.5" customHeight="1">
      <c r="A1022" s="414">
        <v>1</v>
      </c>
      <c r="B1022" s="415" t="s">
        <v>700</v>
      </c>
      <c r="C1022" s="416">
        <f t="shared" ref="C1022:C1023" si="349">D1022+K1022+L1022+M1022+N1022+O1022+P1022+Q1022+R1022+S1022+T1022</f>
        <v>-5867384.9000000004</v>
      </c>
      <c r="D1022" s="419">
        <f t="shared" ref="D1022:D1023" si="350">SUM(E1022:I1022)</f>
        <v>0</v>
      </c>
      <c r="E1022" s="416">
        <v>0</v>
      </c>
      <c r="F1022" s="419">
        <v>0</v>
      </c>
      <c r="G1022" s="416">
        <v>0</v>
      </c>
      <c r="H1022" s="419">
        <v>0</v>
      </c>
      <c r="I1022" s="416">
        <v>0</v>
      </c>
      <c r="J1022" s="462">
        <v>0</v>
      </c>
      <c r="K1022" s="416">
        <v>0</v>
      </c>
      <c r="L1022" s="419">
        <v>-5867384.9000000004</v>
      </c>
      <c r="M1022" s="416">
        <v>0</v>
      </c>
      <c r="N1022" s="419">
        <v>0</v>
      </c>
      <c r="O1022" s="416">
        <v>0</v>
      </c>
      <c r="P1022" s="418">
        <v>0</v>
      </c>
      <c r="Q1022" s="416">
        <v>0</v>
      </c>
      <c r="R1022" s="419">
        <v>0</v>
      </c>
      <c r="S1022" s="416">
        <v>0</v>
      </c>
      <c r="T1022" s="416">
        <v>0</v>
      </c>
      <c r="U1022" s="54"/>
      <c r="V1022" s="54"/>
      <c r="W1022" s="54"/>
      <c r="X1022" s="54"/>
      <c r="Y1022" s="54"/>
      <c r="Z1022" s="54"/>
      <c r="AA1022" s="54"/>
      <c r="AB1022" s="54"/>
      <c r="AC1022" s="54"/>
      <c r="AD1022" s="54"/>
      <c r="AE1022" s="54"/>
      <c r="AF1022" s="54"/>
      <c r="AG1022" s="54"/>
      <c r="AH1022" s="54"/>
      <c r="AI1022" s="54"/>
    </row>
    <row r="1023" s="294" customFormat="1" ht="22.5" customHeight="1">
      <c r="A1023" s="414"/>
      <c r="B1023" s="415" t="s">
        <v>700</v>
      </c>
      <c r="C1023" s="419">
        <f t="shared" si="349"/>
        <v>5867384.4000000004</v>
      </c>
      <c r="D1023" s="416">
        <f t="shared" si="350"/>
        <v>0</v>
      </c>
      <c r="E1023" s="419">
        <v>0</v>
      </c>
      <c r="F1023" s="416">
        <v>0</v>
      </c>
      <c r="G1023" s="419">
        <v>0</v>
      </c>
      <c r="H1023" s="416">
        <v>0</v>
      </c>
      <c r="I1023" s="419">
        <v>0</v>
      </c>
      <c r="J1023" s="417">
        <v>0</v>
      </c>
      <c r="K1023" s="419">
        <v>0</v>
      </c>
      <c r="L1023" s="416">
        <v>5867384.4000000004</v>
      </c>
      <c r="M1023" s="419">
        <v>0</v>
      </c>
      <c r="N1023" s="416">
        <v>0</v>
      </c>
      <c r="O1023" s="419">
        <v>0</v>
      </c>
      <c r="P1023" s="418">
        <v>0</v>
      </c>
      <c r="Q1023" s="419">
        <v>0</v>
      </c>
      <c r="R1023" s="416">
        <v>0</v>
      </c>
      <c r="S1023" s="419">
        <v>0</v>
      </c>
      <c r="T1023" s="416">
        <v>0</v>
      </c>
      <c r="U1023" s="54"/>
      <c r="V1023" s="54"/>
      <c r="W1023" s="54"/>
      <c r="X1023" s="54"/>
      <c r="Y1023" s="54"/>
      <c r="Z1023" s="54"/>
      <c r="AA1023" s="54"/>
      <c r="AB1023" s="54"/>
      <c r="AC1023" s="54"/>
      <c r="AD1023" s="54"/>
      <c r="AE1023" s="54"/>
      <c r="AF1023" s="54"/>
      <c r="AG1023" s="54"/>
      <c r="AH1023" s="54"/>
      <c r="AI1023" s="54"/>
    </row>
    <row r="1024" s="294" customFormat="1" ht="22.5" customHeight="1">
      <c r="A1024" s="539" t="s">
        <v>1384</v>
      </c>
      <c r="B1024" s="540"/>
      <c r="C1024" s="510">
        <f>SUM(C1025:C1027)</f>
        <v>2239110.4399999999</v>
      </c>
      <c r="D1024" s="510">
        <f>SUM(D1025:D1027)</f>
        <v>-39410.850000000035</v>
      </c>
      <c r="E1024" s="510">
        <f>SUM(E1025:E1027)</f>
        <v>36998</v>
      </c>
      <c r="F1024" s="510">
        <f>SUM(F1025:F1027)</f>
        <v>0</v>
      </c>
      <c r="G1024" s="510">
        <f>SUM(G1025:G1027)</f>
        <v>0</v>
      </c>
      <c r="H1024" s="510">
        <f>SUM(H1025:H1027)</f>
        <v>0</v>
      </c>
      <c r="I1024" s="510">
        <f>SUM(I1025:I1027)</f>
        <v>-76408.850000000035</v>
      </c>
      <c r="J1024" s="527">
        <f>SUM(J1025:J1027)</f>
        <v>0</v>
      </c>
      <c r="K1024" s="510">
        <f>SUM(K1025:K1027)</f>
        <v>0</v>
      </c>
      <c r="L1024" s="510">
        <f>SUM(L1025:L1027)</f>
        <v>0</v>
      </c>
      <c r="M1024" s="510">
        <f>SUM(M1025:M1027)</f>
        <v>0</v>
      </c>
      <c r="N1024" s="510">
        <f>SUM(N1025:N1027)</f>
        <v>2226523.29</v>
      </c>
      <c r="O1024" s="510">
        <f>SUM(O1025:O1027)</f>
        <v>0</v>
      </c>
      <c r="P1024" s="510">
        <f>SUM(P1025:P1027)</f>
        <v>15000</v>
      </c>
      <c r="Q1024" s="510">
        <f>SUM(Q1025:Q1027)</f>
        <v>0</v>
      </c>
      <c r="R1024" s="510">
        <f>SUM(R1025:R1027)</f>
        <v>36998</v>
      </c>
      <c r="S1024" s="510">
        <f>SUM(S1025:S1027)</f>
        <v>0</v>
      </c>
      <c r="T1024" s="510">
        <f>SUM(T1025:T1027)</f>
        <v>0</v>
      </c>
      <c r="U1024" s="350"/>
      <c r="V1024" s="350"/>
      <c r="W1024" s="350"/>
      <c r="X1024" s="350"/>
      <c r="Y1024" s="350"/>
      <c r="Z1024" s="350"/>
      <c r="AA1024" s="350"/>
      <c r="AB1024" s="350"/>
      <c r="AC1024" s="350"/>
      <c r="AD1024" s="350"/>
      <c r="AE1024" s="350"/>
      <c r="AF1024" s="294"/>
      <c r="AG1024" s="294"/>
      <c r="AH1024" s="294"/>
      <c r="AI1024" s="294"/>
    </row>
    <row r="1025" s="294" customFormat="1" ht="22.5" customHeight="1">
      <c r="A1025" s="414">
        <v>1</v>
      </c>
      <c r="B1025" s="415" t="s">
        <v>836</v>
      </c>
      <c r="C1025" s="416">
        <f t="shared" ref="C1025:C1027" si="351">D1025+K1025+L1025+M1025+N1025+O1025+P1025+Q1025+R1025+S1025+T1025</f>
        <v>-342169.20000000001</v>
      </c>
      <c r="D1025" s="416">
        <f t="shared" ref="D1025:D1027" si="352">SUM(E1025:I1025)</f>
        <v>-342169.20000000001</v>
      </c>
      <c r="E1025" s="418">
        <v>0</v>
      </c>
      <c r="F1025" s="416">
        <v>0</v>
      </c>
      <c r="G1025" s="416">
        <v>0</v>
      </c>
      <c r="H1025" s="418">
        <v>0</v>
      </c>
      <c r="I1025" s="416">
        <v>-342169.20000000001</v>
      </c>
      <c r="J1025" s="417">
        <v>0</v>
      </c>
      <c r="K1025" s="416">
        <v>0</v>
      </c>
      <c r="L1025" s="416">
        <v>0</v>
      </c>
      <c r="M1025" s="416">
        <v>0</v>
      </c>
      <c r="N1025" s="416">
        <v>0</v>
      </c>
      <c r="O1025" s="416">
        <v>0</v>
      </c>
      <c r="P1025" s="416">
        <v>0</v>
      </c>
      <c r="Q1025" s="416">
        <v>0</v>
      </c>
      <c r="R1025" s="492">
        <v>0</v>
      </c>
      <c r="S1025" s="416">
        <v>0</v>
      </c>
      <c r="T1025" s="416">
        <v>0</v>
      </c>
      <c r="U1025" s="54"/>
      <c r="V1025" s="54"/>
      <c r="W1025" s="54"/>
      <c r="X1025" s="54"/>
      <c r="Y1025" s="54"/>
      <c r="Z1025" s="54"/>
      <c r="AA1025" s="54"/>
      <c r="AB1025" s="54"/>
      <c r="AC1025" s="54"/>
      <c r="AD1025" s="54"/>
      <c r="AE1025" s="54"/>
      <c r="AF1025" s="294"/>
      <c r="AG1025" s="294"/>
      <c r="AH1025" s="294"/>
      <c r="AI1025" s="294"/>
    </row>
    <row r="1026" s="294" customFormat="1" ht="22.5" customHeight="1">
      <c r="A1026" s="414">
        <v>2</v>
      </c>
      <c r="B1026" s="415" t="s">
        <v>1401</v>
      </c>
      <c r="C1026" s="416">
        <f t="shared" si="351"/>
        <v>455397.47999999998</v>
      </c>
      <c r="D1026" s="416">
        <f t="shared" si="352"/>
        <v>36998</v>
      </c>
      <c r="E1026" s="418">
        <v>36998</v>
      </c>
      <c r="F1026" s="416">
        <v>0</v>
      </c>
      <c r="G1026" s="416">
        <v>0</v>
      </c>
      <c r="H1026" s="418">
        <v>0</v>
      </c>
      <c r="I1026" s="416">
        <v>0</v>
      </c>
      <c r="J1026" s="417">
        <v>0</v>
      </c>
      <c r="K1026" s="416">
        <v>0</v>
      </c>
      <c r="L1026" s="416">
        <v>0</v>
      </c>
      <c r="M1026" s="416">
        <v>0</v>
      </c>
      <c r="N1026" s="416">
        <v>366401.47999999998</v>
      </c>
      <c r="O1026" s="416">
        <v>0</v>
      </c>
      <c r="P1026" s="416">
        <v>15000</v>
      </c>
      <c r="Q1026" s="416">
        <v>0</v>
      </c>
      <c r="R1026" s="492">
        <v>36998</v>
      </c>
      <c r="S1026" s="416">
        <v>0</v>
      </c>
      <c r="T1026" s="416">
        <v>0</v>
      </c>
      <c r="U1026" s="54"/>
      <c r="V1026" s="54"/>
      <c r="W1026" s="54"/>
      <c r="X1026" s="54"/>
      <c r="Y1026" s="54"/>
      <c r="Z1026" s="54"/>
      <c r="AA1026" s="54"/>
      <c r="AB1026" s="54"/>
      <c r="AC1026" s="54"/>
      <c r="AD1026" s="54"/>
      <c r="AE1026" s="54"/>
      <c r="AF1026" s="294"/>
      <c r="AG1026" s="294"/>
      <c r="AH1026" s="294"/>
      <c r="AI1026" s="294"/>
    </row>
    <row r="1027" s="294" customFormat="1" ht="22.5" customHeight="1">
      <c r="A1027" s="414">
        <v>3</v>
      </c>
      <c r="B1027" s="415" t="s">
        <v>838</v>
      </c>
      <c r="C1027" s="416">
        <f t="shared" si="351"/>
        <v>2125882.1600000001</v>
      </c>
      <c r="D1027" s="416">
        <f t="shared" si="352"/>
        <v>265760.34999999998</v>
      </c>
      <c r="E1027" s="418">
        <v>0</v>
      </c>
      <c r="F1027" s="416">
        <v>0</v>
      </c>
      <c r="G1027" s="416">
        <v>0</v>
      </c>
      <c r="H1027" s="418">
        <v>0</v>
      </c>
      <c r="I1027" s="416">
        <v>265760.34999999998</v>
      </c>
      <c r="J1027" s="417">
        <v>0</v>
      </c>
      <c r="K1027" s="416">
        <v>0</v>
      </c>
      <c r="L1027" s="416">
        <v>0</v>
      </c>
      <c r="M1027" s="416">
        <v>0</v>
      </c>
      <c r="N1027" s="416">
        <v>1860121.8100000001</v>
      </c>
      <c r="O1027" s="416">
        <v>0</v>
      </c>
      <c r="P1027" s="416">
        <v>0</v>
      </c>
      <c r="Q1027" s="416">
        <v>0</v>
      </c>
      <c r="R1027" s="492">
        <v>0</v>
      </c>
      <c r="S1027" s="416">
        <v>0</v>
      </c>
      <c r="T1027" s="416">
        <v>0</v>
      </c>
      <c r="U1027" s="54"/>
      <c r="V1027" s="54"/>
      <c r="W1027" s="54"/>
      <c r="X1027" s="54"/>
      <c r="Y1027" s="54"/>
      <c r="Z1027" s="54"/>
      <c r="AA1027" s="54"/>
      <c r="AB1027" s="54"/>
      <c r="AC1027" s="54"/>
      <c r="AD1027" s="54"/>
      <c r="AE1027" s="54"/>
      <c r="AF1027" s="294"/>
      <c r="AG1027" s="294"/>
      <c r="AH1027" s="294"/>
      <c r="AI1027" s="294"/>
    </row>
    <row r="1028" s="294" customFormat="1" ht="22.5" customHeight="1">
      <c r="A1028" s="493" t="s">
        <v>484</v>
      </c>
      <c r="B1028" s="494"/>
      <c r="C1028" s="510">
        <f>SUM(C1029:C1030)</f>
        <v>-157403.87999999989</v>
      </c>
      <c r="D1028" s="510">
        <f>SUM(D1029:D1030)</f>
        <v>0</v>
      </c>
      <c r="E1028" s="510">
        <f>SUM(E1029:E1030)</f>
        <v>0</v>
      </c>
      <c r="F1028" s="510">
        <f>SUM(F1029:F1030)</f>
        <v>0</v>
      </c>
      <c r="G1028" s="510">
        <f>SUM(G1029:G1030)</f>
        <v>0</v>
      </c>
      <c r="H1028" s="510">
        <f>SUM(H1029:H1030)</f>
        <v>0</v>
      </c>
      <c r="I1028" s="510">
        <f>SUM(I1029:I1030)</f>
        <v>0</v>
      </c>
      <c r="J1028" s="527">
        <f>SUM(J1029:J1030)</f>
        <v>0</v>
      </c>
      <c r="K1028" s="510">
        <f>SUM(K1029:K1030)</f>
        <v>0</v>
      </c>
      <c r="L1028" s="510">
        <f>SUM(L1029:L1030)</f>
        <v>-157403.87999999989</v>
      </c>
      <c r="M1028" s="510">
        <f>SUM(M1029:M1030)</f>
        <v>0</v>
      </c>
      <c r="N1028" s="510">
        <f>SUM(N1029:N1030)</f>
        <v>0</v>
      </c>
      <c r="O1028" s="510">
        <f>SUM(O1029:O1030)</f>
        <v>0</v>
      </c>
      <c r="P1028" s="510">
        <f>SUM(P1029:P1030)</f>
        <v>0</v>
      </c>
      <c r="Q1028" s="510">
        <f>SUM(Q1029:Q1030)</f>
        <v>0</v>
      </c>
      <c r="R1028" s="510">
        <f>SUM(R1029:R1030)</f>
        <v>0</v>
      </c>
      <c r="S1028" s="510">
        <f>SUM(S1029:S1030)</f>
        <v>0</v>
      </c>
      <c r="T1028" s="510">
        <f>SUM(T1029:T1030)</f>
        <v>0</v>
      </c>
      <c r="U1028" s="350"/>
      <c r="V1028" s="350"/>
      <c r="W1028" s="350"/>
      <c r="X1028" s="350"/>
      <c r="Y1028" s="350"/>
      <c r="Z1028" s="350"/>
      <c r="AA1028" s="350"/>
      <c r="AB1028" s="350"/>
      <c r="AC1028" s="350"/>
      <c r="AD1028" s="350"/>
      <c r="AE1028" s="350"/>
      <c r="AF1028" s="350"/>
      <c r="AG1028" s="350"/>
      <c r="AH1028" s="350"/>
      <c r="AI1028" s="350"/>
    </row>
    <row r="1029" s="294" customFormat="1" ht="22.5" customHeight="1">
      <c r="A1029" s="508">
        <v>1</v>
      </c>
      <c r="B1029" s="464" t="s">
        <v>839</v>
      </c>
      <c r="C1029" s="416">
        <f t="shared" ref="C1029:C1030" si="353">D1029+K1029+L1029+M1029+N1029+O1029+P1029+Q1029+R1029+S1029+T1029</f>
        <v>-4463037.4100000001</v>
      </c>
      <c r="D1029" s="416">
        <f t="shared" ref="D1029:D1030" si="354">SUM(E1029:I1029)</f>
        <v>0</v>
      </c>
      <c r="E1029" s="418">
        <v>0</v>
      </c>
      <c r="F1029" s="418">
        <v>0</v>
      </c>
      <c r="G1029" s="416">
        <v>0</v>
      </c>
      <c r="H1029" s="416">
        <v>0</v>
      </c>
      <c r="I1029" s="416">
        <v>0</v>
      </c>
      <c r="J1029" s="417">
        <v>0</v>
      </c>
      <c r="K1029" s="416">
        <v>0</v>
      </c>
      <c r="L1029" s="416">
        <v>-4463037.4100000001</v>
      </c>
      <c r="M1029" s="416">
        <v>0</v>
      </c>
      <c r="N1029" s="416">
        <v>0</v>
      </c>
      <c r="O1029" s="418">
        <v>0</v>
      </c>
      <c r="P1029" s="418">
        <v>0</v>
      </c>
      <c r="Q1029" s="416">
        <v>0</v>
      </c>
      <c r="R1029" s="416">
        <v>0</v>
      </c>
      <c r="S1029" s="416">
        <v>0</v>
      </c>
      <c r="T1029" s="416">
        <v>0</v>
      </c>
      <c r="U1029" s="54"/>
      <c r="V1029" s="54"/>
      <c r="W1029" s="54"/>
      <c r="X1029" s="54"/>
      <c r="Y1029" s="54"/>
      <c r="Z1029" s="54"/>
      <c r="AA1029" s="54"/>
      <c r="AB1029" s="54"/>
      <c r="AC1029" s="54"/>
      <c r="AD1029" s="54"/>
      <c r="AE1029" s="54"/>
      <c r="AF1029" s="54"/>
      <c r="AG1029" s="54"/>
      <c r="AH1029" s="54"/>
      <c r="AI1029" s="54"/>
    </row>
    <row r="1030" s="294" customFormat="1" ht="22.5" customHeight="1">
      <c r="A1030" s="508"/>
      <c r="B1030" s="464" t="s">
        <v>839</v>
      </c>
      <c r="C1030" s="416">
        <f t="shared" si="353"/>
        <v>4305633.5300000003</v>
      </c>
      <c r="D1030" s="416">
        <f t="shared" si="354"/>
        <v>0</v>
      </c>
      <c r="E1030" s="418">
        <v>0</v>
      </c>
      <c r="F1030" s="418">
        <v>0</v>
      </c>
      <c r="G1030" s="416">
        <v>0</v>
      </c>
      <c r="H1030" s="416">
        <v>0</v>
      </c>
      <c r="I1030" s="416">
        <v>0</v>
      </c>
      <c r="J1030" s="417">
        <v>0</v>
      </c>
      <c r="K1030" s="416">
        <v>0</v>
      </c>
      <c r="L1030" s="416">
        <v>4305633.5300000003</v>
      </c>
      <c r="M1030" s="416">
        <v>0</v>
      </c>
      <c r="N1030" s="416">
        <v>0</v>
      </c>
      <c r="O1030" s="418">
        <v>0</v>
      </c>
      <c r="P1030" s="418">
        <v>0</v>
      </c>
      <c r="Q1030" s="416">
        <v>0</v>
      </c>
      <c r="R1030" s="416">
        <v>0</v>
      </c>
      <c r="S1030" s="416">
        <v>0</v>
      </c>
      <c r="T1030" s="416">
        <v>0</v>
      </c>
      <c r="U1030" s="54"/>
      <c r="V1030" s="54"/>
      <c r="W1030" s="54"/>
      <c r="X1030" s="54"/>
      <c r="Y1030" s="54"/>
      <c r="Z1030" s="54"/>
      <c r="AA1030" s="54"/>
      <c r="AB1030" s="54"/>
      <c r="AC1030" s="54"/>
      <c r="AD1030" s="54"/>
      <c r="AE1030" s="54"/>
      <c r="AF1030" s="54"/>
      <c r="AG1030" s="54"/>
      <c r="AH1030" s="54"/>
      <c r="AI1030" s="54"/>
    </row>
    <row r="1031" s="294" customFormat="1" ht="22.5" customHeight="1">
      <c r="A1031" s="493" t="s">
        <v>506</v>
      </c>
      <c r="B1031" s="494"/>
      <c r="C1031" s="510">
        <f>C1032</f>
        <v>840000</v>
      </c>
      <c r="D1031" s="510">
        <f>D1032</f>
        <v>0</v>
      </c>
      <c r="E1031" s="510">
        <f>E1032</f>
        <v>0</v>
      </c>
      <c r="F1031" s="510">
        <f>F1032</f>
        <v>0</v>
      </c>
      <c r="G1031" s="510">
        <f>G1032</f>
        <v>0</v>
      </c>
      <c r="H1031" s="510">
        <f>H1032</f>
        <v>0</v>
      </c>
      <c r="I1031" s="510">
        <f>I1032</f>
        <v>0</v>
      </c>
      <c r="J1031" s="527">
        <f>J1032</f>
        <v>0</v>
      </c>
      <c r="K1031" s="510">
        <f>K1032</f>
        <v>0</v>
      </c>
      <c r="L1031" s="510">
        <f>L1032</f>
        <v>0</v>
      </c>
      <c r="M1031" s="510">
        <f>M1032</f>
        <v>0</v>
      </c>
      <c r="N1031" s="510">
        <f>N1032</f>
        <v>840000</v>
      </c>
      <c r="O1031" s="510">
        <f>O1032</f>
        <v>0</v>
      </c>
      <c r="P1031" s="510">
        <f>P1032</f>
        <v>0</v>
      </c>
      <c r="Q1031" s="510">
        <f>Q1032</f>
        <v>0</v>
      </c>
      <c r="R1031" s="510">
        <f>R1032</f>
        <v>0</v>
      </c>
      <c r="S1031" s="510">
        <f>S1032</f>
        <v>0</v>
      </c>
      <c r="T1031" s="510">
        <f>T1032</f>
        <v>0</v>
      </c>
      <c r="U1031" s="350"/>
      <c r="V1031" s="350"/>
      <c r="W1031" s="350"/>
      <c r="X1031" s="350"/>
      <c r="Y1031" s="350"/>
      <c r="Z1031" s="350"/>
      <c r="AA1031" s="350"/>
      <c r="AB1031" s="350"/>
      <c r="AC1031" s="350"/>
      <c r="AD1031" s="350"/>
      <c r="AE1031" s="350"/>
      <c r="AF1031" s="350"/>
      <c r="AG1031" s="350"/>
      <c r="AH1031" s="350"/>
      <c r="AI1031" s="350"/>
    </row>
    <row r="1032" s="294" customFormat="1" ht="22.5" customHeight="1">
      <c r="A1032" s="508">
        <v>1</v>
      </c>
      <c r="B1032" s="464" t="s">
        <v>840</v>
      </c>
      <c r="C1032" s="416">
        <f>D1032+K1032+L1032+M1032+N1032+O1032+P1032+Q1032+R1032+S1032+T1032</f>
        <v>840000</v>
      </c>
      <c r="D1032" s="416">
        <f>SUM(E1032:I1032)</f>
        <v>0</v>
      </c>
      <c r="E1032" s="418">
        <v>0</v>
      </c>
      <c r="F1032" s="418">
        <v>0</v>
      </c>
      <c r="G1032" s="416">
        <v>0</v>
      </c>
      <c r="H1032" s="416">
        <v>0</v>
      </c>
      <c r="I1032" s="416">
        <v>0</v>
      </c>
      <c r="J1032" s="417">
        <v>0</v>
      </c>
      <c r="K1032" s="416">
        <v>0</v>
      </c>
      <c r="L1032" s="416">
        <v>0</v>
      </c>
      <c r="M1032" s="416">
        <v>0</v>
      </c>
      <c r="N1032" s="416">
        <v>840000</v>
      </c>
      <c r="O1032" s="418">
        <v>0</v>
      </c>
      <c r="P1032" s="418">
        <v>0</v>
      </c>
      <c r="Q1032" s="416">
        <v>0</v>
      </c>
      <c r="R1032" s="416">
        <v>0</v>
      </c>
      <c r="S1032" s="416">
        <v>0</v>
      </c>
      <c r="T1032" s="416">
        <v>0</v>
      </c>
      <c r="U1032" s="54"/>
      <c r="V1032" s="54"/>
      <c r="W1032" s="54"/>
      <c r="X1032" s="54"/>
      <c r="Y1032" s="54"/>
      <c r="Z1032" s="54"/>
      <c r="AA1032" s="54"/>
      <c r="AB1032" s="54"/>
      <c r="AC1032" s="54"/>
      <c r="AD1032" s="54"/>
      <c r="AE1032" s="54"/>
      <c r="AF1032" s="54"/>
      <c r="AG1032" s="54"/>
      <c r="AH1032" s="54"/>
      <c r="AI1032" s="54"/>
    </row>
    <row r="1033" s="294" customFormat="1">
      <c r="A1033" s="541"/>
      <c r="B1033" s="542"/>
      <c r="C1033" s="419"/>
      <c r="D1033" s="419"/>
      <c r="E1033" s="543"/>
      <c r="F1033" s="543"/>
      <c r="G1033" s="419"/>
      <c r="H1033" s="419"/>
      <c r="I1033" s="419"/>
      <c r="J1033" s="462"/>
      <c r="K1033" s="419"/>
      <c r="L1033" s="419"/>
      <c r="M1033" s="419"/>
      <c r="N1033" s="419"/>
      <c r="O1033" s="543"/>
      <c r="P1033" s="543"/>
      <c r="Q1033" s="419"/>
      <c r="R1033" s="419"/>
      <c r="S1033" s="419"/>
      <c r="T1033" s="419"/>
      <c r="U1033" s="54"/>
      <c r="V1033" s="54"/>
      <c r="W1033" s="54"/>
      <c r="X1033" s="54"/>
      <c r="Y1033" s="54"/>
      <c r="Z1033" s="54"/>
      <c r="AA1033" s="54"/>
      <c r="AB1033" s="54"/>
      <c r="AC1033" s="54"/>
      <c r="AD1033" s="54"/>
      <c r="AE1033" s="54"/>
      <c r="AF1033" s="54"/>
      <c r="AG1033" s="54"/>
      <c r="AH1033" s="54"/>
      <c r="AI1033" s="54"/>
    </row>
    <row r="1034" s="294" customFormat="1">
      <c r="A1034" s="541"/>
      <c r="B1034" s="542"/>
      <c r="C1034" s="419"/>
      <c r="D1034" s="419"/>
      <c r="E1034" s="543"/>
      <c r="F1034" s="543"/>
      <c r="G1034" s="419"/>
      <c r="H1034" s="419"/>
      <c r="I1034" s="419"/>
      <c r="J1034" s="462"/>
      <c r="K1034" s="419"/>
      <c r="L1034" s="419"/>
      <c r="M1034" s="419"/>
      <c r="N1034" s="419"/>
      <c r="O1034" s="543"/>
      <c r="P1034" s="543"/>
      <c r="Q1034" s="419"/>
      <c r="R1034" s="419"/>
      <c r="S1034" s="419"/>
      <c r="T1034" s="419"/>
      <c r="U1034" s="54"/>
      <c r="V1034" s="54"/>
      <c r="W1034" s="54"/>
      <c r="X1034" s="54"/>
      <c r="Y1034" s="54"/>
      <c r="Z1034" s="54"/>
      <c r="AA1034" s="54"/>
      <c r="AB1034" s="54"/>
      <c r="AC1034" s="54"/>
      <c r="AD1034" s="54"/>
      <c r="AE1034" s="54"/>
      <c r="AF1034" s="54"/>
      <c r="AG1034" s="54"/>
      <c r="AH1034" s="54"/>
      <c r="AI1034" s="54"/>
    </row>
    <row r="1035" s="294" customFormat="1">
      <c r="A1035" s="541"/>
      <c r="B1035" s="542"/>
      <c r="C1035" s="419"/>
      <c r="D1035" s="419"/>
      <c r="E1035" s="543"/>
      <c r="F1035" s="543"/>
      <c r="G1035" s="419"/>
      <c r="H1035" s="419"/>
      <c r="I1035" s="419"/>
      <c r="J1035" s="462"/>
      <c r="K1035" s="419"/>
      <c r="L1035" s="419"/>
      <c r="M1035" s="419"/>
      <c r="N1035" s="419"/>
      <c r="O1035" s="543"/>
      <c r="P1035" s="543"/>
      <c r="Q1035" s="419"/>
      <c r="R1035" s="419"/>
      <c r="S1035" s="419"/>
      <c r="T1035" s="419"/>
      <c r="U1035" s="54"/>
      <c r="V1035" s="54"/>
      <c r="W1035" s="54"/>
      <c r="X1035" s="54"/>
      <c r="Y1035" s="54"/>
      <c r="Z1035" s="54"/>
      <c r="AA1035" s="54"/>
      <c r="AB1035" s="54"/>
      <c r="AC1035" s="54"/>
      <c r="AD1035" s="54"/>
      <c r="AE1035" s="54"/>
      <c r="AF1035" s="54"/>
      <c r="AG1035" s="54"/>
      <c r="AH1035" s="54"/>
      <c r="AI1035" s="54"/>
    </row>
    <row r="1036" s="294" customFormat="1">
      <c r="A1036" s="541"/>
      <c r="B1036" s="542"/>
      <c r="C1036" s="419"/>
      <c r="D1036" s="419"/>
      <c r="E1036" s="543"/>
      <c r="F1036" s="543"/>
      <c r="G1036" s="419"/>
      <c r="H1036" s="419"/>
      <c r="I1036" s="419"/>
      <c r="J1036" s="462"/>
      <c r="K1036" s="419"/>
      <c r="L1036" s="419"/>
      <c r="M1036" s="419"/>
      <c r="N1036" s="419"/>
      <c r="O1036" s="543"/>
      <c r="P1036" s="543"/>
      <c r="Q1036" s="419"/>
      <c r="R1036" s="419"/>
      <c r="S1036" s="419"/>
      <c r="T1036" s="419"/>
      <c r="U1036" s="54"/>
      <c r="V1036" s="54"/>
      <c r="W1036" s="54"/>
      <c r="X1036" s="54"/>
      <c r="Y1036" s="54"/>
      <c r="Z1036" s="54"/>
      <c r="AA1036" s="54"/>
      <c r="AB1036" s="54"/>
      <c r="AC1036" s="54"/>
      <c r="AD1036" s="54"/>
      <c r="AE1036" s="54"/>
      <c r="AF1036" s="54"/>
      <c r="AG1036" s="54"/>
      <c r="AH1036" s="54"/>
      <c r="AI1036" s="54"/>
    </row>
    <row r="1037" s="294" customFormat="1">
      <c r="A1037" s="544"/>
      <c r="B1037" s="544" t="s">
        <v>1402</v>
      </c>
      <c r="C1037" s="545"/>
      <c r="D1037" s="545"/>
      <c r="E1037" s="545"/>
      <c r="F1037" s="545"/>
      <c r="G1037" s="545"/>
      <c r="H1037" s="545"/>
      <c r="I1037" s="545"/>
      <c r="J1037" s="545"/>
      <c r="K1037" s="545"/>
      <c r="L1037" s="545"/>
      <c r="M1037" s="545"/>
      <c r="N1037" s="545"/>
      <c r="O1037" s="545"/>
      <c r="P1037" s="545"/>
      <c r="Q1037" s="545"/>
      <c r="R1037" s="545"/>
      <c r="S1037" s="545"/>
      <c r="T1037" s="545"/>
      <c r="U1037" s="294"/>
      <c r="V1037" s="294"/>
      <c r="W1037" s="294"/>
      <c r="X1037" s="294"/>
      <c r="Y1037" s="294"/>
      <c r="Z1037" s="294"/>
      <c r="AA1037" s="294"/>
      <c r="AB1037" s="294"/>
      <c r="AC1037" s="294"/>
      <c r="AD1037" s="294"/>
      <c r="AE1037" s="294"/>
      <c r="AF1037" s="294"/>
      <c r="AG1037" s="294"/>
      <c r="AH1037" s="294"/>
      <c r="AI1037" s="294"/>
    </row>
    <row r="1038" s="294" customFormat="1">
      <c r="A1038" s="544"/>
      <c r="B1038" s="544" t="s">
        <v>1403</v>
      </c>
      <c r="C1038" s="545"/>
      <c r="D1038" s="545"/>
      <c r="E1038" s="545"/>
      <c r="F1038" s="545"/>
      <c r="G1038" s="545"/>
      <c r="H1038" s="545"/>
      <c r="I1038" s="545"/>
      <c r="J1038" s="545"/>
      <c r="K1038" s="545"/>
      <c r="L1038" s="545"/>
      <c r="M1038" s="545"/>
      <c r="N1038" s="545"/>
      <c r="O1038" s="545"/>
      <c r="P1038" s="545"/>
      <c r="Q1038" s="545"/>
      <c r="R1038" s="545"/>
      <c r="S1038" s="545"/>
      <c r="T1038" s="545"/>
      <c r="U1038" s="294"/>
      <c r="V1038" s="294"/>
      <c r="W1038" s="294"/>
      <c r="X1038" s="294"/>
      <c r="Y1038" s="294"/>
      <c r="Z1038" s="294"/>
      <c r="AA1038" s="294"/>
      <c r="AB1038" s="294"/>
      <c r="AC1038" s="294"/>
      <c r="AD1038" s="294"/>
      <c r="AE1038" s="294"/>
    </row>
    <row r="1039" s="294" customFormat="1">
      <c r="A1039" s="544"/>
      <c r="B1039" s="544" t="s">
        <v>1404</v>
      </c>
      <c r="C1039" s="545"/>
      <c r="D1039" s="545"/>
      <c r="E1039" s="545"/>
      <c r="F1039" s="545"/>
      <c r="G1039" s="545"/>
      <c r="H1039" s="545"/>
      <c r="I1039" s="545"/>
      <c r="J1039" s="545"/>
      <c r="K1039" s="545"/>
      <c r="L1039" s="545"/>
      <c r="M1039" s="545"/>
      <c r="N1039" s="545"/>
      <c r="O1039" s="545"/>
      <c r="P1039" s="545"/>
      <c r="Q1039" s="545"/>
      <c r="R1039" s="545"/>
      <c r="S1039" s="545"/>
      <c r="T1039" s="545"/>
      <c r="U1039" s="294"/>
      <c r="V1039" s="294"/>
      <c r="W1039" s="294"/>
      <c r="X1039" s="294"/>
      <c r="Y1039" s="294"/>
      <c r="Z1039" s="294"/>
      <c r="AA1039" s="294"/>
      <c r="AB1039" s="294"/>
      <c r="AC1039" s="294"/>
      <c r="AD1039" s="294"/>
      <c r="AE1039" s="294"/>
    </row>
    <row r="1040" s="294" customFormat="1">
      <c r="A1040" s="544"/>
      <c r="B1040" s="544" t="s">
        <v>1405</v>
      </c>
      <c r="C1040" s="545"/>
      <c r="D1040" s="545"/>
      <c r="E1040" s="545"/>
      <c r="F1040" s="545"/>
      <c r="G1040" s="545"/>
      <c r="H1040" s="545"/>
      <c r="I1040" s="545"/>
      <c r="J1040" s="545"/>
      <c r="K1040" s="545"/>
      <c r="L1040" s="545"/>
      <c r="M1040" s="545"/>
      <c r="N1040" s="545"/>
      <c r="O1040" s="545"/>
      <c r="P1040" s="545"/>
      <c r="Q1040" s="545"/>
      <c r="R1040" s="545"/>
      <c r="S1040" s="545"/>
      <c r="T1040" s="545"/>
      <c r="U1040" s="294"/>
      <c r="V1040" s="294"/>
      <c r="W1040" s="294"/>
      <c r="X1040" s="294"/>
      <c r="Y1040" s="294"/>
      <c r="Z1040" s="294"/>
      <c r="AA1040" s="294"/>
      <c r="AB1040" s="294"/>
      <c r="AC1040" s="294"/>
      <c r="AD1040" s="294"/>
      <c r="AE1040" s="294"/>
    </row>
    <row r="1041" s="294" customFormat="1">
      <c r="A1041" s="544"/>
      <c r="B1041" s="544" t="s">
        <v>1406</v>
      </c>
      <c r="C1041" s="545"/>
      <c r="D1041" s="545"/>
      <c r="E1041" s="545"/>
      <c r="F1041" s="545"/>
      <c r="G1041" s="545"/>
      <c r="H1041" s="545"/>
      <c r="I1041" s="545"/>
      <c r="J1041" s="545"/>
      <c r="K1041" s="545"/>
      <c r="L1041" s="545"/>
      <c r="M1041" s="545"/>
      <c r="N1041" s="545"/>
      <c r="O1041" s="545"/>
      <c r="P1041" s="545"/>
      <c r="Q1041" s="545"/>
      <c r="R1041" s="545"/>
      <c r="S1041" s="545"/>
      <c r="T1041" s="545"/>
      <c r="U1041" s="294"/>
      <c r="V1041" s="294"/>
      <c r="W1041" s="294"/>
      <c r="X1041" s="294"/>
      <c r="Y1041" s="294"/>
      <c r="Z1041" s="294"/>
      <c r="AA1041" s="294"/>
      <c r="AB1041" s="294"/>
      <c r="AC1041" s="294"/>
      <c r="AD1041" s="294"/>
      <c r="AE1041" s="294"/>
    </row>
    <row r="1042" s="294" customFormat="1">
      <c r="A1042" s="544"/>
      <c r="B1042" s="544" t="s">
        <v>1407</v>
      </c>
      <c r="C1042" s="545"/>
      <c r="D1042" s="545"/>
      <c r="E1042" s="545"/>
      <c r="F1042" s="545"/>
      <c r="G1042" s="545"/>
      <c r="H1042" s="545"/>
      <c r="I1042" s="545"/>
      <c r="J1042" s="545"/>
      <c r="K1042" s="545"/>
      <c r="L1042" s="545"/>
      <c r="M1042" s="545"/>
      <c r="N1042" s="545"/>
      <c r="O1042" s="545"/>
      <c r="P1042" s="545"/>
      <c r="Q1042" s="545"/>
      <c r="R1042" s="545"/>
      <c r="S1042" s="545"/>
      <c r="T1042" s="545"/>
      <c r="U1042" s="294"/>
      <c r="V1042" s="294"/>
      <c r="W1042" s="294"/>
      <c r="X1042" s="294"/>
      <c r="Y1042" s="294"/>
      <c r="Z1042" s="294"/>
      <c r="AA1042" s="294"/>
      <c r="AB1042" s="294"/>
      <c r="AC1042" s="294"/>
      <c r="AD1042" s="294"/>
      <c r="AE1042" s="294"/>
    </row>
    <row r="1043" s="294" customFormat="1">
      <c r="A1043" s="544"/>
      <c r="B1043" s="544" t="s">
        <v>1408</v>
      </c>
      <c r="C1043" s="545"/>
      <c r="D1043" s="545"/>
      <c r="E1043" s="545"/>
      <c r="F1043" s="545"/>
      <c r="G1043" s="545"/>
      <c r="H1043" s="545"/>
      <c r="I1043" s="545"/>
      <c r="J1043" s="545"/>
      <c r="K1043" s="545"/>
      <c r="L1043" s="545"/>
      <c r="M1043" s="545"/>
      <c r="N1043" s="545"/>
      <c r="O1043" s="545"/>
      <c r="P1043" s="545"/>
      <c r="Q1043" s="545"/>
      <c r="R1043" s="545"/>
      <c r="S1043" s="545"/>
      <c r="T1043" s="545"/>
      <c r="U1043" s="294"/>
      <c r="V1043" s="294"/>
      <c r="W1043" s="294"/>
      <c r="X1043" s="294"/>
      <c r="Y1043" s="294"/>
      <c r="Z1043" s="294"/>
      <c r="AA1043" s="294"/>
      <c r="AB1043" s="294"/>
      <c r="AC1043" s="294"/>
      <c r="AD1043" s="294"/>
      <c r="AE1043" s="294"/>
    </row>
    <row r="1044" s="294" customFormat="1">
      <c r="A1044" s="544"/>
      <c r="B1044" s="544" t="s">
        <v>1409</v>
      </c>
      <c r="C1044" s="545"/>
      <c r="D1044" s="545"/>
      <c r="E1044" s="545"/>
      <c r="F1044" s="545"/>
      <c r="G1044" s="545"/>
      <c r="H1044" s="545"/>
      <c r="I1044" s="545"/>
      <c r="J1044" s="545"/>
      <c r="K1044" s="545"/>
      <c r="L1044" s="545"/>
      <c r="M1044" s="545"/>
      <c r="N1044" s="545"/>
      <c r="O1044" s="545"/>
      <c r="P1044" s="545"/>
      <c r="Q1044" s="545"/>
      <c r="R1044" s="545"/>
      <c r="S1044" s="545"/>
      <c r="T1044" s="545"/>
      <c r="U1044" s="294"/>
      <c r="V1044" s="294"/>
      <c r="W1044" s="294"/>
      <c r="X1044" s="294"/>
      <c r="Y1044" s="294"/>
      <c r="Z1044" s="294"/>
      <c r="AA1044" s="294"/>
      <c r="AB1044" s="294"/>
      <c r="AC1044" s="294"/>
      <c r="AD1044" s="294"/>
      <c r="AE1044" s="294"/>
    </row>
    <row r="1045" s="294" customFormat="1">
      <c r="A1045" s="544"/>
      <c r="B1045" s="544" t="s">
        <v>1410</v>
      </c>
      <c r="C1045" s="545"/>
      <c r="D1045" s="545"/>
      <c r="E1045" s="545"/>
      <c r="F1045" s="545"/>
      <c r="G1045" s="545"/>
      <c r="H1045" s="545"/>
      <c r="I1045" s="545"/>
      <c r="J1045" s="545"/>
      <c r="K1045" s="545"/>
      <c r="L1045" s="545"/>
      <c r="M1045" s="545"/>
      <c r="N1045" s="545"/>
      <c r="O1045" s="545"/>
      <c r="P1045" s="545"/>
      <c r="Q1045" s="545"/>
      <c r="R1045" s="545"/>
      <c r="S1045" s="545"/>
      <c r="T1045" s="545"/>
      <c r="U1045" s="294"/>
      <c r="V1045" s="294"/>
      <c r="W1045" s="294"/>
      <c r="X1045" s="294"/>
      <c r="Y1045" s="294"/>
      <c r="Z1045" s="294"/>
      <c r="AA1045" s="294"/>
      <c r="AB1045" s="294"/>
      <c r="AC1045" s="294"/>
      <c r="AD1045" s="294"/>
      <c r="AE1045" s="294"/>
    </row>
    <row r="1046" s="294" customFormat="1">
      <c r="A1046" s="544"/>
      <c r="B1046" s="544" t="s">
        <v>1411</v>
      </c>
      <c r="C1046" s="545"/>
      <c r="D1046" s="545"/>
      <c r="E1046" s="545"/>
      <c r="F1046" s="545"/>
      <c r="G1046" s="545"/>
      <c r="H1046" s="545"/>
      <c r="I1046" s="545"/>
      <c r="J1046" s="545"/>
      <c r="K1046" s="545"/>
      <c r="L1046" s="545"/>
      <c r="M1046" s="545"/>
      <c r="N1046" s="545"/>
      <c r="O1046" s="545"/>
      <c r="P1046" s="545"/>
      <c r="Q1046" s="545"/>
      <c r="R1046" s="545"/>
      <c r="S1046" s="545"/>
      <c r="T1046" s="545"/>
      <c r="U1046" s="294"/>
      <c r="V1046" s="294"/>
      <c r="W1046" s="294"/>
      <c r="X1046" s="294"/>
      <c r="Y1046" s="294"/>
      <c r="Z1046" s="294"/>
      <c r="AA1046" s="294"/>
      <c r="AB1046" s="294"/>
      <c r="AC1046" s="294"/>
      <c r="AD1046" s="294"/>
      <c r="AE1046" s="294"/>
    </row>
    <row r="1047" s="294" customFormat="1">
      <c r="A1047" s="544"/>
      <c r="B1047" s="544" t="s">
        <v>1412</v>
      </c>
      <c r="C1047" s="545"/>
      <c r="D1047" s="545"/>
      <c r="E1047" s="545"/>
      <c r="F1047" s="545"/>
      <c r="G1047" s="545"/>
      <c r="H1047" s="545"/>
      <c r="I1047" s="545"/>
      <c r="J1047" s="545"/>
      <c r="K1047" s="545"/>
      <c r="L1047" s="545"/>
      <c r="M1047" s="545"/>
      <c r="N1047" s="545"/>
      <c r="O1047" s="545"/>
      <c r="P1047" s="545"/>
      <c r="Q1047" s="545"/>
      <c r="R1047" s="545"/>
      <c r="S1047" s="545"/>
      <c r="T1047" s="545"/>
      <c r="U1047" s="294"/>
      <c r="V1047" s="294"/>
      <c r="W1047" s="294"/>
      <c r="X1047" s="294"/>
      <c r="Y1047" s="294"/>
      <c r="Z1047" s="294"/>
      <c r="AA1047" s="294"/>
      <c r="AB1047" s="294"/>
      <c r="AC1047" s="294"/>
      <c r="AD1047" s="294"/>
      <c r="AE1047" s="294"/>
    </row>
    <row r="1048" s="294" customFormat="1">
      <c r="A1048" s="544"/>
      <c r="B1048" s="544" t="s">
        <v>1413</v>
      </c>
      <c r="C1048" s="545"/>
      <c r="D1048" s="545"/>
      <c r="E1048" s="545"/>
      <c r="F1048" s="545"/>
      <c r="G1048" s="545"/>
      <c r="H1048" s="545"/>
      <c r="I1048" s="545"/>
      <c r="J1048" s="545"/>
      <c r="K1048" s="545"/>
      <c r="L1048" s="545"/>
      <c r="M1048" s="545"/>
      <c r="N1048" s="545"/>
      <c r="O1048" s="545"/>
      <c r="P1048" s="545"/>
      <c r="Q1048" s="545"/>
      <c r="R1048" s="545"/>
      <c r="S1048" s="545"/>
      <c r="T1048" s="545"/>
      <c r="U1048" s="294"/>
      <c r="V1048" s="294"/>
      <c r="W1048" s="294"/>
      <c r="X1048" s="294"/>
      <c r="Y1048" s="294"/>
      <c r="Z1048" s="294"/>
      <c r="AA1048" s="294"/>
      <c r="AB1048" s="294"/>
      <c r="AC1048" s="294"/>
      <c r="AD1048" s="294"/>
      <c r="AE1048" s="294"/>
    </row>
    <row r="1049" s="294" customFormat="1">
      <c r="A1049" s="544"/>
      <c r="B1049" s="544" t="s">
        <v>1414</v>
      </c>
      <c r="C1049" s="545"/>
      <c r="D1049" s="545"/>
      <c r="E1049" s="545"/>
      <c r="F1049" s="545"/>
      <c r="G1049" s="545"/>
      <c r="H1049" s="545"/>
      <c r="I1049" s="545"/>
      <c r="J1049" s="545"/>
      <c r="K1049" s="545"/>
      <c r="L1049" s="545"/>
      <c r="M1049" s="545"/>
      <c r="N1049" s="545"/>
      <c r="O1049" s="545"/>
      <c r="P1049" s="545"/>
      <c r="Q1049" s="545"/>
      <c r="R1049" s="545"/>
      <c r="S1049" s="545"/>
      <c r="T1049" s="545"/>
      <c r="U1049" s="294"/>
      <c r="V1049" s="294"/>
      <c r="W1049" s="294"/>
      <c r="X1049" s="294"/>
      <c r="Y1049" s="294"/>
      <c r="Z1049" s="294"/>
      <c r="AA1049" s="294"/>
      <c r="AB1049" s="294"/>
      <c r="AC1049" s="294"/>
      <c r="AD1049" s="294"/>
      <c r="AE1049" s="294"/>
    </row>
    <row r="1050" s="294" customFormat="1">
      <c r="A1050" s="544"/>
      <c r="B1050" s="544" t="s">
        <v>1415</v>
      </c>
      <c r="C1050" s="545"/>
      <c r="D1050" s="545"/>
      <c r="E1050" s="545"/>
      <c r="F1050" s="545"/>
      <c r="G1050" s="545"/>
      <c r="H1050" s="545"/>
      <c r="I1050" s="545"/>
      <c r="J1050" s="545"/>
      <c r="K1050" s="545"/>
      <c r="L1050" s="545"/>
      <c r="M1050" s="545"/>
      <c r="N1050" s="545"/>
      <c r="O1050" s="545"/>
      <c r="P1050" s="545"/>
      <c r="Q1050" s="545"/>
      <c r="R1050" s="545"/>
      <c r="S1050" s="545"/>
      <c r="T1050" s="545"/>
      <c r="U1050" s="294"/>
      <c r="V1050" s="294"/>
      <c r="W1050" s="294"/>
      <c r="X1050" s="294"/>
      <c r="Y1050" s="294"/>
      <c r="Z1050" s="294"/>
      <c r="AA1050" s="294"/>
      <c r="AB1050" s="294"/>
      <c r="AC1050" s="294"/>
      <c r="AD1050" s="294"/>
      <c r="AE1050" s="294"/>
    </row>
    <row r="1051" s="294" customFormat="1">
      <c r="A1051" s="294"/>
      <c r="B1051" s="294"/>
      <c r="C1051" s="300"/>
      <c r="D1051" s="300"/>
      <c r="E1051" s="300"/>
      <c r="F1051" s="300"/>
      <c r="G1051" s="300"/>
      <c r="H1051" s="300"/>
      <c r="I1051" s="300"/>
      <c r="J1051" s="300"/>
      <c r="K1051" s="300"/>
      <c r="L1051" s="300"/>
      <c r="M1051" s="300"/>
      <c r="N1051" s="300"/>
      <c r="O1051" s="300"/>
      <c r="P1051" s="300"/>
      <c r="Q1051" s="300"/>
      <c r="R1051" s="300"/>
      <c r="S1051" s="300"/>
      <c r="T1051" s="300"/>
      <c r="U1051" s="294"/>
      <c r="V1051" s="294"/>
      <c r="W1051" s="294"/>
      <c r="X1051" s="294"/>
      <c r="Y1051" s="294"/>
      <c r="Z1051" s="294"/>
      <c r="AA1051" s="294"/>
      <c r="AB1051" s="294"/>
      <c r="AC1051" s="294"/>
      <c r="AD1051" s="294"/>
      <c r="AE1051" s="294"/>
    </row>
    <row r="1052" s="294" customFormat="1">
      <c r="A1052" s="546"/>
      <c r="B1052" s="546"/>
      <c r="C1052" s="547"/>
      <c r="D1052" s="547"/>
      <c r="E1052" s="547"/>
      <c r="F1052" s="547"/>
      <c r="G1052" s="548"/>
      <c r="H1052" s="548"/>
      <c r="I1052" s="548"/>
      <c r="J1052" s="548"/>
      <c r="K1052" s="548"/>
      <c r="L1052" s="547" t="s">
        <v>1416</v>
      </c>
      <c r="M1052" s="547"/>
      <c r="N1052" s="547"/>
      <c r="O1052" s="547"/>
      <c r="P1052" s="547"/>
      <c r="Q1052" s="547"/>
      <c r="R1052" s="547"/>
      <c r="S1052" s="547"/>
      <c r="T1052" s="547"/>
      <c r="U1052" s="294"/>
      <c r="V1052" s="294"/>
      <c r="W1052" s="294"/>
      <c r="X1052" s="294"/>
    </row>
    <row r="1053" s="294" customFormat="1">
      <c r="A1053" s="294"/>
      <c r="B1053" s="294"/>
      <c r="C1053" s="300"/>
      <c r="D1053" s="300"/>
      <c r="E1053" s="300"/>
      <c r="F1053" s="300"/>
      <c r="G1053" s="300"/>
      <c r="H1053" s="300"/>
      <c r="I1053" s="300"/>
      <c r="J1053" s="300"/>
      <c r="K1053" s="300"/>
      <c r="L1053" s="300"/>
      <c r="M1053" s="300"/>
      <c r="N1053" s="300"/>
      <c r="O1053" s="300"/>
      <c r="P1053" s="300"/>
      <c r="Q1053" s="300"/>
      <c r="R1053" s="300"/>
      <c r="S1053" s="300"/>
      <c r="T1053" s="300"/>
      <c r="U1053" s="294"/>
      <c r="V1053" s="294"/>
    </row>
    <row r="1054" s="294" customFormat="1">
      <c r="A1054" s="294"/>
      <c r="B1054" s="294"/>
      <c r="C1054" s="300"/>
      <c r="D1054" s="300"/>
      <c r="E1054" s="300"/>
      <c r="F1054" s="300"/>
      <c r="G1054" s="300"/>
      <c r="H1054" s="300"/>
      <c r="I1054" s="300"/>
      <c r="J1054" s="300"/>
      <c r="K1054" s="300"/>
      <c r="L1054" s="300"/>
      <c r="M1054" s="300"/>
      <c r="N1054" s="300"/>
      <c r="O1054" s="300"/>
      <c r="P1054" s="300"/>
      <c r="Q1054" s="300"/>
      <c r="R1054" s="300"/>
      <c r="S1054" s="300"/>
      <c r="T1054" s="300"/>
      <c r="U1054" s="294"/>
      <c r="V1054" s="294"/>
    </row>
    <row r="1055" s="294" customFormat="1">
      <c r="A1055" s="294"/>
      <c r="B1055" s="294"/>
      <c r="C1055" s="300"/>
      <c r="D1055" s="300"/>
      <c r="E1055" s="300"/>
      <c r="F1055" s="300"/>
      <c r="G1055" s="300"/>
      <c r="H1055" s="300"/>
      <c r="I1055" s="300"/>
      <c r="J1055" s="300"/>
      <c r="K1055" s="300"/>
      <c r="L1055" s="300"/>
      <c r="M1055" s="300"/>
      <c r="N1055" s="300"/>
      <c r="O1055" s="300"/>
      <c r="P1055" s="300"/>
      <c r="Q1055" s="300"/>
      <c r="R1055" s="300"/>
      <c r="S1055" s="300"/>
      <c r="T1055" s="300"/>
      <c r="U1055" s="294"/>
      <c r="V1055" s="294"/>
    </row>
    <row r="1056" s="294" customFormat="1">
      <c r="A1056" s="294"/>
      <c r="B1056" s="294"/>
      <c r="C1056" s="300"/>
      <c r="D1056" s="300"/>
      <c r="E1056" s="300"/>
      <c r="F1056" s="300"/>
      <c r="G1056" s="300"/>
      <c r="H1056" s="300"/>
      <c r="I1056" s="300"/>
      <c r="J1056" s="300"/>
      <c r="K1056" s="300"/>
      <c r="L1056" s="300"/>
      <c r="M1056" s="300"/>
      <c r="N1056" s="300"/>
      <c r="O1056" s="300"/>
      <c r="P1056" s="300"/>
      <c r="Q1056" s="300"/>
      <c r="R1056" s="300"/>
      <c r="S1056" s="300"/>
      <c r="T1056" s="300"/>
      <c r="U1056" s="294"/>
      <c r="V1056" s="294"/>
    </row>
    <row r="1057" s="294" customFormat="1">
      <c r="A1057" s="294"/>
      <c r="B1057" s="294"/>
      <c r="C1057" s="300"/>
      <c r="D1057" s="300"/>
      <c r="E1057" s="300"/>
      <c r="F1057" s="300"/>
      <c r="G1057" s="300"/>
      <c r="H1057" s="300"/>
      <c r="I1057" s="300"/>
      <c r="J1057" s="300"/>
      <c r="K1057" s="300"/>
      <c r="L1057" s="300"/>
      <c r="M1057" s="300"/>
      <c r="N1057" s="300"/>
      <c r="O1057" s="300"/>
      <c r="P1057" s="300"/>
      <c r="Q1057" s="300"/>
      <c r="R1057" s="300"/>
      <c r="S1057" s="300"/>
      <c r="T1057" s="300"/>
      <c r="U1057" s="294"/>
      <c r="V1057" s="294"/>
    </row>
    <row r="1058" s="294" customFormat="1">
      <c r="A1058" s="294"/>
      <c r="B1058" s="294"/>
      <c r="C1058" s="300"/>
      <c r="D1058" s="300"/>
      <c r="E1058" s="300"/>
      <c r="F1058" s="300"/>
      <c r="G1058" s="300"/>
      <c r="H1058" s="300"/>
      <c r="I1058" s="300"/>
      <c r="J1058" s="300"/>
      <c r="K1058" s="300"/>
      <c r="L1058" s="300"/>
      <c r="M1058" s="300"/>
      <c r="N1058" s="300"/>
      <c r="O1058" s="300"/>
      <c r="P1058" s="300"/>
      <c r="Q1058" s="300"/>
      <c r="R1058" s="300"/>
      <c r="S1058" s="300"/>
      <c r="T1058" s="300"/>
      <c r="U1058" s="294"/>
      <c r="V1058" s="294"/>
    </row>
    <row r="1059" s="294" customFormat="1">
      <c r="A1059" s="294"/>
      <c r="B1059" s="294"/>
      <c r="C1059" s="300"/>
      <c r="D1059" s="300"/>
      <c r="E1059" s="300"/>
      <c r="F1059" s="300"/>
      <c r="G1059" s="300"/>
      <c r="H1059" s="300"/>
      <c r="I1059" s="300"/>
      <c r="J1059" s="300"/>
      <c r="K1059" s="300"/>
      <c r="L1059" s="300"/>
      <c r="M1059" s="300"/>
      <c r="N1059" s="300"/>
      <c r="O1059" s="300"/>
      <c r="P1059" s="300"/>
      <c r="Q1059" s="300"/>
      <c r="R1059" s="300"/>
      <c r="S1059" s="300"/>
      <c r="T1059" s="300"/>
      <c r="U1059" s="294"/>
      <c r="V1059" s="294"/>
    </row>
    <row r="1060" s="294" customFormat="1">
      <c r="A1060" s="294"/>
      <c r="B1060" s="294"/>
      <c r="C1060" s="300"/>
      <c r="D1060" s="300"/>
      <c r="E1060" s="300"/>
      <c r="F1060" s="300"/>
      <c r="G1060" s="300"/>
      <c r="H1060" s="300"/>
      <c r="I1060" s="300"/>
      <c r="J1060" s="300"/>
      <c r="K1060" s="300"/>
      <c r="L1060" s="300"/>
      <c r="M1060" s="300"/>
      <c r="N1060" s="300"/>
      <c r="O1060" s="300"/>
      <c r="P1060" s="300"/>
      <c r="Q1060" s="300"/>
      <c r="R1060" s="300"/>
      <c r="S1060" s="300"/>
      <c r="T1060" s="300"/>
      <c r="U1060" s="294"/>
      <c r="V1060" s="294"/>
    </row>
    <row r="1061" s="294" customFormat="1">
      <c r="A1061" s="294"/>
      <c r="B1061" s="294"/>
      <c r="C1061" s="300"/>
      <c r="D1061" s="300"/>
      <c r="E1061" s="300"/>
      <c r="F1061" s="300"/>
      <c r="G1061" s="300"/>
      <c r="H1061" s="300"/>
      <c r="I1061" s="300"/>
      <c r="J1061" s="300"/>
      <c r="K1061" s="300"/>
      <c r="L1061" s="300"/>
      <c r="M1061" s="300"/>
      <c r="N1061" s="300"/>
      <c r="O1061" s="300"/>
      <c r="P1061" s="300"/>
      <c r="Q1061" s="300"/>
      <c r="R1061" s="300"/>
      <c r="S1061" s="300"/>
      <c r="T1061" s="300"/>
      <c r="U1061" s="294"/>
      <c r="V1061" s="294"/>
    </row>
    <row r="1062" s="294" customFormat="1">
      <c r="A1062" s="294"/>
      <c r="B1062" s="294"/>
      <c r="C1062" s="300"/>
      <c r="D1062" s="300"/>
      <c r="E1062" s="300"/>
      <c r="F1062" s="300"/>
      <c r="G1062" s="300"/>
      <c r="H1062" s="300"/>
      <c r="I1062" s="300"/>
      <c r="J1062" s="300"/>
      <c r="K1062" s="300"/>
      <c r="L1062" s="300"/>
      <c r="M1062" s="300"/>
      <c r="N1062" s="300"/>
      <c r="O1062" s="300"/>
      <c r="P1062" s="300"/>
      <c r="Q1062" s="300"/>
      <c r="R1062" s="300"/>
      <c r="S1062" s="300"/>
      <c r="T1062" s="300"/>
      <c r="U1062" s="294"/>
      <c r="V1062" s="294"/>
    </row>
    <row r="1063" s="294" customFormat="1">
      <c r="A1063" s="294"/>
      <c r="B1063" s="294"/>
      <c r="C1063" s="300"/>
      <c r="D1063" s="300"/>
      <c r="E1063" s="300"/>
      <c r="F1063" s="300"/>
      <c r="G1063" s="300"/>
      <c r="H1063" s="300"/>
      <c r="I1063" s="300"/>
      <c r="J1063" s="300"/>
      <c r="K1063" s="300"/>
      <c r="L1063" s="300"/>
      <c r="M1063" s="300"/>
      <c r="N1063" s="300"/>
      <c r="O1063" s="300"/>
      <c r="P1063" s="300"/>
      <c r="Q1063" s="300"/>
      <c r="R1063" s="300"/>
      <c r="S1063" s="300"/>
      <c r="T1063" s="300"/>
      <c r="U1063" s="294"/>
      <c r="V1063" s="294"/>
    </row>
    <row r="1064" s="294" customFormat="1">
      <c r="A1064" s="294"/>
      <c r="B1064" s="294"/>
      <c r="C1064" s="300"/>
      <c r="D1064" s="300"/>
      <c r="E1064" s="300"/>
      <c r="F1064" s="300"/>
      <c r="G1064" s="300"/>
      <c r="H1064" s="300"/>
      <c r="I1064" s="300"/>
      <c r="J1064" s="300"/>
      <c r="K1064" s="300"/>
      <c r="L1064" s="300"/>
      <c r="M1064" s="300"/>
      <c r="N1064" s="300"/>
      <c r="O1064" s="300"/>
      <c r="P1064" s="300"/>
      <c r="Q1064" s="300"/>
      <c r="R1064" s="300"/>
      <c r="S1064" s="300"/>
      <c r="T1064" s="300"/>
      <c r="U1064" s="294"/>
      <c r="V1064" s="294"/>
    </row>
    <row r="1065" s="294" customFormat="1">
      <c r="A1065" s="294"/>
      <c r="B1065" s="294"/>
      <c r="C1065" s="300"/>
      <c r="D1065" s="300"/>
      <c r="E1065" s="300"/>
      <c r="F1065" s="300"/>
      <c r="G1065" s="300"/>
      <c r="H1065" s="300"/>
      <c r="I1065" s="300"/>
      <c r="J1065" s="300"/>
      <c r="K1065" s="300"/>
      <c r="L1065" s="300"/>
      <c r="M1065" s="300"/>
      <c r="N1065" s="300"/>
      <c r="O1065" s="300"/>
      <c r="P1065" s="300"/>
      <c r="Q1065" s="300"/>
      <c r="R1065" s="300"/>
      <c r="S1065" s="300"/>
      <c r="T1065" s="300"/>
      <c r="U1065" s="294"/>
      <c r="V1065" s="294"/>
    </row>
    <row r="1066" s="294" customFormat="1">
      <c r="A1066" s="294"/>
      <c r="B1066" s="294"/>
      <c r="C1066" s="300"/>
      <c r="D1066" s="300"/>
      <c r="E1066" s="300"/>
      <c r="F1066" s="300"/>
      <c r="G1066" s="300"/>
      <c r="H1066" s="300"/>
      <c r="I1066" s="300"/>
      <c r="J1066" s="300"/>
      <c r="K1066" s="300"/>
      <c r="L1066" s="300"/>
      <c r="M1066" s="300"/>
      <c r="N1066" s="300"/>
      <c r="O1066" s="300"/>
      <c r="P1066" s="300"/>
      <c r="Q1066" s="300"/>
      <c r="R1066" s="300"/>
      <c r="S1066" s="300"/>
      <c r="T1066" s="300"/>
      <c r="U1066" s="294"/>
      <c r="V1066" s="294"/>
    </row>
    <row r="1067" s="294" customFormat="1">
      <c r="A1067" s="294"/>
      <c r="B1067" s="294"/>
      <c r="C1067" s="300"/>
      <c r="D1067" s="300"/>
      <c r="E1067" s="300"/>
      <c r="F1067" s="300"/>
      <c r="G1067" s="300"/>
      <c r="H1067" s="300"/>
      <c r="I1067" s="300"/>
      <c r="J1067" s="300"/>
      <c r="K1067" s="300"/>
      <c r="L1067" s="300"/>
      <c r="M1067" s="300"/>
      <c r="N1067" s="300"/>
      <c r="O1067" s="300"/>
      <c r="P1067" s="300"/>
      <c r="Q1067" s="300"/>
      <c r="R1067" s="300"/>
      <c r="S1067" s="300"/>
      <c r="T1067" s="300"/>
      <c r="U1067" s="294"/>
      <c r="V1067" s="294"/>
    </row>
    <row r="1068" s="294" customFormat="1">
      <c r="A1068" s="294"/>
      <c r="B1068" s="294"/>
      <c r="C1068" s="300"/>
      <c r="D1068" s="300"/>
      <c r="E1068" s="300"/>
      <c r="F1068" s="300"/>
      <c r="G1068" s="300"/>
      <c r="H1068" s="300"/>
      <c r="I1068" s="300"/>
      <c r="J1068" s="300"/>
      <c r="K1068" s="300"/>
      <c r="L1068" s="300"/>
      <c r="M1068" s="300"/>
      <c r="N1068" s="300"/>
      <c r="O1068" s="300"/>
      <c r="P1068" s="300"/>
      <c r="Q1068" s="300"/>
      <c r="R1068" s="300"/>
      <c r="S1068" s="300"/>
      <c r="T1068" s="300"/>
      <c r="U1068" s="294"/>
      <c r="V1068" s="294"/>
    </row>
    <row r="1069" s="294" customFormat="1">
      <c r="A1069" s="294"/>
      <c r="B1069" s="294"/>
      <c r="C1069" s="300"/>
      <c r="D1069" s="300"/>
      <c r="E1069" s="300"/>
      <c r="F1069" s="300"/>
      <c r="G1069" s="300"/>
      <c r="H1069" s="300"/>
      <c r="I1069" s="300"/>
      <c r="J1069" s="300"/>
      <c r="K1069" s="300"/>
      <c r="L1069" s="300"/>
      <c r="M1069" s="300"/>
      <c r="N1069" s="300"/>
      <c r="O1069" s="300"/>
      <c r="P1069" s="300"/>
      <c r="Q1069" s="300"/>
      <c r="R1069" s="300"/>
      <c r="S1069" s="300"/>
      <c r="T1069" s="300"/>
      <c r="U1069" s="294"/>
      <c r="V1069" s="294"/>
    </row>
    <row r="1070" ht="14.25">
      <c r="C1070" s="383"/>
      <c r="D1070" s="383"/>
      <c r="E1070" s="383"/>
      <c r="F1070" s="383"/>
      <c r="G1070" s="383"/>
      <c r="H1070" s="383"/>
      <c r="I1070" s="383"/>
      <c r="J1070" s="383"/>
      <c r="K1070" s="383"/>
      <c r="L1070" s="383"/>
      <c r="M1070" s="383"/>
      <c r="N1070" s="383"/>
      <c r="O1070" s="383"/>
      <c r="P1070" s="383"/>
      <c r="Q1070" s="383"/>
      <c r="R1070" s="383"/>
      <c r="S1070" s="383"/>
      <c r="T1070" s="383"/>
    </row>
    <row r="1071" ht="14.25">
      <c r="C1071" s="383"/>
      <c r="D1071" s="383"/>
      <c r="E1071" s="383"/>
      <c r="F1071" s="383"/>
      <c r="G1071" s="383"/>
      <c r="H1071" s="383"/>
      <c r="I1071" s="383"/>
      <c r="J1071" s="383"/>
      <c r="K1071" s="383"/>
      <c r="L1071" s="383"/>
      <c r="M1071" s="383"/>
      <c r="N1071" s="383"/>
      <c r="O1071" s="383"/>
      <c r="P1071" s="383"/>
      <c r="Q1071" s="383"/>
      <c r="R1071" s="383"/>
      <c r="S1071" s="383"/>
      <c r="T1071" s="383"/>
    </row>
    <row r="1072" ht="14.25">
      <c r="C1072" s="383"/>
      <c r="D1072" s="383"/>
      <c r="E1072" s="383"/>
      <c r="F1072" s="383"/>
      <c r="G1072" s="383"/>
      <c r="H1072" s="383"/>
      <c r="I1072" s="383"/>
      <c r="J1072" s="383"/>
      <c r="K1072" s="383"/>
      <c r="L1072" s="383"/>
      <c r="M1072" s="383"/>
      <c r="N1072" s="383"/>
      <c r="O1072" s="383"/>
      <c r="P1072" s="383"/>
      <c r="Q1072" s="383"/>
      <c r="R1072" s="383"/>
      <c r="S1072" s="383"/>
      <c r="T1072" s="383"/>
    </row>
    <row r="1073" ht="14.25">
      <c r="C1073" s="383"/>
      <c r="D1073" s="383"/>
      <c r="E1073" s="383"/>
      <c r="F1073" s="383"/>
      <c r="G1073" s="383"/>
      <c r="H1073" s="383"/>
      <c r="I1073" s="383"/>
      <c r="J1073" s="383"/>
      <c r="K1073" s="383"/>
      <c r="L1073" s="383"/>
      <c r="M1073" s="383"/>
      <c r="N1073" s="383"/>
      <c r="O1073" s="383"/>
      <c r="P1073" s="383"/>
      <c r="Q1073" s="383"/>
      <c r="R1073" s="383"/>
      <c r="S1073" s="383"/>
      <c r="T1073" s="383"/>
    </row>
    <row r="1074" ht="14.25">
      <c r="C1074" s="383"/>
      <c r="D1074" s="383"/>
      <c r="E1074" s="383"/>
      <c r="F1074" s="383"/>
      <c r="G1074" s="383"/>
      <c r="H1074" s="383"/>
      <c r="I1074" s="383"/>
      <c r="J1074" s="383"/>
      <c r="K1074" s="383"/>
      <c r="L1074" s="383"/>
      <c r="M1074" s="383"/>
      <c r="N1074" s="383"/>
      <c r="O1074" s="383"/>
      <c r="P1074" s="383"/>
      <c r="Q1074" s="383"/>
      <c r="R1074" s="383"/>
      <c r="S1074" s="383"/>
      <c r="T1074" s="383"/>
    </row>
    <row r="1075" ht="14.25">
      <c r="C1075" s="383"/>
      <c r="D1075" s="383"/>
      <c r="E1075" s="383"/>
      <c r="F1075" s="383"/>
      <c r="G1075" s="383"/>
      <c r="H1075" s="383"/>
      <c r="I1075" s="383"/>
      <c r="J1075" s="383"/>
      <c r="K1075" s="383"/>
      <c r="L1075" s="383"/>
      <c r="M1075" s="383"/>
      <c r="N1075" s="383"/>
      <c r="O1075" s="383"/>
      <c r="P1075" s="383"/>
      <c r="Q1075" s="383"/>
      <c r="R1075" s="383"/>
      <c r="S1075" s="383"/>
      <c r="T1075" s="383"/>
    </row>
    <row r="1076" ht="14.25">
      <c r="C1076" s="383"/>
      <c r="D1076" s="383"/>
      <c r="E1076" s="383"/>
      <c r="F1076" s="383"/>
      <c r="G1076" s="383"/>
      <c r="H1076" s="383"/>
      <c r="I1076" s="383"/>
      <c r="J1076" s="383"/>
      <c r="K1076" s="383"/>
      <c r="L1076" s="383"/>
      <c r="M1076" s="383"/>
      <c r="N1076" s="383"/>
      <c r="O1076" s="383"/>
      <c r="P1076" s="383"/>
      <c r="Q1076" s="383"/>
      <c r="R1076" s="383"/>
      <c r="S1076" s="383"/>
      <c r="T1076" s="383"/>
    </row>
    <row r="1077" ht="14.25">
      <c r="C1077" s="383"/>
      <c r="D1077" s="383"/>
      <c r="E1077" s="383"/>
      <c r="F1077" s="383"/>
      <c r="G1077" s="383"/>
      <c r="H1077" s="383"/>
      <c r="I1077" s="383"/>
      <c r="J1077" s="383"/>
      <c r="K1077" s="383"/>
      <c r="L1077" s="383"/>
      <c r="M1077" s="383"/>
      <c r="N1077" s="383"/>
      <c r="O1077" s="383"/>
      <c r="P1077" s="383"/>
      <c r="Q1077" s="383"/>
      <c r="R1077" s="383"/>
      <c r="S1077" s="383"/>
      <c r="T1077" s="383"/>
    </row>
    <row r="1078" ht="14.25">
      <c r="C1078" s="383"/>
      <c r="D1078" s="383"/>
      <c r="E1078" s="383"/>
      <c r="F1078" s="383"/>
      <c r="G1078" s="383"/>
      <c r="H1078" s="383"/>
      <c r="I1078" s="383"/>
      <c r="J1078" s="383"/>
      <c r="K1078" s="383"/>
      <c r="L1078" s="383"/>
      <c r="M1078" s="383"/>
      <c r="N1078" s="383"/>
      <c r="O1078" s="383"/>
      <c r="P1078" s="383"/>
      <c r="Q1078" s="383"/>
      <c r="R1078" s="383"/>
      <c r="S1078" s="383"/>
      <c r="T1078" s="383"/>
    </row>
    <row r="1079" ht="14.25">
      <c r="C1079" s="383"/>
      <c r="D1079" s="383"/>
      <c r="E1079" s="383"/>
      <c r="F1079" s="383"/>
      <c r="G1079" s="383"/>
      <c r="H1079" s="383"/>
      <c r="I1079" s="383"/>
      <c r="J1079" s="383"/>
      <c r="K1079" s="383"/>
      <c r="L1079" s="383"/>
      <c r="M1079" s="383"/>
      <c r="N1079" s="383"/>
      <c r="O1079" s="383"/>
      <c r="P1079" s="383"/>
      <c r="Q1079" s="383"/>
      <c r="R1079" s="383"/>
      <c r="S1079" s="383"/>
      <c r="T1079" s="383"/>
    </row>
    <row r="1080" ht="14.25">
      <c r="C1080" s="383"/>
      <c r="D1080" s="383"/>
      <c r="E1080" s="383"/>
      <c r="F1080" s="383"/>
      <c r="G1080" s="383"/>
      <c r="H1080" s="383"/>
      <c r="I1080" s="383"/>
      <c r="J1080" s="383"/>
      <c r="K1080" s="383"/>
      <c r="L1080" s="383"/>
      <c r="M1080" s="383"/>
      <c r="N1080" s="383"/>
      <c r="O1080" s="383"/>
      <c r="P1080" s="383"/>
      <c r="Q1080" s="383"/>
      <c r="R1080" s="383"/>
      <c r="S1080" s="383"/>
      <c r="T1080" s="383"/>
    </row>
    <row r="1081" ht="14.25">
      <c r="C1081" s="383"/>
      <c r="D1081" s="383"/>
      <c r="E1081" s="383"/>
      <c r="F1081" s="383"/>
      <c r="G1081" s="383"/>
      <c r="H1081" s="383"/>
      <c r="I1081" s="383"/>
      <c r="J1081" s="383"/>
      <c r="K1081" s="383"/>
      <c r="L1081" s="383"/>
      <c r="M1081" s="383"/>
      <c r="N1081" s="383"/>
      <c r="O1081" s="383"/>
      <c r="P1081" s="383"/>
      <c r="Q1081" s="383"/>
      <c r="R1081" s="383"/>
      <c r="S1081" s="383"/>
      <c r="T1081" s="383"/>
    </row>
    <row r="1082" ht="14.25">
      <c r="C1082" s="383"/>
      <c r="D1082" s="383"/>
      <c r="E1082" s="383"/>
      <c r="F1082" s="383"/>
      <c r="G1082" s="383"/>
      <c r="H1082" s="383"/>
      <c r="I1082" s="383"/>
      <c r="J1082" s="383"/>
      <c r="K1082" s="383"/>
      <c r="L1082" s="383"/>
      <c r="M1082" s="383"/>
      <c r="N1082" s="383"/>
      <c r="O1082" s="383"/>
      <c r="P1082" s="383"/>
      <c r="Q1082" s="383"/>
      <c r="R1082" s="383"/>
      <c r="S1082" s="383"/>
      <c r="T1082" s="383"/>
    </row>
    <row r="1083" ht="14.25">
      <c r="C1083" s="383"/>
      <c r="D1083" s="383"/>
      <c r="E1083" s="383"/>
      <c r="F1083" s="383"/>
      <c r="G1083" s="383"/>
      <c r="H1083" s="383"/>
      <c r="I1083" s="383"/>
      <c r="J1083" s="383"/>
      <c r="K1083" s="383"/>
      <c r="L1083" s="383"/>
      <c r="M1083" s="383"/>
      <c r="N1083" s="383"/>
      <c r="O1083" s="383"/>
      <c r="P1083" s="383"/>
      <c r="Q1083" s="383"/>
      <c r="R1083" s="383"/>
      <c r="S1083" s="383"/>
      <c r="T1083" s="383"/>
    </row>
    <row r="1084" ht="14.25">
      <c r="C1084" s="383"/>
      <c r="D1084" s="383"/>
      <c r="E1084" s="383"/>
      <c r="F1084" s="383"/>
      <c r="G1084" s="383"/>
      <c r="H1084" s="383"/>
      <c r="I1084" s="383"/>
      <c r="J1084" s="383"/>
      <c r="K1084" s="383"/>
      <c r="L1084" s="383"/>
      <c r="M1084" s="383"/>
      <c r="N1084" s="383"/>
      <c r="O1084" s="383"/>
      <c r="P1084" s="383"/>
      <c r="Q1084" s="383"/>
      <c r="R1084" s="383"/>
      <c r="S1084" s="383"/>
      <c r="T1084" s="383"/>
    </row>
    <row r="1085" ht="14.25">
      <c r="C1085" s="383"/>
      <c r="D1085" s="383"/>
      <c r="E1085" s="383"/>
      <c r="F1085" s="383"/>
      <c r="G1085" s="383"/>
      <c r="H1085" s="383"/>
      <c r="I1085" s="383"/>
      <c r="J1085" s="383"/>
      <c r="K1085" s="383"/>
      <c r="L1085" s="383"/>
      <c r="M1085" s="383"/>
      <c r="N1085" s="383"/>
      <c r="O1085" s="383"/>
      <c r="P1085" s="383"/>
      <c r="Q1085" s="383"/>
      <c r="R1085" s="383"/>
      <c r="S1085" s="383"/>
      <c r="T1085" s="383"/>
    </row>
    <row r="1086" ht="14.25">
      <c r="C1086" s="383"/>
      <c r="D1086" s="383"/>
      <c r="E1086" s="383"/>
      <c r="F1086" s="383"/>
      <c r="G1086" s="383"/>
      <c r="H1086" s="383"/>
      <c r="I1086" s="383"/>
      <c r="J1086" s="383"/>
      <c r="K1086" s="383"/>
      <c r="L1086" s="383"/>
      <c r="M1086" s="383"/>
      <c r="N1086" s="383"/>
      <c r="O1086" s="383"/>
      <c r="P1086" s="383"/>
      <c r="Q1086" s="383"/>
      <c r="R1086" s="383"/>
      <c r="S1086" s="383"/>
      <c r="T1086" s="383"/>
    </row>
    <row r="1087" ht="14.25">
      <c r="C1087" s="383"/>
      <c r="D1087" s="383"/>
      <c r="E1087" s="383"/>
      <c r="F1087" s="383"/>
      <c r="G1087" s="383"/>
      <c r="H1087" s="383"/>
      <c r="I1087" s="383"/>
      <c r="J1087" s="383"/>
      <c r="K1087" s="383"/>
      <c r="L1087" s="383"/>
      <c r="M1087" s="383"/>
      <c r="N1087" s="383"/>
      <c r="O1087" s="383"/>
      <c r="P1087" s="383"/>
      <c r="Q1087" s="383"/>
      <c r="R1087" s="383"/>
      <c r="S1087" s="383"/>
      <c r="T1087" s="383"/>
    </row>
    <row r="1088" ht="14.25">
      <c r="C1088" s="383"/>
      <c r="D1088" s="383"/>
      <c r="E1088" s="383"/>
      <c r="F1088" s="383"/>
      <c r="G1088" s="383"/>
      <c r="H1088" s="383"/>
      <c r="I1088" s="383"/>
      <c r="J1088" s="383"/>
      <c r="K1088" s="383"/>
      <c r="L1088" s="383"/>
      <c r="M1088" s="383"/>
      <c r="N1088" s="383"/>
      <c r="O1088" s="383"/>
      <c r="P1088" s="383"/>
      <c r="Q1088" s="383"/>
      <c r="R1088" s="383"/>
      <c r="S1088" s="383"/>
      <c r="T1088" s="383"/>
    </row>
    <row r="1089" ht="14.25">
      <c r="C1089" s="383"/>
      <c r="D1089" s="383"/>
      <c r="E1089" s="383"/>
      <c r="F1089" s="383"/>
      <c r="G1089" s="383"/>
      <c r="H1089" s="383"/>
      <c r="I1089" s="383"/>
      <c r="J1089" s="383"/>
      <c r="K1089" s="383"/>
      <c r="L1089" s="383"/>
      <c r="M1089" s="383"/>
      <c r="N1089" s="383"/>
      <c r="O1089" s="383"/>
      <c r="P1089" s="383"/>
      <c r="Q1089" s="383"/>
      <c r="R1089" s="383"/>
      <c r="S1089" s="383"/>
      <c r="T1089" s="383"/>
    </row>
    <row r="1090" ht="14.25">
      <c r="C1090" s="383"/>
      <c r="D1090" s="383"/>
      <c r="E1090" s="383"/>
      <c r="F1090" s="383"/>
      <c r="G1090" s="383"/>
      <c r="H1090" s="383"/>
      <c r="I1090" s="383"/>
      <c r="J1090" s="383"/>
      <c r="K1090" s="383"/>
      <c r="L1090" s="383"/>
      <c r="M1090" s="383"/>
      <c r="N1090" s="383"/>
      <c r="O1090" s="383"/>
      <c r="P1090" s="383"/>
      <c r="Q1090" s="383"/>
      <c r="R1090" s="383"/>
      <c r="S1090" s="383"/>
      <c r="T1090" s="383"/>
    </row>
    <row r="1091" ht="14.25">
      <c r="C1091" s="383"/>
      <c r="D1091" s="383"/>
      <c r="E1091" s="383"/>
      <c r="F1091" s="383"/>
      <c r="G1091" s="383"/>
      <c r="H1091" s="383"/>
      <c r="I1091" s="383"/>
      <c r="J1091" s="383"/>
      <c r="K1091" s="383"/>
      <c r="L1091" s="383"/>
      <c r="M1091" s="383"/>
      <c r="N1091" s="383"/>
      <c r="O1091" s="383"/>
      <c r="P1091" s="383"/>
      <c r="Q1091" s="383"/>
      <c r="R1091" s="383"/>
      <c r="S1091" s="383"/>
      <c r="T1091" s="383"/>
    </row>
    <row r="1092" ht="14.25">
      <c r="C1092" s="383"/>
      <c r="D1092" s="383"/>
      <c r="E1092" s="383"/>
      <c r="F1092" s="383"/>
      <c r="G1092" s="383"/>
      <c r="H1092" s="383"/>
      <c r="I1092" s="383"/>
      <c r="J1092" s="383"/>
      <c r="K1092" s="383"/>
      <c r="L1092" s="383"/>
      <c r="M1092" s="383"/>
      <c r="N1092" s="383"/>
      <c r="O1092" s="383"/>
      <c r="P1092" s="383"/>
      <c r="Q1092" s="383"/>
      <c r="R1092" s="383"/>
      <c r="S1092" s="383"/>
      <c r="T1092" s="383"/>
    </row>
    <row r="1093" ht="14.25">
      <c r="C1093" s="383"/>
      <c r="D1093" s="383"/>
      <c r="E1093" s="383"/>
      <c r="F1093" s="383"/>
      <c r="G1093" s="383"/>
      <c r="H1093" s="383"/>
      <c r="I1093" s="383"/>
      <c r="J1093" s="383"/>
      <c r="K1093" s="383"/>
      <c r="L1093" s="383"/>
      <c r="M1093" s="383"/>
      <c r="N1093" s="383"/>
      <c r="O1093" s="383"/>
      <c r="P1093" s="383"/>
      <c r="Q1093" s="383"/>
      <c r="R1093" s="383"/>
      <c r="S1093" s="383"/>
      <c r="T1093" s="383"/>
    </row>
    <row r="1094" ht="14.25">
      <c r="C1094" s="383"/>
      <c r="D1094" s="383"/>
      <c r="E1094" s="383"/>
      <c r="F1094" s="383"/>
      <c r="G1094" s="383"/>
      <c r="H1094" s="383"/>
      <c r="I1094" s="383"/>
      <c r="J1094" s="383"/>
      <c r="K1094" s="383"/>
      <c r="L1094" s="383"/>
      <c r="M1094" s="383"/>
      <c r="N1094" s="383"/>
      <c r="O1094" s="383"/>
      <c r="P1094" s="383"/>
      <c r="Q1094" s="383"/>
      <c r="R1094" s="383"/>
      <c r="S1094" s="383"/>
      <c r="T1094" s="383"/>
    </row>
    <row r="1095" ht="14.25">
      <c r="C1095" s="383"/>
      <c r="D1095" s="383"/>
      <c r="E1095" s="383"/>
      <c r="F1095" s="383"/>
      <c r="G1095" s="383"/>
      <c r="H1095" s="383"/>
      <c r="I1095" s="383"/>
      <c r="J1095" s="383"/>
      <c r="K1095" s="383"/>
      <c r="L1095" s="383"/>
      <c r="M1095" s="383"/>
      <c r="N1095" s="383"/>
      <c r="O1095" s="383"/>
      <c r="P1095" s="383"/>
      <c r="Q1095" s="383"/>
      <c r="R1095" s="383"/>
      <c r="S1095" s="383"/>
      <c r="T1095" s="383"/>
    </row>
    <row r="1096" ht="14.25">
      <c r="C1096" s="383"/>
      <c r="D1096" s="383"/>
      <c r="E1096" s="383"/>
      <c r="F1096" s="383"/>
      <c r="G1096" s="383"/>
      <c r="H1096" s="383"/>
      <c r="I1096" s="383"/>
      <c r="J1096" s="383"/>
      <c r="K1096" s="383"/>
      <c r="L1096" s="383"/>
      <c r="M1096" s="383"/>
      <c r="N1096" s="383"/>
      <c r="O1096" s="383"/>
      <c r="P1096" s="383"/>
      <c r="Q1096" s="383"/>
      <c r="R1096" s="383"/>
      <c r="S1096" s="383"/>
      <c r="T1096" s="383"/>
    </row>
    <row r="1097" ht="14.25">
      <c r="C1097" s="383"/>
      <c r="D1097" s="383"/>
      <c r="E1097" s="383"/>
      <c r="F1097" s="383"/>
      <c r="G1097" s="383"/>
      <c r="H1097" s="383"/>
      <c r="I1097" s="383"/>
      <c r="J1097" s="383"/>
      <c r="K1097" s="383"/>
      <c r="L1097" s="383"/>
      <c r="M1097" s="383"/>
      <c r="N1097" s="383"/>
      <c r="O1097" s="383"/>
      <c r="P1097" s="383"/>
      <c r="Q1097" s="383"/>
      <c r="R1097" s="383"/>
      <c r="S1097" s="383"/>
      <c r="T1097" s="383"/>
    </row>
    <row r="1098" ht="14.25">
      <c r="C1098" s="383"/>
      <c r="D1098" s="383"/>
      <c r="E1098" s="383"/>
      <c r="F1098" s="383"/>
      <c r="G1098" s="383"/>
      <c r="H1098" s="383"/>
      <c r="I1098" s="383"/>
      <c r="J1098" s="383"/>
      <c r="K1098" s="383"/>
      <c r="L1098" s="383"/>
      <c r="M1098" s="383"/>
      <c r="N1098" s="383"/>
      <c r="O1098" s="383"/>
      <c r="P1098" s="383"/>
      <c r="Q1098" s="383"/>
      <c r="R1098" s="383"/>
      <c r="S1098" s="383"/>
      <c r="T1098" s="383"/>
    </row>
    <row r="1099" ht="14.25">
      <c r="C1099" s="383"/>
      <c r="D1099" s="383"/>
      <c r="E1099" s="383"/>
      <c r="F1099" s="383"/>
      <c r="G1099" s="383"/>
      <c r="H1099" s="383"/>
      <c r="I1099" s="383"/>
      <c r="J1099" s="383"/>
      <c r="K1099" s="383"/>
      <c r="L1099" s="383"/>
      <c r="M1099" s="383"/>
      <c r="N1099" s="383"/>
      <c r="O1099" s="383"/>
      <c r="P1099" s="383"/>
      <c r="Q1099" s="383"/>
      <c r="R1099" s="383"/>
      <c r="S1099" s="383"/>
      <c r="T1099" s="383"/>
    </row>
    <row r="1100" ht="14.25">
      <c r="C1100" s="383"/>
      <c r="D1100" s="383"/>
      <c r="E1100" s="383"/>
      <c r="F1100" s="383"/>
      <c r="G1100" s="383"/>
      <c r="H1100" s="383"/>
      <c r="I1100" s="383"/>
      <c r="J1100" s="383"/>
      <c r="K1100" s="383"/>
      <c r="L1100" s="383"/>
      <c r="M1100" s="383"/>
      <c r="N1100" s="383"/>
      <c r="O1100" s="383"/>
      <c r="P1100" s="383"/>
      <c r="Q1100" s="383"/>
      <c r="R1100" s="383"/>
      <c r="S1100" s="383"/>
      <c r="T1100" s="383"/>
    </row>
    <row r="1101" ht="14.25">
      <c r="C1101" s="383"/>
      <c r="D1101" s="383"/>
      <c r="E1101" s="383"/>
      <c r="F1101" s="383"/>
      <c r="G1101" s="383"/>
      <c r="H1101" s="383"/>
      <c r="I1101" s="383"/>
      <c r="J1101" s="383"/>
      <c r="K1101" s="383"/>
      <c r="L1101" s="383"/>
      <c r="M1101" s="383"/>
      <c r="N1101" s="383"/>
      <c r="O1101" s="383"/>
      <c r="P1101" s="383"/>
      <c r="Q1101" s="383"/>
      <c r="R1101" s="383"/>
      <c r="S1101" s="383"/>
      <c r="T1101" s="383"/>
    </row>
    <row r="1102" ht="14.25">
      <c r="C1102" s="383"/>
      <c r="D1102" s="383"/>
      <c r="E1102" s="383"/>
      <c r="F1102" s="383"/>
      <c r="G1102" s="383"/>
      <c r="H1102" s="383"/>
      <c r="I1102" s="383"/>
      <c r="J1102" s="383"/>
      <c r="K1102" s="383"/>
      <c r="L1102" s="383"/>
      <c r="M1102" s="383"/>
      <c r="N1102" s="383"/>
      <c r="O1102" s="383"/>
      <c r="P1102" s="383"/>
      <c r="Q1102" s="383"/>
      <c r="R1102" s="383"/>
      <c r="S1102" s="383"/>
      <c r="T1102" s="383"/>
    </row>
    <row r="1103" ht="14.25">
      <c r="C1103" s="383"/>
      <c r="D1103" s="383"/>
      <c r="E1103" s="383"/>
      <c r="F1103" s="383"/>
      <c r="G1103" s="383"/>
      <c r="H1103" s="383"/>
      <c r="I1103" s="383"/>
      <c r="J1103" s="383"/>
      <c r="K1103" s="383"/>
      <c r="L1103" s="383"/>
      <c r="M1103" s="383"/>
      <c r="N1103" s="383"/>
      <c r="O1103" s="383"/>
      <c r="P1103" s="383"/>
      <c r="Q1103" s="383"/>
      <c r="R1103" s="383"/>
      <c r="S1103" s="383"/>
      <c r="T1103" s="383"/>
    </row>
    <row r="1104" ht="14.25">
      <c r="C1104" s="383"/>
      <c r="D1104" s="383"/>
      <c r="E1104" s="383"/>
      <c r="F1104" s="383"/>
      <c r="G1104" s="383"/>
      <c r="H1104" s="383"/>
      <c r="I1104" s="383"/>
      <c r="J1104" s="383"/>
      <c r="K1104" s="383"/>
      <c r="L1104" s="383"/>
      <c r="M1104" s="383"/>
      <c r="N1104" s="383"/>
      <c r="O1104" s="383"/>
      <c r="P1104" s="383"/>
      <c r="Q1104" s="383"/>
      <c r="R1104" s="383"/>
      <c r="S1104" s="383"/>
      <c r="T1104" s="383"/>
    </row>
    <row r="1105" ht="14.25">
      <c r="C1105" s="383"/>
      <c r="D1105" s="383"/>
      <c r="E1105" s="383"/>
      <c r="F1105" s="383"/>
      <c r="G1105" s="383"/>
      <c r="H1105" s="383"/>
      <c r="I1105" s="383"/>
      <c r="J1105" s="383"/>
      <c r="K1105" s="383"/>
      <c r="L1105" s="383"/>
      <c r="M1105" s="383"/>
      <c r="N1105" s="383"/>
      <c r="O1105" s="383"/>
      <c r="P1105" s="383"/>
      <c r="Q1105" s="383"/>
      <c r="R1105" s="383"/>
      <c r="S1105" s="383"/>
      <c r="T1105" s="383"/>
    </row>
    <row r="1106" ht="14.25">
      <c r="C1106" s="383"/>
      <c r="D1106" s="383"/>
      <c r="E1106" s="383"/>
      <c r="F1106" s="383"/>
      <c r="G1106" s="383"/>
      <c r="H1106" s="383"/>
      <c r="I1106" s="383"/>
      <c r="J1106" s="383"/>
      <c r="K1106" s="383"/>
      <c r="L1106" s="383"/>
      <c r="M1106" s="383"/>
      <c r="N1106" s="383"/>
      <c r="O1106" s="383"/>
      <c r="P1106" s="383"/>
      <c r="Q1106" s="383"/>
      <c r="R1106" s="383"/>
      <c r="S1106" s="383"/>
      <c r="T1106" s="383"/>
    </row>
    <row r="1107" ht="14.25">
      <c r="C1107" s="383"/>
      <c r="D1107" s="383"/>
      <c r="E1107" s="383"/>
      <c r="F1107" s="383"/>
      <c r="G1107" s="383"/>
      <c r="H1107" s="383"/>
      <c r="I1107" s="383"/>
      <c r="J1107" s="383"/>
      <c r="K1107" s="383"/>
      <c r="L1107" s="383"/>
      <c r="M1107" s="383"/>
      <c r="N1107" s="383"/>
      <c r="O1107" s="383"/>
      <c r="P1107" s="383"/>
      <c r="Q1107" s="383"/>
      <c r="R1107" s="383"/>
      <c r="S1107" s="383"/>
      <c r="T1107" s="383"/>
    </row>
    <row r="1108" ht="14.25">
      <c r="C1108" s="383"/>
      <c r="D1108" s="383"/>
      <c r="E1108" s="383"/>
      <c r="F1108" s="383"/>
      <c r="G1108" s="383"/>
      <c r="H1108" s="383"/>
      <c r="I1108" s="383"/>
      <c r="J1108" s="383"/>
      <c r="K1108" s="383"/>
      <c r="L1108" s="383"/>
      <c r="M1108" s="383"/>
      <c r="N1108" s="383"/>
      <c r="O1108" s="383"/>
      <c r="P1108" s="383"/>
      <c r="Q1108" s="383"/>
      <c r="R1108" s="383"/>
      <c r="S1108" s="383"/>
      <c r="T1108" s="383"/>
    </row>
    <row r="1109" ht="14.25">
      <c r="C1109" s="383"/>
      <c r="D1109" s="383"/>
      <c r="E1109" s="383"/>
      <c r="F1109" s="383"/>
      <c r="G1109" s="383"/>
      <c r="H1109" s="383"/>
      <c r="I1109" s="383"/>
      <c r="J1109" s="383"/>
      <c r="K1109" s="383"/>
      <c r="L1109" s="383"/>
      <c r="M1109" s="383"/>
      <c r="N1109" s="383"/>
      <c r="O1109" s="383"/>
      <c r="P1109" s="383"/>
      <c r="Q1109" s="383"/>
      <c r="R1109" s="383"/>
      <c r="S1109" s="383"/>
      <c r="T1109" s="383"/>
    </row>
    <row r="1110" ht="14.25">
      <c r="C1110" s="383"/>
      <c r="D1110" s="383"/>
      <c r="E1110" s="383"/>
      <c r="F1110" s="383"/>
      <c r="G1110" s="383"/>
      <c r="H1110" s="383"/>
      <c r="I1110" s="383"/>
      <c r="J1110" s="383"/>
      <c r="K1110" s="383"/>
      <c r="L1110" s="383"/>
      <c r="M1110" s="383"/>
      <c r="N1110" s="383"/>
      <c r="O1110" s="383"/>
      <c r="P1110" s="383"/>
      <c r="Q1110" s="383"/>
      <c r="R1110" s="383"/>
      <c r="S1110" s="383"/>
      <c r="T1110" s="383"/>
    </row>
    <row r="1111" ht="14.25">
      <c r="C1111" s="383"/>
      <c r="D1111" s="383"/>
      <c r="E1111" s="383"/>
      <c r="F1111" s="383"/>
      <c r="G1111" s="383"/>
      <c r="H1111" s="383"/>
      <c r="I1111" s="383"/>
      <c r="J1111" s="383"/>
      <c r="K1111" s="383"/>
      <c r="L1111" s="383"/>
      <c r="M1111" s="383"/>
      <c r="N1111" s="383"/>
      <c r="O1111" s="383"/>
      <c r="P1111" s="383"/>
      <c r="Q1111" s="383"/>
      <c r="R1111" s="383"/>
      <c r="S1111" s="383"/>
      <c r="T1111" s="383"/>
    </row>
    <row r="1112" ht="14.25">
      <c r="C1112" s="383"/>
      <c r="D1112" s="383"/>
      <c r="E1112" s="383"/>
      <c r="F1112" s="383"/>
      <c r="G1112" s="383"/>
      <c r="H1112" s="383"/>
      <c r="I1112" s="383"/>
      <c r="J1112" s="383"/>
      <c r="K1112" s="383"/>
      <c r="L1112" s="383"/>
      <c r="M1112" s="383"/>
      <c r="N1112" s="383"/>
      <c r="O1112" s="383"/>
      <c r="P1112" s="383"/>
      <c r="Q1112" s="383"/>
      <c r="R1112" s="383"/>
      <c r="S1112" s="383"/>
      <c r="T1112" s="383"/>
    </row>
    <row r="1113" ht="14.25">
      <c r="C1113" s="383"/>
      <c r="D1113" s="383"/>
      <c r="E1113" s="383"/>
      <c r="F1113" s="383"/>
      <c r="G1113" s="383"/>
      <c r="H1113" s="383"/>
      <c r="I1113" s="383"/>
      <c r="J1113" s="383"/>
      <c r="K1113" s="383"/>
      <c r="L1113" s="383"/>
      <c r="M1113" s="383"/>
      <c r="N1113" s="383"/>
      <c r="O1113" s="383"/>
      <c r="P1113" s="383"/>
      <c r="Q1113" s="383"/>
      <c r="R1113" s="383"/>
      <c r="S1113" s="383"/>
      <c r="T1113" s="383"/>
    </row>
    <row r="1114" ht="14.25">
      <c r="C1114" s="383"/>
      <c r="D1114" s="383"/>
      <c r="E1114" s="383"/>
      <c r="F1114" s="383"/>
      <c r="G1114" s="383"/>
      <c r="H1114" s="383"/>
      <c r="I1114" s="383"/>
      <c r="J1114" s="383"/>
      <c r="K1114" s="383"/>
      <c r="L1114" s="383"/>
      <c r="M1114" s="383"/>
      <c r="N1114" s="383"/>
      <c r="O1114" s="383"/>
      <c r="P1114" s="383"/>
      <c r="Q1114" s="383"/>
      <c r="R1114" s="383"/>
      <c r="S1114" s="383"/>
      <c r="T1114" s="383"/>
    </row>
    <row r="1115" ht="14.25">
      <c r="C1115" s="383"/>
      <c r="D1115" s="383"/>
      <c r="E1115" s="383"/>
      <c r="F1115" s="383"/>
      <c r="G1115" s="383"/>
      <c r="H1115" s="383"/>
      <c r="I1115" s="383"/>
      <c r="J1115" s="383"/>
      <c r="K1115" s="383"/>
      <c r="L1115" s="383"/>
      <c r="M1115" s="383"/>
      <c r="N1115" s="383"/>
      <c r="O1115" s="383"/>
      <c r="P1115" s="383"/>
      <c r="Q1115" s="383"/>
      <c r="R1115" s="383"/>
      <c r="S1115" s="383"/>
      <c r="T1115" s="383"/>
    </row>
    <row r="1116" ht="14.25">
      <c r="C1116" s="383"/>
      <c r="D1116" s="383"/>
      <c r="E1116" s="383"/>
      <c r="F1116" s="383"/>
      <c r="G1116" s="383"/>
      <c r="H1116" s="383"/>
      <c r="I1116" s="383"/>
      <c r="J1116" s="383"/>
      <c r="K1116" s="383"/>
      <c r="L1116" s="383"/>
      <c r="M1116" s="383"/>
      <c r="N1116" s="383"/>
      <c r="O1116" s="383"/>
      <c r="P1116" s="383"/>
      <c r="Q1116" s="383"/>
      <c r="R1116" s="383"/>
      <c r="S1116" s="383"/>
      <c r="T1116" s="383"/>
    </row>
    <row r="1117" ht="14.25">
      <c r="C1117" s="383"/>
      <c r="D1117" s="383"/>
      <c r="E1117" s="383"/>
      <c r="F1117" s="383"/>
      <c r="G1117" s="383"/>
      <c r="H1117" s="383"/>
      <c r="I1117" s="383"/>
      <c r="J1117" s="383"/>
      <c r="K1117" s="383"/>
      <c r="L1117" s="383"/>
      <c r="M1117" s="383"/>
      <c r="N1117" s="383"/>
      <c r="O1117" s="383"/>
      <c r="P1117" s="383"/>
      <c r="Q1117" s="383"/>
      <c r="R1117" s="383"/>
      <c r="S1117" s="383"/>
      <c r="T1117" s="383"/>
    </row>
    <row r="1118" ht="14.25">
      <c r="C1118" s="383"/>
      <c r="D1118" s="383"/>
      <c r="E1118" s="383"/>
      <c r="F1118" s="383"/>
      <c r="G1118" s="383"/>
      <c r="H1118" s="383"/>
      <c r="I1118" s="383"/>
      <c r="J1118" s="383"/>
      <c r="K1118" s="383"/>
      <c r="L1118" s="383"/>
      <c r="M1118" s="383"/>
      <c r="N1118" s="383"/>
      <c r="O1118" s="383"/>
      <c r="P1118" s="383"/>
      <c r="Q1118" s="383"/>
      <c r="R1118" s="383"/>
      <c r="S1118" s="383"/>
      <c r="T1118" s="383"/>
    </row>
    <row r="1119" ht="14.25">
      <c r="C1119" s="383"/>
      <c r="D1119" s="383"/>
      <c r="E1119" s="383"/>
      <c r="F1119" s="383"/>
      <c r="G1119" s="383"/>
      <c r="H1119" s="383"/>
      <c r="I1119" s="383"/>
      <c r="J1119" s="383"/>
      <c r="K1119" s="383"/>
      <c r="L1119" s="383"/>
      <c r="M1119" s="383"/>
      <c r="N1119" s="383"/>
      <c r="O1119" s="383"/>
      <c r="P1119" s="383"/>
      <c r="Q1119" s="383"/>
      <c r="R1119" s="383"/>
      <c r="S1119" s="383"/>
      <c r="T1119" s="383"/>
    </row>
    <row r="1120" ht="14.25">
      <c r="C1120" s="383"/>
      <c r="D1120" s="383"/>
      <c r="E1120" s="383"/>
      <c r="F1120" s="383"/>
      <c r="G1120" s="383"/>
      <c r="H1120" s="383"/>
      <c r="I1120" s="383"/>
      <c r="J1120" s="383"/>
      <c r="K1120" s="383"/>
      <c r="L1120" s="383"/>
      <c r="M1120" s="383"/>
      <c r="N1120" s="383"/>
      <c r="O1120" s="383"/>
      <c r="P1120" s="383"/>
      <c r="Q1120" s="383"/>
      <c r="R1120" s="383"/>
      <c r="S1120" s="383"/>
      <c r="T1120" s="383"/>
    </row>
    <row r="1121" ht="14.25">
      <c r="C1121" s="383"/>
      <c r="D1121" s="383"/>
      <c r="E1121" s="383"/>
      <c r="F1121" s="383"/>
      <c r="G1121" s="383"/>
      <c r="H1121" s="383"/>
      <c r="I1121" s="383"/>
      <c r="J1121" s="383"/>
      <c r="K1121" s="383"/>
      <c r="L1121" s="383"/>
      <c r="M1121" s="383"/>
      <c r="N1121" s="383"/>
      <c r="O1121" s="383"/>
      <c r="P1121" s="383"/>
      <c r="Q1121" s="383"/>
      <c r="R1121" s="383"/>
      <c r="S1121" s="383"/>
      <c r="T1121" s="383"/>
    </row>
    <row r="1122" ht="14.25">
      <c r="C1122" s="383"/>
      <c r="D1122" s="383"/>
      <c r="E1122" s="383"/>
      <c r="F1122" s="383"/>
      <c r="G1122" s="383"/>
      <c r="H1122" s="383"/>
      <c r="I1122" s="383"/>
      <c r="J1122" s="383"/>
      <c r="K1122" s="383"/>
      <c r="L1122" s="383"/>
      <c r="M1122" s="383"/>
      <c r="N1122" s="383"/>
      <c r="O1122" s="383"/>
      <c r="P1122" s="383"/>
      <c r="Q1122" s="383"/>
      <c r="R1122" s="383"/>
      <c r="S1122" s="383"/>
      <c r="T1122" s="383"/>
    </row>
    <row r="1123" ht="14.25">
      <c r="C1123" s="383"/>
      <c r="D1123" s="383"/>
      <c r="E1123" s="383"/>
      <c r="F1123" s="383"/>
      <c r="G1123" s="383"/>
      <c r="H1123" s="383"/>
      <c r="I1123" s="383"/>
      <c r="J1123" s="383"/>
      <c r="K1123" s="383"/>
      <c r="L1123" s="383"/>
      <c r="M1123" s="383"/>
      <c r="N1123" s="383"/>
      <c r="O1123" s="383"/>
      <c r="P1123" s="383"/>
      <c r="Q1123" s="383"/>
      <c r="R1123" s="383"/>
      <c r="S1123" s="383"/>
      <c r="T1123" s="383"/>
    </row>
    <row r="1124" ht="14.25">
      <c r="C1124" s="383"/>
      <c r="D1124" s="383"/>
      <c r="E1124" s="383"/>
      <c r="F1124" s="383"/>
      <c r="G1124" s="383"/>
      <c r="H1124" s="383"/>
      <c r="I1124" s="383"/>
      <c r="J1124" s="383"/>
      <c r="K1124" s="383"/>
      <c r="L1124" s="383"/>
      <c r="M1124" s="383"/>
      <c r="N1124" s="383"/>
      <c r="O1124" s="383"/>
      <c r="P1124" s="383"/>
      <c r="Q1124" s="383"/>
      <c r="R1124" s="383"/>
      <c r="S1124" s="383"/>
      <c r="T1124" s="383"/>
    </row>
    <row r="1125" ht="14.25">
      <c r="C1125" s="383"/>
      <c r="D1125" s="383"/>
      <c r="E1125" s="383"/>
      <c r="F1125" s="383"/>
      <c r="G1125" s="383"/>
      <c r="H1125" s="383"/>
      <c r="I1125" s="383"/>
      <c r="J1125" s="383"/>
      <c r="K1125" s="383"/>
      <c r="L1125" s="383"/>
      <c r="M1125" s="383"/>
      <c r="N1125" s="383"/>
      <c r="O1125" s="383"/>
      <c r="P1125" s="383"/>
      <c r="Q1125" s="383"/>
      <c r="R1125" s="383"/>
      <c r="S1125" s="383"/>
      <c r="T1125" s="383"/>
    </row>
    <row r="1126" ht="14.25">
      <c r="C1126" s="383"/>
      <c r="D1126" s="383"/>
      <c r="E1126" s="383"/>
      <c r="F1126" s="383"/>
      <c r="G1126" s="383"/>
      <c r="H1126" s="383"/>
      <c r="I1126" s="383"/>
      <c r="J1126" s="383"/>
      <c r="K1126" s="383"/>
      <c r="L1126" s="383"/>
      <c r="M1126" s="383"/>
      <c r="N1126" s="383"/>
      <c r="O1126" s="383"/>
      <c r="P1126" s="383"/>
      <c r="Q1126" s="383"/>
      <c r="R1126" s="383"/>
      <c r="S1126" s="383"/>
      <c r="T1126" s="383"/>
    </row>
    <row r="1127" ht="14.25">
      <c r="C1127" s="383"/>
      <c r="D1127" s="383"/>
      <c r="E1127" s="383"/>
      <c r="F1127" s="383"/>
      <c r="G1127" s="383"/>
      <c r="H1127" s="383"/>
      <c r="I1127" s="383"/>
      <c r="J1127" s="383"/>
      <c r="K1127" s="383"/>
      <c r="L1127" s="383"/>
      <c r="M1127" s="383"/>
      <c r="N1127" s="383"/>
      <c r="O1127" s="383"/>
      <c r="P1127" s="383"/>
      <c r="Q1127" s="383"/>
      <c r="R1127" s="383"/>
      <c r="S1127" s="383"/>
      <c r="T1127" s="383"/>
    </row>
    <row r="1128" ht="14.25">
      <c r="C1128" s="383"/>
      <c r="D1128" s="383"/>
      <c r="E1128" s="383"/>
      <c r="F1128" s="383"/>
      <c r="G1128" s="383"/>
      <c r="H1128" s="383"/>
      <c r="I1128" s="383"/>
      <c r="J1128" s="383"/>
      <c r="K1128" s="383"/>
      <c r="L1128" s="383"/>
      <c r="M1128" s="383"/>
      <c r="N1128" s="383"/>
      <c r="O1128" s="383"/>
      <c r="P1128" s="383"/>
      <c r="Q1128" s="383"/>
      <c r="R1128" s="383"/>
      <c r="S1128" s="383"/>
      <c r="T1128" s="383"/>
    </row>
    <row r="1129" ht="14.25">
      <c r="C1129" s="383"/>
      <c r="D1129" s="383"/>
      <c r="E1129" s="383"/>
      <c r="F1129" s="383"/>
      <c r="G1129" s="383"/>
      <c r="H1129" s="383"/>
      <c r="I1129" s="383"/>
      <c r="J1129" s="383"/>
      <c r="K1129" s="383"/>
      <c r="L1129" s="383"/>
      <c r="M1129" s="383"/>
      <c r="N1129" s="383"/>
      <c r="O1129" s="383"/>
      <c r="P1129" s="383"/>
      <c r="Q1129" s="383"/>
      <c r="R1129" s="383"/>
      <c r="S1129" s="383"/>
      <c r="T1129" s="383"/>
    </row>
    <row r="1130" ht="14.25">
      <c r="C1130" s="383"/>
      <c r="D1130" s="383"/>
      <c r="E1130" s="383"/>
      <c r="F1130" s="383"/>
      <c r="G1130" s="383"/>
      <c r="H1130" s="383"/>
      <c r="I1130" s="383"/>
      <c r="J1130" s="383"/>
      <c r="K1130" s="383"/>
      <c r="L1130" s="383"/>
      <c r="M1130" s="383"/>
      <c r="N1130" s="383"/>
      <c r="O1130" s="383"/>
      <c r="P1130" s="383"/>
      <c r="Q1130" s="383"/>
      <c r="R1130" s="383"/>
      <c r="S1130" s="383"/>
      <c r="T1130" s="383"/>
    </row>
    <row r="1131" ht="14.25">
      <c r="C1131" s="383"/>
      <c r="D1131" s="383"/>
      <c r="E1131" s="383"/>
      <c r="F1131" s="383"/>
      <c r="G1131" s="383"/>
      <c r="H1131" s="383"/>
      <c r="I1131" s="383"/>
      <c r="J1131" s="383"/>
      <c r="K1131" s="383"/>
      <c r="L1131" s="383"/>
      <c r="M1131" s="383"/>
      <c r="N1131" s="383"/>
      <c r="O1131" s="383"/>
      <c r="P1131" s="383"/>
      <c r="Q1131" s="383"/>
      <c r="R1131" s="383"/>
      <c r="S1131" s="383"/>
      <c r="T1131" s="383"/>
    </row>
    <row r="1132" ht="14.25">
      <c r="C1132" s="383"/>
      <c r="D1132" s="383"/>
    </row>
    <row r="1133" ht="14.25">
      <c r="C1133" s="383"/>
      <c r="D1133" s="383"/>
      <c r="E1133" s="383"/>
      <c r="F1133" s="383"/>
      <c r="G1133" s="383"/>
      <c r="H1133" s="383"/>
      <c r="I1133" s="383"/>
      <c r="J1133" s="383"/>
      <c r="K1133" s="383"/>
      <c r="L1133" s="383"/>
      <c r="M1133" s="383"/>
      <c r="N1133" s="383"/>
      <c r="O1133" s="383"/>
      <c r="P1133" s="383"/>
      <c r="Q1133" s="383"/>
      <c r="R1133" s="383"/>
      <c r="S1133" s="383"/>
      <c r="T1133" s="383"/>
    </row>
    <row r="1134" ht="14.25">
      <c r="C1134" s="383"/>
      <c r="D1134" s="383"/>
      <c r="E1134" s="383"/>
      <c r="F1134" s="383"/>
      <c r="G1134" s="383"/>
      <c r="H1134" s="383"/>
      <c r="I1134" s="383"/>
      <c r="J1134" s="383"/>
      <c r="K1134" s="383"/>
      <c r="L1134" s="383"/>
      <c r="M1134" s="383"/>
      <c r="N1134" s="383"/>
      <c r="O1134" s="383"/>
      <c r="P1134" s="383"/>
      <c r="Q1134" s="383"/>
      <c r="R1134" s="383"/>
      <c r="S1134" s="383"/>
      <c r="T1134" s="383"/>
    </row>
    <row r="1135" ht="14.25">
      <c r="C1135" s="383"/>
      <c r="D1135" s="383"/>
    </row>
  </sheetData>
  <mergeCells count="128">
    <mergeCell ref="A2:T2"/>
    <mergeCell ref="A4:A7"/>
    <mergeCell ref="B4:B7"/>
    <mergeCell ref="C4:C6"/>
    <mergeCell ref="D4:O4"/>
    <mergeCell ref="P4:S4"/>
    <mergeCell ref="T4:T6"/>
    <mergeCell ref="D5:D6"/>
    <mergeCell ref="E5:I5"/>
    <mergeCell ref="J5:K6"/>
    <mergeCell ref="L5:L6"/>
    <mergeCell ref="M5:M6"/>
    <mergeCell ref="N5:N6"/>
    <mergeCell ref="O5:O6"/>
    <mergeCell ref="P5:P6"/>
    <mergeCell ref="Q5:Q6"/>
    <mergeCell ref="R5:R6"/>
    <mergeCell ref="S5:S6"/>
    <mergeCell ref="A9:B9"/>
    <mergeCell ref="A10:B10"/>
    <mergeCell ref="A11:B11"/>
    <mergeCell ref="A212:B212"/>
    <mergeCell ref="A217:B217"/>
    <mergeCell ref="A226:B226"/>
    <mergeCell ref="A232:B232"/>
    <mergeCell ref="A256:B256"/>
    <mergeCell ref="A258:B258"/>
    <mergeCell ref="A266:B266"/>
    <mergeCell ref="A269:B269"/>
    <mergeCell ref="A285:B285"/>
    <mergeCell ref="A302:B302"/>
    <mergeCell ref="A305:B305"/>
    <mergeCell ref="A308:B308"/>
    <mergeCell ref="A314:B314"/>
    <mergeCell ref="A328:B328"/>
    <mergeCell ref="A334:B334"/>
    <mergeCell ref="A349:B349"/>
    <mergeCell ref="A360:B360"/>
    <mergeCell ref="A370:B370"/>
    <mergeCell ref="A371:B371"/>
    <mergeCell ref="A373:B373"/>
    <mergeCell ref="A376:B376"/>
    <mergeCell ref="A379:B379"/>
    <mergeCell ref="A382:B382"/>
    <mergeCell ref="A388:B388"/>
    <mergeCell ref="A395:B395"/>
    <mergeCell ref="A400:B400"/>
    <mergeCell ref="A412:B412"/>
    <mergeCell ref="A413:B413"/>
    <mergeCell ref="A431:B431"/>
    <mergeCell ref="A449:B449"/>
    <mergeCell ref="A453:B453"/>
    <mergeCell ref="A456:B456"/>
    <mergeCell ref="A457:B457"/>
    <mergeCell ref="A458:B458"/>
    <mergeCell ref="A630:B630"/>
    <mergeCell ref="A632:B632"/>
    <mergeCell ref="A636:B636"/>
    <mergeCell ref="A645:B645"/>
    <mergeCell ref="A660:B660"/>
    <mergeCell ref="A665:B665"/>
    <mergeCell ref="A672:B672"/>
    <mergeCell ref="A676:B676"/>
    <mergeCell ref="A679:B679"/>
    <mergeCell ref="A696:B696"/>
    <mergeCell ref="A700:B700"/>
    <mergeCell ref="A702:B702"/>
    <mergeCell ref="A705:B705"/>
    <mergeCell ref="A711:B711"/>
    <mergeCell ref="A719:B719"/>
    <mergeCell ref="A743:B743"/>
    <mergeCell ref="A750:B750"/>
    <mergeCell ref="A759:B759"/>
    <mergeCell ref="A764:B764"/>
    <mergeCell ref="A767:B767"/>
    <mergeCell ref="A769:B769"/>
    <mergeCell ref="A773:B773"/>
    <mergeCell ref="A782:B782"/>
    <mergeCell ref="A801:B801"/>
    <mergeCell ref="A803:B803"/>
    <mergeCell ref="A824:B824"/>
    <mergeCell ref="A825:B825"/>
    <mergeCell ref="A826:B826"/>
    <mergeCell ref="A856:B856"/>
    <mergeCell ref="A858:B858"/>
    <mergeCell ref="A860:B860"/>
    <mergeCell ref="A870:B870"/>
    <mergeCell ref="A872:B872"/>
    <mergeCell ref="A881:B881"/>
    <mergeCell ref="A883:B883"/>
    <mergeCell ref="A889:B889"/>
    <mergeCell ref="A893:B893"/>
    <mergeCell ref="A898:B898"/>
    <mergeCell ref="A902:B902"/>
    <mergeCell ref="A905:B905"/>
    <mergeCell ref="A910:B910"/>
    <mergeCell ref="A914:B914"/>
    <mergeCell ref="A917:B917"/>
    <mergeCell ref="A923:B923"/>
    <mergeCell ref="A926:B926"/>
    <mergeCell ref="A941:B941"/>
    <mergeCell ref="A950:B950"/>
    <mergeCell ref="A951:S951"/>
    <mergeCell ref="A952:B952"/>
    <mergeCell ref="A953:B953"/>
    <mergeCell ref="A992:B992"/>
    <mergeCell ref="A994:B994"/>
    <mergeCell ref="A996:B996"/>
    <mergeCell ref="A998:B998"/>
    <mergeCell ref="A1001:B1001"/>
    <mergeCell ref="A1016:B1016"/>
    <mergeCell ref="A1021:B1021"/>
    <mergeCell ref="A1024:B1024"/>
    <mergeCell ref="A1028:B1028"/>
    <mergeCell ref="A1031:B1031"/>
    <mergeCell ref="B1038:S1038"/>
    <mergeCell ref="B1039:S1039"/>
    <mergeCell ref="B1040:S1040"/>
    <mergeCell ref="B1041:S1041"/>
    <mergeCell ref="B1042:S1042"/>
    <mergeCell ref="B1043:S1043"/>
    <mergeCell ref="B1044:S1044"/>
    <mergeCell ref="B1045:S1045"/>
    <mergeCell ref="B1046:P1046"/>
    <mergeCell ref="B1047:S1047"/>
    <mergeCell ref="B1048:I1048"/>
    <mergeCell ref="B1049:I1049"/>
    <mergeCell ref="B1050:I1050"/>
  </mergeCells>
  <printOptions headings="0" gridLines="0"/>
  <pageMargins left="0.51181102362204722" right="0.11811023622047245" top="0.55905511811023623" bottom="0.40944881889763785" header="0.31496062992125984" footer="0.31496062992125984"/>
  <pageSetup paperSize="9" scale="70" firstPageNumber="43" fitToWidth="0" fitToHeight="0" pageOrder="downThenOver" orientation="landscape" usePrinterDefaults="1" blackAndWhite="0" draft="0" cellComments="none" useFirstPageNumber="1" errors="displayed" horizontalDpi="600" verticalDpi="600" copies="1"/>
  <headerFooter>
    <oddHeader>&amp;C&amp;"Times New Roman,Regular "&amp;18&amp;P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Base/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ket</cp:lastModifiedBy>
  <cp:revision>91</cp:revision>
  <dcterms:created xsi:type="dcterms:W3CDTF">2019-01-09T06:44:55Z</dcterms:created>
  <dcterms:modified xsi:type="dcterms:W3CDTF">2026-09-03T03:38:14Z</dcterms:modified>
</cp:coreProperties>
</file>