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3170"/>
  </bookViews>
  <sheets>
    <sheet name="Форма № 2 Расходы" sheetId="1" r:id="rId1"/>
  </sheets>
  <definedNames>
    <definedName name="_xlnm._FilterDatabase" localSheetId="0" hidden="1">'Форма № 2 Расходы'!$B$3:$P$91</definedName>
    <definedName name="_xlnm.Print_Titles" localSheetId="0">'Форма № 2 Расходы'!$2:$3</definedName>
    <definedName name="_xlnm.Print_Area" localSheetId="0">'Форма № 2 Расходы'!$A$1:$P$92</definedName>
  </definedNames>
  <calcPr calcId="124519"/>
</workbook>
</file>

<file path=xl/calcChain.xml><?xml version="1.0" encoding="utf-8"?>
<calcChain xmlns="http://schemas.openxmlformats.org/spreadsheetml/2006/main">
  <c r="I13" i="1"/>
  <c r="J23"/>
  <c r="J13"/>
  <c r="J12"/>
  <c r="J5"/>
  <c r="J67"/>
  <c r="J63"/>
  <c r="J61"/>
  <c r="J62"/>
  <c r="J53"/>
  <c r="J48"/>
  <c r="J46"/>
  <c r="J87"/>
  <c r="J84"/>
  <c r="J76"/>
  <c r="J70"/>
  <c r="J66"/>
  <c r="J60"/>
  <c r="J51"/>
  <c r="J43"/>
  <c r="J40"/>
  <c r="J29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5"/>
  <c r="H22"/>
  <c r="H23"/>
  <c r="H24"/>
  <c r="H25"/>
  <c r="H26"/>
  <c r="H6"/>
  <c r="H7"/>
  <c r="H8"/>
  <c r="H9"/>
  <c r="H10"/>
  <c r="H11"/>
  <c r="H12"/>
  <c r="H13"/>
  <c r="H14"/>
  <c r="H15"/>
  <c r="H16"/>
  <c r="H17"/>
  <c r="H18"/>
  <c r="H19"/>
  <c r="H20"/>
  <c r="H21"/>
  <c r="H5"/>
  <c r="F19"/>
  <c r="F20"/>
  <c r="F21"/>
  <c r="F22"/>
  <c r="F23"/>
  <c r="F24"/>
  <c r="F25"/>
  <c r="F26"/>
  <c r="F6"/>
  <c r="F7"/>
  <c r="F8"/>
  <c r="F9"/>
  <c r="F10"/>
  <c r="F11"/>
  <c r="F12"/>
  <c r="F13"/>
  <c r="F14"/>
  <c r="F15"/>
  <c r="F16"/>
  <c r="F17"/>
  <c r="F18"/>
  <c r="F5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F90"/>
  <c r="F91"/>
  <c r="F88"/>
  <c r="F89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P30"/>
  <c r="P31"/>
  <c r="P32"/>
  <c r="P33"/>
  <c r="P34"/>
  <c r="P35"/>
  <c r="P36"/>
  <c r="P37"/>
  <c r="P38"/>
  <c r="N30"/>
  <c r="N31"/>
  <c r="N32"/>
  <c r="N33"/>
  <c r="N34"/>
  <c r="N35"/>
  <c r="N36"/>
  <c r="N37"/>
  <c r="N38"/>
  <c r="P29"/>
  <c r="N29"/>
  <c r="L30"/>
  <c r="L31"/>
  <c r="L32"/>
  <c r="L33"/>
  <c r="L34"/>
  <c r="L35"/>
  <c r="L36"/>
  <c r="L37"/>
  <c r="L38"/>
  <c r="L29"/>
  <c r="K38"/>
  <c r="K30"/>
  <c r="K31"/>
  <c r="K32"/>
  <c r="K33"/>
  <c r="K34"/>
  <c r="K35"/>
  <c r="K36"/>
  <c r="K37"/>
  <c r="K29"/>
  <c r="H30"/>
  <c r="H31"/>
  <c r="H32"/>
  <c r="H33"/>
  <c r="H34"/>
  <c r="H35"/>
  <c r="H36"/>
  <c r="H37"/>
  <c r="H38"/>
  <c r="H29"/>
  <c r="F31"/>
  <c r="F32"/>
  <c r="F33"/>
  <c r="F34"/>
  <c r="F35"/>
  <c r="F36"/>
  <c r="F37"/>
  <c r="F38"/>
  <c r="F29"/>
  <c r="F30"/>
  <c r="F92" l="1"/>
  <c r="O13"/>
  <c r="M13"/>
  <c r="M26" s="1"/>
  <c r="O26"/>
  <c r="I92"/>
  <c r="M92"/>
  <c r="N92"/>
  <c r="O92"/>
  <c r="I87"/>
  <c r="M87"/>
  <c r="O87"/>
  <c r="I84"/>
  <c r="M84"/>
  <c r="O84"/>
  <c r="I76"/>
  <c r="M76"/>
  <c r="O76"/>
  <c r="I70"/>
  <c r="M70"/>
  <c r="O70"/>
  <c r="I66"/>
  <c r="M66"/>
  <c r="O66"/>
  <c r="I60"/>
  <c r="M60"/>
  <c r="O60"/>
  <c r="M43"/>
  <c r="O43"/>
  <c r="I43"/>
  <c r="M51"/>
  <c r="O51"/>
  <c r="I51"/>
  <c r="M40"/>
  <c r="O40"/>
  <c r="I40"/>
  <c r="G40"/>
  <c r="O29"/>
  <c r="M29"/>
  <c r="I29"/>
  <c r="G29"/>
  <c r="G62"/>
  <c r="G67"/>
  <c r="G66" s="1"/>
  <c r="G26"/>
  <c r="G63"/>
  <c r="G61"/>
  <c r="G65"/>
  <c r="G55"/>
  <c r="G51" s="1"/>
  <c r="G46"/>
  <c r="G43" s="1"/>
  <c r="G32"/>
  <c r="G30"/>
  <c r="I26"/>
  <c r="E37"/>
  <c r="E29" s="1"/>
  <c r="E13"/>
  <c r="E26" s="1"/>
  <c r="D13"/>
  <c r="D26" s="1"/>
  <c r="D24"/>
  <c r="D84"/>
  <c r="G34"/>
  <c r="G31"/>
  <c r="G87"/>
  <c r="G84"/>
  <c r="G76"/>
  <c r="G70"/>
  <c r="G38"/>
  <c r="E70"/>
  <c r="E87"/>
  <c r="E84"/>
  <c r="E76"/>
  <c r="E66"/>
  <c r="E60"/>
  <c r="E51"/>
  <c r="E43"/>
  <c r="E40"/>
  <c r="E38"/>
  <c r="D29"/>
  <c r="D66"/>
  <c r="D87"/>
  <c r="D76"/>
  <c r="D70"/>
  <c r="D60"/>
  <c r="D51"/>
  <c r="D43"/>
  <c r="D40"/>
  <c r="D38"/>
  <c r="F93" l="1"/>
  <c r="E92"/>
  <c r="G60"/>
  <c r="E93"/>
  <c r="D93"/>
  <c r="D92"/>
  <c r="G92" l="1"/>
  <c r="G93" s="1"/>
</calcChain>
</file>

<file path=xl/sharedStrings.xml><?xml version="1.0" encoding="utf-8"?>
<sst xmlns="http://schemas.openxmlformats.org/spreadsheetml/2006/main" count="184" uniqueCount="183">
  <si>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</si>
  <si>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государственным корпорациям (компаниям)</t>
  </si>
  <si>
    <t>Резервные средства</t>
  </si>
  <si>
    <t>Итого</t>
  </si>
  <si>
    <t>0203</t>
  </si>
  <si>
    <t>0200</t>
  </si>
  <si>
    <t>0106</t>
  </si>
  <si>
    <t>0103</t>
  </si>
  <si>
    <t>0102</t>
  </si>
  <si>
    <t>0100</t>
  </si>
  <si>
    <t xml:space="preserve">Дефицит (-) / Профицит (+) </t>
  </si>
  <si>
    <t>Код</t>
  </si>
  <si>
    <t>Наименование раздела, подраздела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</si>
  <si>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</si>
  <si>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</si>
  <si>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</si>
  <si>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</si>
  <si>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</si>
  <si>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</si>
  <si>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</si>
  <si>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</si>
  <si>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</si>
  <si>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</si>
  <si>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</si>
  <si>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</si>
  <si>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</si>
  <si>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</si>
  <si>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</si>
  <si>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</si>
  <si>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</si>
  <si>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</si>
  <si>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</si>
  <si>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</si>
  <si>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</si>
  <si>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</si>
  <si>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</si>
  <si>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</si>
  <si>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</si>
  <si>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</si>
  <si>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</si>
  <si>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</si>
  <si>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</si>
  <si>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</si>
  <si>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</si>
  <si>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</si>
  <si>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</si>
  <si>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</si>
  <si>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</si>
  <si>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</si>
  <si>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</si>
  <si>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</si>
  <si>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</si>
  <si>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</si>
  <si>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</si>
  <si>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</si>
  <si>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</si>
  <si>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</si>
  <si>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</si>
  <si>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</si>
  <si>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</si>
  <si>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</si>
  <si>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</si>
  <si>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</si>
  <si>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внешнего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</si>
  <si>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</si>
  <si>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</si>
  <si>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</si>
  <si>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0104</t>
  </si>
  <si>
    <t>0107</t>
  </si>
  <si>
    <t>0111</t>
  </si>
  <si>
    <t>0113</t>
  </si>
  <si>
    <t>0300</t>
  </si>
  <si>
    <t>0309</t>
  </si>
  <si>
    <t>0310</t>
  </si>
  <si>
    <t>0400</t>
  </si>
  <si>
    <t>0401</t>
  </si>
  <si>
    <t>0405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</si>
  <si>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</si>
  <si>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</si>
  <si>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</si>
  <si>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</si>
  <si>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</si>
  <si>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</si>
  <si>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</si>
  <si>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</si>
  <si>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</si>
  <si>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</si>
  <si>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</si>
  <si>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</si>
  <si>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</si>
  <si>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</si>
  <si>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</si>
  <si>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</si>
  <si>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</si>
  <si>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</si>
  <si>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</si>
  <si>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</si>
  <si>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</si>
  <si>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0802</t>
  </si>
  <si>
    <t>0804</t>
  </si>
  <si>
    <t>1000</t>
  </si>
  <si>
    <t>1003</t>
  </si>
  <si>
    <t>1004</t>
  </si>
  <si>
    <t>1006</t>
  </si>
  <si>
    <t>1100</t>
  </si>
  <si>
    <t>1101</t>
  </si>
  <si>
    <t>1102</t>
  </si>
  <si>
    <t>1105</t>
  </si>
  <si>
    <t>1200</t>
  </si>
  <si>
    <t>1201</t>
  </si>
  <si>
    <t>1202</t>
  </si>
  <si>
    <t>1204</t>
  </si>
  <si>
    <t>1300</t>
  </si>
  <si>
    <t>1301</t>
  </si>
  <si>
    <t>1302</t>
  </si>
  <si>
    <t>1400</t>
  </si>
  <si>
    <t>1401</t>
  </si>
  <si>
    <t>1402</t>
  </si>
  <si>
    <t>1403</t>
  </si>
  <si>
    <t>государственных (муниципальных) органов</t>
  </si>
  <si>
    <t>работников автономных и бюджетных учреждений</t>
  </si>
  <si>
    <t>Социальные выплаты гражданам, в т.ч.</t>
  </si>
  <si>
    <t>Стипендии</t>
  </si>
  <si>
    <t xml:space="preserve">Расходы на обслуживание гос. долга </t>
  </si>
  <si>
    <t>Иные выплаты</t>
  </si>
  <si>
    <t>Иные закупки товаров, работ и услуг для обеспечения государственных (муниципальных) нужд 
(за исключением закупки товаров, работ, услуг в целях капитального ремонта государственного (муниципального) имущества)</t>
  </si>
  <si>
    <t>Субсидии бюджетным и автономным учреждениям за исключением расходов на фонд оплаты труда и взносы по обязательному социальному страхованию на выплаты по оплате труда работников и иные выплаты работникам учреждений</t>
  </si>
  <si>
    <t>Субсидии некоммерческим организациям (за исключением государственных (муниципальных) учреждений</t>
  </si>
  <si>
    <t>Исполнение судебных актов</t>
  </si>
  <si>
    <t>Уплата налогов, сборов и иных платежей</t>
  </si>
  <si>
    <t>Капитальные вложения в объекты недвижимого имущества государственной (муниципальной) собственности</t>
  </si>
  <si>
    <t>Закупка товаров, работ, услуг в целях капитального ремонта государственного (муниципального) имущества</t>
  </si>
  <si>
    <t>Премии и гранты</t>
  </si>
  <si>
    <t>Общий объём фонда оплаты труда и взносы по обязательному социальному страхованию на выплаты по оплате труда работников и иные выплаты работникам, в т.ч.</t>
  </si>
  <si>
    <t>121+129</t>
  </si>
  <si>
    <t>13101+13201+13301+13401+
13501+13601+14101+14201+
14301+14401+14501+14601</t>
  </si>
  <si>
    <t>310+320</t>
  </si>
  <si>
    <t>111+119+121+129 + 131+139+141+149+
13101+13201+13301+13401+
13501+13601+14101+14201+
14301+14401+14501+14601</t>
  </si>
  <si>
    <t>112+113+122+123+133+134+142</t>
  </si>
  <si>
    <t xml:space="preserve">610+620-13101-13201-13301-13401-
13501-13601-14101-14201-
14301-14401-14501-14601
</t>
  </si>
  <si>
    <t>Обслуживание государственного внутреннего долга</t>
  </si>
  <si>
    <t>Наименование расходов</t>
  </si>
  <si>
    <t>Межбюджетные трансферты</t>
  </si>
  <si>
    <t>Другие расходы</t>
  </si>
  <si>
    <t>Вид расхода / раздел, подраздел (код формы 487)</t>
  </si>
  <si>
    <t>1001</t>
  </si>
  <si>
    <t>1002</t>
  </si>
  <si>
    <t>Пенсионное обеспечение</t>
  </si>
  <si>
    <t>Социальное обслуживание населения</t>
  </si>
  <si>
    <t>Воспроизводство минерально-сырьевой базы</t>
  </si>
  <si>
    <t>0404</t>
  </si>
  <si>
    <t>230,360, 880</t>
  </si>
  <si>
    <t>Прочие межбюджетные трансферты общего характера</t>
  </si>
  <si>
    <t>Условно утвержденные расходы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</si>
  <si>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</si>
  <si>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</si>
  <si>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241+242+244+245+246+247</t>
  </si>
  <si>
    <t>5=4/3*100</t>
  </si>
  <si>
    <t>7=6/3*100</t>
  </si>
  <si>
    <t>ИТОГО</t>
  </si>
  <si>
    <t>9=8/4*100</t>
  </si>
  <si>
    <t>10=8/6*100</t>
  </si>
  <si>
    <t>12=11/8*100</t>
  </si>
  <si>
    <t>14=13/11*100</t>
  </si>
  <si>
    <t xml:space="preserve">№ </t>
  </si>
  <si>
    <t>тыс. руб.</t>
  </si>
  <si>
    <t>Приложение 2</t>
  </si>
  <si>
    <t>Параметры бюджета  
на 2024 г.</t>
  </si>
  <si>
    <t>Исполнение  2022 г.</t>
  </si>
  <si>
    <t>Уточненный на 01.10.2023 г.</t>
  </si>
  <si>
    <t>Темп роста
 2023 к 2022 г.,%</t>
  </si>
  <si>
    <t>Оценка исполнения  2023 г.</t>
  </si>
  <si>
    <t>Темп роста оценка 2023г. к 2022 г. %</t>
  </si>
  <si>
    <t>Темп роста  2024 г. к уточненному  2023 г., %</t>
  </si>
  <si>
    <t xml:space="preserve">Темп роста  2024 г. к оценке 2023 г.,% </t>
  </si>
  <si>
    <t>Параметры бюджета 
на 2025 г.</t>
  </si>
  <si>
    <t xml:space="preserve">Темп роста 2025 г. к 2024 г.,% </t>
  </si>
  <si>
    <t>Параметры бюджета 
на 2026 год</t>
  </si>
  <si>
    <t xml:space="preserve">Темп роста  2026 г. к  2025 г.,% </t>
  </si>
  <si>
    <t>Параметры бюджета муниципального района "Агинский район" по видам расходов, разделам, подразделам</t>
  </si>
  <si>
    <t>0105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</si>
  <si>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</si>
  <si>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Доля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</si>
</sst>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%"/>
    <numFmt numFmtId="167" formatCode="_-* #,##0.0\ _₽_-;\-* #,##0.0\ _₽_-;_-* &quot;-&quot;??\ _₽_-;_-@_-"/>
    <numFmt numFmtId="168" formatCode="#,##0.0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6">
    <xf numFmtId="0" fontId="0" fillId="0" borderId="0"/>
    <xf numFmtId="0" fontId="2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5" fillId="2" borderId="0"/>
    <xf numFmtId="0" fontId="5" fillId="0" borderId="0">
      <alignment horizontal="left" vertical="top" wrapText="1"/>
    </xf>
    <xf numFmtId="0" fontId="5" fillId="0" borderId="0"/>
    <xf numFmtId="0" fontId="6" fillId="0" borderId="0">
      <alignment horizontal="center" wrapText="1"/>
    </xf>
    <xf numFmtId="0" fontId="6" fillId="0" borderId="0">
      <alignment horizontal="center"/>
    </xf>
    <xf numFmtId="0" fontId="5" fillId="0" borderId="0">
      <alignment wrapText="1"/>
    </xf>
    <xf numFmtId="0" fontId="5" fillId="0" borderId="0">
      <alignment horizontal="right"/>
    </xf>
    <xf numFmtId="0" fontId="5" fillId="2" borderId="5"/>
    <xf numFmtId="0" fontId="5" fillId="0" borderId="6">
      <alignment horizontal="center" vertical="center" wrapText="1"/>
    </xf>
    <xf numFmtId="0" fontId="5" fillId="0" borderId="7"/>
    <xf numFmtId="0" fontId="5" fillId="0" borderId="6">
      <alignment horizontal="center" vertical="center" shrinkToFit="1"/>
    </xf>
    <xf numFmtId="0" fontId="5" fillId="2" borderId="8"/>
    <xf numFmtId="0" fontId="7" fillId="0" borderId="6">
      <alignment horizontal="left"/>
    </xf>
    <xf numFmtId="4" fontId="7" fillId="3" borderId="6">
      <alignment horizontal="right" vertical="top" shrinkToFit="1"/>
    </xf>
    <xf numFmtId="0" fontId="5" fillId="2" borderId="9"/>
    <xf numFmtId="0" fontId="5" fillId="0" borderId="8"/>
    <xf numFmtId="0" fontId="5" fillId="0" borderId="0">
      <alignment horizontal="left" wrapText="1"/>
    </xf>
    <xf numFmtId="49" fontId="5" fillId="0" borderId="6">
      <alignment horizontal="left" vertical="top" wrapText="1"/>
    </xf>
    <xf numFmtId="4" fontId="5" fillId="4" borderId="6">
      <alignment horizontal="right" vertical="top" shrinkToFit="1"/>
    </xf>
    <xf numFmtId="0" fontId="5" fillId="2" borderId="9">
      <alignment horizontal="center"/>
    </xf>
    <xf numFmtId="0" fontId="5" fillId="2" borderId="0">
      <alignment horizontal="center"/>
    </xf>
    <xf numFmtId="4" fontId="5" fillId="0" borderId="6">
      <alignment horizontal="right" vertical="top" shrinkToFit="1"/>
    </xf>
    <xf numFmtId="49" fontId="7" fillId="0" borderId="6">
      <alignment horizontal="left" vertical="top" wrapText="1"/>
    </xf>
    <xf numFmtId="0" fontId="5" fillId="2" borderId="0">
      <alignment horizontal="left"/>
    </xf>
    <xf numFmtId="4" fontId="5" fillId="0" borderId="7">
      <alignment horizontal="right" shrinkToFit="1"/>
    </xf>
    <xf numFmtId="4" fontId="5" fillId="0" borderId="0">
      <alignment horizontal="right" shrinkToFit="1"/>
    </xf>
    <xf numFmtId="0" fontId="5" fillId="2" borderId="8">
      <alignment horizontal="center"/>
    </xf>
    <xf numFmtId="0" fontId="8" fillId="0" borderId="0">
      <alignment vertical="top" wrapText="1"/>
    </xf>
    <xf numFmtId="0" fontId="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/>
    <xf numFmtId="0" fontId="12" fillId="0" borderId="0"/>
    <xf numFmtId="0" fontId="2" fillId="0" borderId="0"/>
    <xf numFmtId="0" fontId="8" fillId="0" borderId="0">
      <alignment vertical="top" wrapText="1"/>
    </xf>
    <xf numFmtId="0" fontId="14" fillId="0" borderId="0"/>
    <xf numFmtId="0" fontId="1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94">
    <xf numFmtId="0" fontId="0" fillId="0" borderId="0" xfId="0"/>
    <xf numFmtId="0" fontId="0" fillId="0" borderId="0" xfId="0" applyFill="1"/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justify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 vertical="center" wrapText="1"/>
    </xf>
    <xf numFmtId="166" fontId="0" fillId="0" borderId="0" xfId="0" applyNumberFormat="1" applyFill="1"/>
    <xf numFmtId="167" fontId="0" fillId="0" borderId="0" xfId="51" applyNumberFormat="1" applyFont="1" applyFill="1"/>
    <xf numFmtId="0" fontId="9" fillId="0" borderId="0" xfId="0" applyFont="1" applyFill="1" applyAlignment="1">
      <alignment wrapText="1"/>
    </xf>
    <xf numFmtId="0" fontId="0" fillId="6" borderId="0" xfId="0" applyFill="1"/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3" fontId="17" fillId="0" borderId="1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18" fillId="0" borderId="4" xfId="1" applyNumberFormat="1" applyFont="1" applyFill="1" applyBorder="1" applyAlignment="1" applyProtection="1">
      <alignment horizontal="center" vertical="center" wrapText="1"/>
      <protection locked="0"/>
    </xf>
    <xf numFmtId="3" fontId="18" fillId="0" borderId="4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 applyProtection="1">
      <alignment horizontal="justify" vertical="center" wrapText="1"/>
      <protection locked="0"/>
    </xf>
    <xf numFmtId="165" fontId="17" fillId="0" borderId="10" xfId="1" applyNumberFormat="1" applyFont="1" applyFill="1" applyBorder="1" applyAlignment="1" applyProtection="1">
      <alignment horizontal="center" vertical="center" wrapText="1"/>
      <protection locked="0"/>
    </xf>
    <xf numFmtId="165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18" fillId="0" borderId="3" xfId="1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7" fontId="18" fillId="0" borderId="1" xfId="51" applyNumberFormat="1" applyFont="1" applyFill="1" applyBorder="1" applyAlignment="1">
      <alignment horizontal="center" vertical="center" wrapText="1"/>
    </xf>
    <xf numFmtId="167" fontId="18" fillId="0" borderId="1" xfId="51" applyNumberFormat="1" applyFont="1" applyFill="1" applyBorder="1" applyAlignment="1" applyProtection="1">
      <alignment horizontal="justify" vertical="center" wrapText="1"/>
      <protection locked="0"/>
    </xf>
    <xf numFmtId="167" fontId="17" fillId="0" borderId="10" xfId="51" applyNumberFormat="1" applyFont="1" applyFill="1" applyBorder="1" applyAlignment="1" applyProtection="1">
      <alignment horizontal="center" vertical="center" wrapText="1"/>
      <protection locked="0"/>
    </xf>
    <xf numFmtId="167" fontId="18" fillId="0" borderId="1" xfId="5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165" fontId="19" fillId="0" borderId="10" xfId="1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165" fontId="10" fillId="5" borderId="1" xfId="0" applyNumberFormat="1" applyFont="1" applyFill="1" applyBorder="1" applyAlignment="1">
      <alignment horizontal="center" vertical="center" wrapText="1"/>
    </xf>
    <xf numFmtId="165" fontId="10" fillId="5" borderId="1" xfId="0" applyNumberFormat="1" applyFont="1" applyFill="1" applyBorder="1" applyAlignment="1">
      <alignment horizontal="center" vertical="center"/>
    </xf>
    <xf numFmtId="166" fontId="10" fillId="5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5" borderId="0" xfId="0" applyFill="1"/>
    <xf numFmtId="166" fontId="0" fillId="5" borderId="0" xfId="0" applyNumberFormat="1" applyFill="1"/>
    <xf numFmtId="0" fontId="10" fillId="0" borderId="0" xfId="0" applyFont="1" applyFill="1" applyBorder="1" applyAlignment="1">
      <alignment wrapText="1"/>
    </xf>
    <xf numFmtId="165" fontId="1" fillId="5" borderId="0" xfId="0" applyNumberFormat="1" applyFont="1" applyFill="1" applyAlignment="1">
      <alignment horizontal="justify" vertical="center" wrapText="1"/>
    </xf>
    <xf numFmtId="165" fontId="17" fillId="0" borderId="10" xfId="1" applyNumberFormat="1" applyFont="1" applyFill="1" applyBorder="1" applyAlignment="1" applyProtection="1">
      <alignment horizontal="center" vertical="center" wrapText="1"/>
      <protection locked="0"/>
    </xf>
    <xf numFmtId="165" fontId="19" fillId="0" borderId="10" xfId="1" applyNumberFormat="1" applyFont="1" applyFill="1" applyBorder="1" applyAlignment="1" applyProtection="1">
      <alignment horizontal="center" vertical="center" wrapText="1"/>
      <protection locked="0"/>
    </xf>
    <xf numFmtId="166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18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16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18" fillId="0" borderId="3" xfId="1" applyNumberFormat="1" applyFont="1" applyFill="1" applyBorder="1" applyAlignment="1" applyProtection="1">
      <alignment horizontal="center" vertical="center" wrapText="1"/>
      <protection locked="0"/>
    </xf>
    <xf numFmtId="165" fontId="18" fillId="7" borderId="1" xfId="1" applyNumberFormat="1" applyFont="1" applyFill="1" applyBorder="1" applyAlignment="1" applyProtection="1">
      <alignment horizontal="center" vertical="center" wrapText="1"/>
      <protection locked="0"/>
    </xf>
    <xf numFmtId="165" fontId="16" fillId="7" borderId="1" xfId="1" applyNumberFormat="1" applyFont="1" applyFill="1" applyBorder="1" applyAlignment="1" applyProtection="1">
      <alignment horizontal="center" vertical="center" wrapText="1"/>
      <protection locked="0"/>
    </xf>
    <xf numFmtId="165" fontId="17" fillId="7" borderId="10" xfId="1" applyNumberFormat="1" applyFont="1" applyFill="1" applyBorder="1" applyAlignment="1" applyProtection="1">
      <alignment horizontal="center" vertical="center" wrapText="1"/>
      <protection locked="0"/>
    </xf>
    <xf numFmtId="165" fontId="10" fillId="7" borderId="2" xfId="0" applyNumberFormat="1" applyFont="1" applyFill="1" applyBorder="1" applyAlignment="1">
      <alignment horizontal="center" vertical="center" wrapText="1"/>
    </xf>
    <xf numFmtId="3" fontId="18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7" borderId="4" xfId="0" applyFont="1" applyFill="1" applyBorder="1" applyAlignment="1">
      <alignment horizontal="center" vertical="center"/>
    </xf>
    <xf numFmtId="165" fontId="18" fillId="7" borderId="3" xfId="1" applyNumberFormat="1" applyFont="1" applyFill="1" applyBorder="1" applyAlignment="1" applyProtection="1">
      <alignment horizontal="center" vertical="center" wrapText="1"/>
      <protection locked="0"/>
    </xf>
    <xf numFmtId="165" fontId="16" fillId="7" borderId="3" xfId="1" applyNumberFormat="1" applyFont="1" applyFill="1" applyBorder="1" applyAlignment="1" applyProtection="1">
      <alignment horizontal="center" vertical="center" wrapText="1"/>
      <protection locked="0"/>
    </xf>
    <xf numFmtId="167" fontId="18" fillId="7" borderId="3" xfId="51" applyNumberFormat="1" applyFont="1" applyFill="1" applyBorder="1" applyAlignment="1" applyProtection="1">
      <alignment horizontal="center" vertical="center" wrapText="1"/>
      <protection locked="0"/>
    </xf>
    <xf numFmtId="165" fontId="19" fillId="7" borderId="10" xfId="1" applyNumberFormat="1" applyFont="1" applyFill="1" applyBorder="1" applyAlignment="1" applyProtection="1">
      <alignment horizontal="center" vertical="center" wrapText="1"/>
      <protection locked="0"/>
    </xf>
    <xf numFmtId="165" fontId="10" fillId="7" borderId="1" xfId="0" applyNumberFormat="1" applyFont="1" applyFill="1" applyBorder="1" applyAlignment="1">
      <alignment horizontal="center" vertical="center"/>
    </xf>
    <xf numFmtId="165" fontId="16" fillId="7" borderId="1" xfId="0" applyNumberFormat="1" applyFont="1" applyFill="1" applyBorder="1" applyAlignment="1">
      <alignment horizontal="center" vertical="center"/>
    </xf>
    <xf numFmtId="165" fontId="16" fillId="7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165" fontId="1" fillId="7" borderId="0" xfId="0" applyNumberFormat="1" applyFont="1" applyFill="1" applyAlignment="1">
      <alignment horizontal="center" vertical="center" wrapText="1"/>
    </xf>
    <xf numFmtId="0" fontId="0" fillId="7" borderId="0" xfId="0" applyFill="1" applyAlignment="1">
      <alignment horizontal="center"/>
    </xf>
    <xf numFmtId="168" fontId="10" fillId="0" borderId="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56">
    <cellStyle name="br" xfId="2"/>
    <cellStyle name="col" xfId="3"/>
    <cellStyle name="Normal" xfId="4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Обычный" xfId="0" builtinId="0"/>
    <cellStyle name="Обычный 10" xfId="44"/>
    <cellStyle name="Обычный 2" xfId="34"/>
    <cellStyle name="Обычный 2 2" xfId="45"/>
    <cellStyle name="Обычный 3" xfId="35"/>
    <cellStyle name="Обычный 3 2" xfId="46"/>
    <cellStyle name="Обычный 4" xfId="1"/>
    <cellStyle name="Обычный 4 2" xfId="47"/>
    <cellStyle name="Обычный 5" xfId="42"/>
    <cellStyle name="Обычный 5 2" xfId="52"/>
    <cellStyle name="Обычный 5 3" xfId="55"/>
    <cellStyle name="Процентный 2" xfId="48"/>
    <cellStyle name="Процентный 3" xfId="49"/>
    <cellStyle name="Стиль 1" xfId="36"/>
    <cellStyle name="Стиль 2" xfId="37"/>
    <cellStyle name="Стиль 3" xfId="38"/>
    <cellStyle name="Стиль 4" xfId="39"/>
    <cellStyle name="Стиль 5" xfId="40"/>
    <cellStyle name="Стиль 6" xfId="41"/>
    <cellStyle name="Финансовый" xfId="51" builtinId="3"/>
    <cellStyle name="Финансовый 2" xfId="50"/>
    <cellStyle name="Финансовый 2 2" xfId="53"/>
    <cellStyle name="Финансовый 2 3" xfId="54"/>
  </cellStyles>
  <dxfs count="0"/>
  <tableStyles count="0" defaultTableStyle="TableStyleMedium2" defaultPivotStyle="PivotStyleLight16"/>
  <colors>
    <mruColors>
      <color rgb="FFFF99CC"/>
      <color rgb="FFFF3399"/>
      <color rgb="FF66FFFF"/>
      <color rgb="FF99FF66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tabSelected="1" view="pageBreakPreview" zoomScale="70" zoomScaleNormal="80" zoomScaleSheetLayoutView="70" workbookViewId="0">
      <pane xSplit="3" ySplit="3" topLeftCell="D4" activePane="bottomRight" state="frozen"/>
      <selection pane="topRight" activeCell="C1" sqref="C1"/>
      <selection pane="bottomLeft" activeCell="A6" sqref="A6"/>
      <selection pane="bottomRight" activeCell="J21" sqref="J21"/>
    </sheetView>
  </sheetViews>
  <sheetFormatPr defaultColWidth="8.85546875" defaultRowHeight="15"/>
  <cols>
    <col min="1" max="1" width="8.85546875" style="1"/>
    <col min="2" max="2" width="35.140625" style="6" customWidth="1"/>
    <col min="3" max="3" width="70.5703125" style="7" customWidth="1"/>
    <col min="4" max="4" width="15.7109375" style="7" customWidth="1"/>
    <col min="5" max="5" width="18.28515625" style="1" customWidth="1"/>
    <col min="6" max="6" width="21.85546875" style="8" customWidth="1"/>
    <col min="7" max="7" width="15.7109375" style="1" customWidth="1"/>
    <col min="8" max="8" width="16.85546875" style="8" customWidth="1"/>
    <col min="9" max="10" width="17.5703125" style="86" customWidth="1"/>
    <col min="11" max="11" width="17.5703125" style="8" customWidth="1"/>
    <col min="12" max="12" width="20.28515625" style="8" customWidth="1"/>
    <col min="13" max="13" width="15.7109375" style="1" customWidth="1"/>
    <col min="14" max="14" width="21.85546875" style="8" customWidth="1"/>
    <col min="15" max="15" width="15.7109375" style="1" customWidth="1"/>
    <col min="16" max="16" width="19.7109375" style="8" customWidth="1"/>
    <col min="17" max="16384" width="8.85546875" style="1"/>
  </cols>
  <sheetData>
    <row r="1" spans="1:16" ht="18.75" customHeight="1">
      <c r="A1" s="92" t="s">
        <v>179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64" t="s">
        <v>166</v>
      </c>
    </row>
    <row r="2" spans="1:16" ht="22.5">
      <c r="B2" s="20"/>
      <c r="C2" s="2"/>
      <c r="D2" s="3"/>
      <c r="E2" s="93"/>
      <c r="F2" s="93"/>
      <c r="G2" s="19"/>
      <c r="H2" s="4"/>
      <c r="I2" s="76"/>
      <c r="J2" s="76"/>
      <c r="K2" s="4"/>
      <c r="L2" s="4"/>
      <c r="M2" s="2"/>
      <c r="N2" s="4"/>
      <c r="O2" s="2"/>
      <c r="P2" s="4" t="s">
        <v>165</v>
      </c>
    </row>
    <row r="3" spans="1:16" ht="75">
      <c r="A3" s="90" t="s">
        <v>164</v>
      </c>
      <c r="B3" s="21" t="s">
        <v>144</v>
      </c>
      <c r="C3" s="21" t="s">
        <v>141</v>
      </c>
      <c r="D3" s="22" t="s">
        <v>168</v>
      </c>
      <c r="E3" s="23" t="s">
        <v>169</v>
      </c>
      <c r="F3" s="24" t="s">
        <v>170</v>
      </c>
      <c r="G3" s="23" t="s">
        <v>171</v>
      </c>
      <c r="H3" s="24" t="s">
        <v>172</v>
      </c>
      <c r="I3" s="77" t="s">
        <v>167</v>
      </c>
      <c r="J3" s="77" t="s">
        <v>182</v>
      </c>
      <c r="K3" s="24" t="s">
        <v>173</v>
      </c>
      <c r="L3" s="25" t="s">
        <v>174</v>
      </c>
      <c r="M3" s="26" t="s">
        <v>175</v>
      </c>
      <c r="N3" s="25" t="s">
        <v>176</v>
      </c>
      <c r="O3" s="26" t="s">
        <v>177</v>
      </c>
      <c r="P3" s="25" t="s">
        <v>178</v>
      </c>
    </row>
    <row r="4" spans="1:16" ht="18.75">
      <c r="A4" s="91"/>
      <c r="B4" s="21">
        <v>1</v>
      </c>
      <c r="C4" s="21">
        <v>2</v>
      </c>
      <c r="D4" s="60">
        <v>3</v>
      </c>
      <c r="E4" s="60">
        <v>4</v>
      </c>
      <c r="F4" s="60" t="s">
        <v>157</v>
      </c>
      <c r="G4" s="60">
        <v>6</v>
      </c>
      <c r="H4" s="60" t="s">
        <v>158</v>
      </c>
      <c r="I4" s="78">
        <v>8</v>
      </c>
      <c r="J4" s="78"/>
      <c r="K4" s="60" t="s">
        <v>160</v>
      </c>
      <c r="L4" s="60" t="s">
        <v>161</v>
      </c>
      <c r="M4" s="60">
        <v>11</v>
      </c>
      <c r="N4" s="60" t="s">
        <v>162</v>
      </c>
      <c r="O4" s="60">
        <v>13</v>
      </c>
      <c r="P4" s="60" t="s">
        <v>163</v>
      </c>
    </row>
    <row r="5" spans="1:16" ht="112.5">
      <c r="A5" s="21">
        <v>1</v>
      </c>
      <c r="B5" s="27" t="s">
        <v>137</v>
      </c>
      <c r="C5" s="28" t="s">
        <v>133</v>
      </c>
      <c r="D5" s="75">
        <v>706166.6</v>
      </c>
      <c r="E5" s="74">
        <v>678218.8</v>
      </c>
      <c r="F5" s="68">
        <f>E5/D5</f>
        <v>0.96042322024292859</v>
      </c>
      <c r="G5" s="70">
        <v>741058.6</v>
      </c>
      <c r="H5" s="68">
        <f>G5/D5</f>
        <v>1.0494104365740322</v>
      </c>
      <c r="I5" s="74">
        <v>603973.30000000005</v>
      </c>
      <c r="J5" s="74">
        <f>I5/I26*100</f>
        <v>58.386397378760222</v>
      </c>
      <c r="K5" s="68">
        <f>I5/E5</f>
        <v>0.89052869074110008</v>
      </c>
      <c r="L5" s="68">
        <f>I5/G5</f>
        <v>0.81501422424623382</v>
      </c>
      <c r="M5" s="69">
        <v>553725.31999999995</v>
      </c>
      <c r="N5" s="71">
        <f>M5/I5</f>
        <v>0.91680430244184619</v>
      </c>
      <c r="O5" s="69">
        <v>557389.12</v>
      </c>
      <c r="P5" s="71">
        <f>O5/M5</f>
        <v>1.006616638011063</v>
      </c>
    </row>
    <row r="6" spans="1:16" ht="18.75">
      <c r="A6" s="21">
        <v>2</v>
      </c>
      <c r="B6" s="27" t="s">
        <v>134</v>
      </c>
      <c r="C6" s="28" t="s">
        <v>119</v>
      </c>
      <c r="D6" s="75">
        <v>36676.800000000003</v>
      </c>
      <c r="E6" s="73">
        <v>34930.9</v>
      </c>
      <c r="F6" s="68">
        <f t="shared" ref="F6:F26" si="0">E6/D6</f>
        <v>0.95239770099899657</v>
      </c>
      <c r="G6" s="70">
        <v>41076.300000000003</v>
      </c>
      <c r="H6" s="68">
        <f t="shared" ref="H6:H26" si="1">G6/D6</f>
        <v>1.1199532129302447</v>
      </c>
      <c r="I6" s="72">
        <v>29887.4</v>
      </c>
      <c r="J6" s="72"/>
      <c r="K6" s="68">
        <f t="shared" ref="K6:K26" si="2">I6/E6</f>
        <v>0.85561494264390558</v>
      </c>
      <c r="L6" s="68">
        <f t="shared" ref="L6:L26" si="3">I6/G6</f>
        <v>0.72760691688394519</v>
      </c>
      <c r="M6" s="72">
        <v>28836.3</v>
      </c>
      <c r="N6" s="71">
        <f t="shared" ref="N6:N26" si="4">M6/I6</f>
        <v>0.9648313336054658</v>
      </c>
      <c r="O6" s="72">
        <v>28820.9</v>
      </c>
      <c r="P6" s="71">
        <f t="shared" ref="P6:P26" si="5">O6/M6</f>
        <v>0.99946595090216162</v>
      </c>
    </row>
    <row r="7" spans="1:16" ht="56.25">
      <c r="A7" s="21">
        <v>3</v>
      </c>
      <c r="B7" s="27" t="s">
        <v>135</v>
      </c>
      <c r="C7" s="28" t="s">
        <v>120</v>
      </c>
      <c r="D7" s="75">
        <v>625639.69999999995</v>
      </c>
      <c r="E7" s="73">
        <v>599389.4</v>
      </c>
      <c r="F7" s="68">
        <f t="shared" si="0"/>
        <v>0.95804246437686114</v>
      </c>
      <c r="G7" s="70">
        <v>646142.69999999995</v>
      </c>
      <c r="H7" s="68">
        <f t="shared" si="1"/>
        <v>1.0327712579620507</v>
      </c>
      <c r="I7" s="79">
        <v>532285.9</v>
      </c>
      <c r="J7" s="79"/>
      <c r="K7" s="68">
        <f t="shared" si="2"/>
        <v>0.88804690239767337</v>
      </c>
      <c r="L7" s="68">
        <f t="shared" si="3"/>
        <v>0.82379000799668567</v>
      </c>
      <c r="M7" s="72">
        <v>493997.4</v>
      </c>
      <c r="N7" s="71">
        <f t="shared" si="4"/>
        <v>0.92806779213952506</v>
      </c>
      <c r="O7" s="72">
        <v>493997.4</v>
      </c>
      <c r="P7" s="71">
        <f t="shared" si="5"/>
        <v>1</v>
      </c>
    </row>
    <row r="8" spans="1:16" ht="18.75">
      <c r="A8" s="21">
        <v>4</v>
      </c>
      <c r="B8" s="27">
        <v>340</v>
      </c>
      <c r="C8" s="28" t="s">
        <v>122</v>
      </c>
      <c r="D8" s="29"/>
      <c r="E8" s="31"/>
      <c r="F8" s="68" t="e">
        <f t="shared" si="0"/>
        <v>#DIV/0!</v>
      </c>
      <c r="G8" s="31"/>
      <c r="H8" s="68" t="e">
        <f t="shared" si="1"/>
        <v>#DIV/0!</v>
      </c>
      <c r="I8" s="79"/>
      <c r="J8" s="79"/>
      <c r="K8" s="68" t="e">
        <f t="shared" si="2"/>
        <v>#DIV/0!</v>
      </c>
      <c r="L8" s="68" t="e">
        <f t="shared" si="3"/>
        <v>#DIV/0!</v>
      </c>
      <c r="M8" s="30"/>
      <c r="N8" s="71" t="e">
        <f t="shared" si="4"/>
        <v>#DIV/0!</v>
      </c>
      <c r="O8" s="30"/>
      <c r="P8" s="71" t="e">
        <f t="shared" si="5"/>
        <v>#DIV/0!</v>
      </c>
    </row>
    <row r="9" spans="1:16" ht="18.75">
      <c r="A9" s="21">
        <v>5</v>
      </c>
      <c r="B9" s="33" t="s">
        <v>136</v>
      </c>
      <c r="C9" s="28" t="s">
        <v>121</v>
      </c>
      <c r="D9" s="29">
        <v>34914.5</v>
      </c>
      <c r="E9" s="31">
        <v>28860.5</v>
      </c>
      <c r="F9" s="68">
        <f t="shared" si="0"/>
        <v>0.82660499219521977</v>
      </c>
      <c r="G9" s="70">
        <v>28860.5</v>
      </c>
      <c r="H9" s="68">
        <f t="shared" si="1"/>
        <v>0.82660499219521977</v>
      </c>
      <c r="I9" s="79">
        <v>24646.5</v>
      </c>
      <c r="J9" s="79"/>
      <c r="K9" s="68">
        <f t="shared" si="2"/>
        <v>0.85398728365759424</v>
      </c>
      <c r="L9" s="68">
        <f t="shared" si="3"/>
        <v>0.85398728365759424</v>
      </c>
      <c r="M9" s="30">
        <v>24767</v>
      </c>
      <c r="N9" s="71">
        <f t="shared" si="4"/>
        <v>1.0048891323311626</v>
      </c>
      <c r="O9" s="30">
        <v>15494.1</v>
      </c>
      <c r="P9" s="71">
        <f t="shared" si="5"/>
        <v>0.62559454112326884</v>
      </c>
    </row>
    <row r="10" spans="1:16" ht="18.75">
      <c r="A10" s="21">
        <v>6</v>
      </c>
      <c r="B10" s="27">
        <v>720</v>
      </c>
      <c r="C10" s="28" t="s">
        <v>123</v>
      </c>
      <c r="D10" s="29">
        <v>4.2</v>
      </c>
      <c r="E10" s="31">
        <v>4.2</v>
      </c>
      <c r="F10" s="68">
        <f t="shared" si="0"/>
        <v>1</v>
      </c>
      <c r="G10" s="70">
        <v>4.2</v>
      </c>
      <c r="H10" s="68">
        <f t="shared" si="1"/>
        <v>1</v>
      </c>
      <c r="I10" s="79">
        <v>4.2</v>
      </c>
      <c r="J10" s="79"/>
      <c r="K10" s="68">
        <f t="shared" si="2"/>
        <v>1</v>
      </c>
      <c r="L10" s="68">
        <f t="shared" si="3"/>
        <v>1</v>
      </c>
      <c r="M10" s="31">
        <v>4.0999999999999996</v>
      </c>
      <c r="N10" s="71">
        <f t="shared" si="4"/>
        <v>0.97619047619047605</v>
      </c>
      <c r="O10" s="31">
        <v>2</v>
      </c>
      <c r="P10" s="71">
        <f t="shared" si="5"/>
        <v>0.48780487804878053</v>
      </c>
    </row>
    <row r="11" spans="1:16" ht="37.5">
      <c r="A11" s="21">
        <v>7</v>
      </c>
      <c r="B11" s="27" t="s">
        <v>138</v>
      </c>
      <c r="C11" s="28" t="s">
        <v>124</v>
      </c>
      <c r="D11" s="29">
        <v>2038</v>
      </c>
      <c r="E11" s="31">
        <v>1410.6</v>
      </c>
      <c r="F11" s="68">
        <f t="shared" si="0"/>
        <v>0.69214916584887143</v>
      </c>
      <c r="G11" s="70">
        <v>1410.6</v>
      </c>
      <c r="H11" s="68">
        <f t="shared" si="1"/>
        <v>0.69214916584887143</v>
      </c>
      <c r="I11" s="79">
        <v>1290</v>
      </c>
      <c r="J11" s="79"/>
      <c r="K11" s="68">
        <f t="shared" si="2"/>
        <v>0.91450446618460235</v>
      </c>
      <c r="L11" s="68">
        <f t="shared" si="3"/>
        <v>0.91450446618460235</v>
      </c>
      <c r="M11" s="31">
        <v>790</v>
      </c>
      <c r="N11" s="71">
        <f t="shared" si="4"/>
        <v>0.61240310077519378</v>
      </c>
      <c r="O11" s="31">
        <v>700</v>
      </c>
      <c r="P11" s="71">
        <f t="shared" si="5"/>
        <v>0.88607594936708856</v>
      </c>
    </row>
    <row r="12" spans="1:16" ht="93.75">
      <c r="A12" s="21">
        <v>8</v>
      </c>
      <c r="B12" s="33" t="s">
        <v>156</v>
      </c>
      <c r="C12" s="28" t="s">
        <v>125</v>
      </c>
      <c r="D12" s="29">
        <v>131440.79999999999</v>
      </c>
      <c r="E12" s="31">
        <v>135313.20000000001</v>
      </c>
      <c r="F12" s="68">
        <f t="shared" si="0"/>
        <v>1.0294611718735738</v>
      </c>
      <c r="G12" s="70">
        <v>135313.20000000001</v>
      </c>
      <c r="H12" s="68">
        <f t="shared" si="1"/>
        <v>1.0294611718735738</v>
      </c>
      <c r="I12" s="79">
        <v>141358.1</v>
      </c>
      <c r="J12" s="79">
        <f>I12/I26*100</f>
        <v>13.665157382464631</v>
      </c>
      <c r="K12" s="68">
        <f t="shared" si="2"/>
        <v>1.044673394761191</v>
      </c>
      <c r="L12" s="68">
        <f t="shared" si="3"/>
        <v>1.044673394761191</v>
      </c>
      <c r="M12" s="31">
        <v>121806.21</v>
      </c>
      <c r="N12" s="71">
        <f t="shared" si="4"/>
        <v>0.86168539333791272</v>
      </c>
      <c r="O12" s="31">
        <v>107844.82</v>
      </c>
      <c r="P12" s="71">
        <f t="shared" si="5"/>
        <v>0.88538031024854968</v>
      </c>
    </row>
    <row r="13" spans="1:16" ht="93.75">
      <c r="A13" s="21">
        <v>9</v>
      </c>
      <c r="B13" s="27" t="s">
        <v>139</v>
      </c>
      <c r="C13" s="28" t="s">
        <v>126</v>
      </c>
      <c r="D13" s="29">
        <f>1058469.6-D7+4710.2</f>
        <v>437540.10000000015</v>
      </c>
      <c r="E13" s="66">
        <f>933388.3-E7</f>
        <v>333998.90000000002</v>
      </c>
      <c r="F13" s="68">
        <f t="shared" si="0"/>
        <v>0.76335609010465533</v>
      </c>
      <c r="G13" s="31">
        <v>333998.90000000002</v>
      </c>
      <c r="H13" s="68">
        <f t="shared" si="1"/>
        <v>0.76335609010465533</v>
      </c>
      <c r="I13" s="80">
        <f>696526.2-I7</f>
        <v>164240.29999999993</v>
      </c>
      <c r="J13" s="80">
        <f>I13/I26*100</f>
        <v>15.877190964247573</v>
      </c>
      <c r="K13" s="68">
        <f t="shared" si="2"/>
        <v>0.49173904464954798</v>
      </c>
      <c r="L13" s="68">
        <f t="shared" si="3"/>
        <v>0.49173904464954798</v>
      </c>
      <c r="M13" s="30">
        <f>598416.517-M7</f>
        <v>104419.11699999997</v>
      </c>
      <c r="N13" s="71">
        <f t="shared" si="4"/>
        <v>0.63577037426258975</v>
      </c>
      <c r="O13" s="30">
        <f>566315.2-O7</f>
        <v>72317.79999999993</v>
      </c>
      <c r="P13" s="71">
        <f t="shared" si="5"/>
        <v>0.6925724146853296</v>
      </c>
    </row>
    <row r="14" spans="1:16" ht="56.25">
      <c r="A14" s="21">
        <v>10</v>
      </c>
      <c r="B14" s="34">
        <v>630</v>
      </c>
      <c r="C14" s="28" t="s">
        <v>127</v>
      </c>
      <c r="D14" s="29">
        <v>961.2</v>
      </c>
      <c r="E14" s="31"/>
      <c r="F14" s="68">
        <f t="shared" si="0"/>
        <v>0</v>
      </c>
      <c r="G14" s="31"/>
      <c r="H14" s="68">
        <f t="shared" si="1"/>
        <v>0</v>
      </c>
      <c r="I14" s="79"/>
      <c r="J14" s="79"/>
      <c r="K14" s="68" t="e">
        <f t="shared" si="2"/>
        <v>#DIV/0!</v>
      </c>
      <c r="L14" s="68" t="e">
        <f t="shared" si="3"/>
        <v>#DIV/0!</v>
      </c>
      <c r="M14" s="31"/>
      <c r="N14" s="71" t="e">
        <f t="shared" si="4"/>
        <v>#DIV/0!</v>
      </c>
      <c r="O14" s="31"/>
      <c r="P14" s="71" t="e">
        <f t="shared" si="5"/>
        <v>#DIV/0!</v>
      </c>
    </row>
    <row r="15" spans="1:16" ht="75">
      <c r="A15" s="21">
        <v>11</v>
      </c>
      <c r="B15" s="35">
        <v>810</v>
      </c>
      <c r="C15" s="28" t="s">
        <v>0</v>
      </c>
      <c r="D15" s="29">
        <v>3324.6</v>
      </c>
      <c r="E15" s="31">
        <v>4305.2</v>
      </c>
      <c r="F15" s="68">
        <f t="shared" si="0"/>
        <v>1.2949527762738375</v>
      </c>
      <c r="G15" s="70">
        <v>4305.2</v>
      </c>
      <c r="H15" s="68">
        <f t="shared" si="1"/>
        <v>1.2949527762738375</v>
      </c>
      <c r="I15" s="79">
        <v>5192.1000000000004</v>
      </c>
      <c r="J15" s="79"/>
      <c r="K15" s="68">
        <f t="shared" si="2"/>
        <v>1.2060066895846884</v>
      </c>
      <c r="L15" s="68">
        <f t="shared" si="3"/>
        <v>1.2060066895846884</v>
      </c>
      <c r="M15" s="31">
        <v>5049.5</v>
      </c>
      <c r="N15" s="71">
        <f t="shared" si="4"/>
        <v>0.97253519770420438</v>
      </c>
      <c r="O15" s="31">
        <v>4928.8999999999996</v>
      </c>
      <c r="P15" s="71">
        <f t="shared" si="5"/>
        <v>0.9761164471729874</v>
      </c>
    </row>
    <row r="16" spans="1:16" ht="18.75">
      <c r="A16" s="21">
        <v>12</v>
      </c>
      <c r="B16" s="35">
        <v>830</v>
      </c>
      <c r="C16" s="28" t="s">
        <v>128</v>
      </c>
      <c r="D16" s="29"/>
      <c r="E16" s="31">
        <v>35.6</v>
      </c>
      <c r="F16" s="68" t="e">
        <f t="shared" si="0"/>
        <v>#DIV/0!</v>
      </c>
      <c r="G16" s="70">
        <v>35.6</v>
      </c>
      <c r="H16" s="68" t="e">
        <f t="shared" si="1"/>
        <v>#DIV/0!</v>
      </c>
      <c r="I16" s="79"/>
      <c r="J16" s="79"/>
      <c r="K16" s="68">
        <f t="shared" si="2"/>
        <v>0</v>
      </c>
      <c r="L16" s="68">
        <f t="shared" si="3"/>
        <v>0</v>
      </c>
      <c r="M16" s="31"/>
      <c r="N16" s="71" t="e">
        <f t="shared" si="4"/>
        <v>#DIV/0!</v>
      </c>
      <c r="O16" s="31"/>
      <c r="P16" s="71" t="e">
        <f t="shared" si="5"/>
        <v>#DIV/0!</v>
      </c>
    </row>
    <row r="17" spans="1:16" ht="18.75">
      <c r="A17" s="21">
        <v>13</v>
      </c>
      <c r="B17" s="35">
        <v>850</v>
      </c>
      <c r="C17" s="28" t="s">
        <v>129</v>
      </c>
      <c r="D17" s="29">
        <v>481</v>
      </c>
      <c r="E17" s="31">
        <v>390.8</v>
      </c>
      <c r="F17" s="68">
        <f t="shared" si="0"/>
        <v>0.81247401247401252</v>
      </c>
      <c r="G17" s="70">
        <v>390.8</v>
      </c>
      <c r="H17" s="68">
        <f t="shared" si="1"/>
        <v>0.81247401247401252</v>
      </c>
      <c r="I17" s="79">
        <v>381</v>
      </c>
      <c r="J17" s="79"/>
      <c r="K17" s="68">
        <f t="shared" si="2"/>
        <v>0.97492323439099282</v>
      </c>
      <c r="L17" s="68">
        <f t="shared" si="3"/>
        <v>0.97492323439099282</v>
      </c>
      <c r="M17" s="31">
        <v>0</v>
      </c>
      <c r="N17" s="71">
        <f t="shared" si="4"/>
        <v>0</v>
      </c>
      <c r="O17" s="31">
        <v>0</v>
      </c>
      <c r="P17" s="71" t="e">
        <f t="shared" si="5"/>
        <v>#DIV/0!</v>
      </c>
    </row>
    <row r="18" spans="1:16" ht="56.25">
      <c r="A18" s="21">
        <v>14</v>
      </c>
      <c r="B18" s="35">
        <v>400</v>
      </c>
      <c r="C18" s="28" t="s">
        <v>130</v>
      </c>
      <c r="D18" s="29"/>
      <c r="E18" s="31"/>
      <c r="F18" s="68" t="e">
        <f t="shared" si="0"/>
        <v>#DIV/0!</v>
      </c>
      <c r="G18" s="70"/>
      <c r="H18" s="68" t="e">
        <f t="shared" si="1"/>
        <v>#DIV/0!</v>
      </c>
      <c r="I18" s="79"/>
      <c r="J18" s="79"/>
      <c r="K18" s="68" t="e">
        <f t="shared" si="2"/>
        <v>#DIV/0!</v>
      </c>
      <c r="L18" s="68" t="e">
        <f t="shared" si="3"/>
        <v>#DIV/0!</v>
      </c>
      <c r="M18" s="31"/>
      <c r="N18" s="71" t="e">
        <f t="shared" si="4"/>
        <v>#DIV/0!</v>
      </c>
      <c r="O18" s="31"/>
      <c r="P18" s="71" t="e">
        <f t="shared" si="5"/>
        <v>#DIV/0!</v>
      </c>
    </row>
    <row r="19" spans="1:16" ht="37.5">
      <c r="A19" s="21">
        <v>15</v>
      </c>
      <c r="B19" s="35">
        <v>243</v>
      </c>
      <c r="C19" s="28" t="s">
        <v>131</v>
      </c>
      <c r="D19" s="29">
        <v>30881.8</v>
      </c>
      <c r="E19" s="31">
        <v>7651.6</v>
      </c>
      <c r="F19" s="68">
        <f>E19/D19</f>
        <v>0.24777053151046896</v>
      </c>
      <c r="G19" s="70">
        <v>7651.6</v>
      </c>
      <c r="H19" s="68">
        <f t="shared" si="1"/>
        <v>0.24777053151046896</v>
      </c>
      <c r="I19" s="79">
        <v>3755.3</v>
      </c>
      <c r="J19" s="79"/>
      <c r="K19" s="68">
        <f t="shared" si="2"/>
        <v>0.49078624078624078</v>
      </c>
      <c r="L19" s="68">
        <f t="shared" si="3"/>
        <v>0.49078624078624078</v>
      </c>
      <c r="M19" s="31">
        <v>4634.2</v>
      </c>
      <c r="N19" s="71">
        <f t="shared" si="4"/>
        <v>1.2340425531914891</v>
      </c>
      <c r="O19" s="31"/>
      <c r="P19" s="71">
        <f t="shared" si="5"/>
        <v>0</v>
      </c>
    </row>
    <row r="20" spans="1:16" ht="18.75">
      <c r="A20" s="21">
        <v>16</v>
      </c>
      <c r="B20" s="35">
        <v>350</v>
      </c>
      <c r="C20" s="28" t="s">
        <v>132</v>
      </c>
      <c r="D20" s="29">
        <v>2700.8</v>
      </c>
      <c r="E20" s="31">
        <v>2280.4</v>
      </c>
      <c r="F20" s="68">
        <f t="shared" si="0"/>
        <v>0.84434241706161139</v>
      </c>
      <c r="G20" s="70">
        <v>2280.4</v>
      </c>
      <c r="H20" s="68">
        <f t="shared" si="1"/>
        <v>0.84434241706161139</v>
      </c>
      <c r="I20" s="79">
        <v>1000</v>
      </c>
      <c r="J20" s="79"/>
      <c r="K20" s="68">
        <f t="shared" si="2"/>
        <v>0.43851955797228553</v>
      </c>
      <c r="L20" s="68">
        <f t="shared" si="3"/>
        <v>0.43851955797228553</v>
      </c>
      <c r="M20" s="32">
        <v>1000</v>
      </c>
      <c r="N20" s="71">
        <f t="shared" si="4"/>
        <v>1</v>
      </c>
      <c r="O20" s="32">
        <v>1000</v>
      </c>
      <c r="P20" s="71">
        <f t="shared" si="5"/>
        <v>1</v>
      </c>
    </row>
    <row r="21" spans="1:16" ht="18.75">
      <c r="A21" s="21">
        <v>17</v>
      </c>
      <c r="B21" s="35">
        <v>820</v>
      </c>
      <c r="C21" s="28" t="s">
        <v>1</v>
      </c>
      <c r="D21" s="29"/>
      <c r="E21" s="31"/>
      <c r="F21" s="68" t="e">
        <f t="shared" si="0"/>
        <v>#DIV/0!</v>
      </c>
      <c r="G21" s="70"/>
      <c r="H21" s="68" t="e">
        <f t="shared" si="1"/>
        <v>#DIV/0!</v>
      </c>
      <c r="I21" s="79"/>
      <c r="J21" s="79"/>
      <c r="K21" s="68" t="e">
        <f t="shared" si="2"/>
        <v>#DIV/0!</v>
      </c>
      <c r="L21" s="68" t="e">
        <f t="shared" si="3"/>
        <v>#DIV/0!</v>
      </c>
      <c r="M21" s="32"/>
      <c r="N21" s="71" t="e">
        <f t="shared" si="4"/>
        <v>#DIV/0!</v>
      </c>
      <c r="O21" s="32"/>
      <c r="P21" s="71" t="e">
        <f t="shared" si="5"/>
        <v>#DIV/0!</v>
      </c>
    </row>
    <row r="22" spans="1:16" ht="18.75">
      <c r="A22" s="21">
        <v>18</v>
      </c>
      <c r="B22" s="35">
        <v>870</v>
      </c>
      <c r="C22" s="28" t="s">
        <v>2</v>
      </c>
      <c r="D22" s="29"/>
      <c r="E22" s="30">
        <v>910</v>
      </c>
      <c r="F22" s="68" t="e">
        <f t="shared" si="0"/>
        <v>#DIV/0!</v>
      </c>
      <c r="G22" s="69">
        <v>910</v>
      </c>
      <c r="H22" s="68" t="e">
        <f>G22/D22</f>
        <v>#DIV/0!</v>
      </c>
      <c r="I22" s="79">
        <v>1000</v>
      </c>
      <c r="J22" s="79"/>
      <c r="K22" s="68">
        <f t="shared" si="2"/>
        <v>1.098901098901099</v>
      </c>
      <c r="L22" s="68">
        <f t="shared" si="3"/>
        <v>1.098901098901099</v>
      </c>
      <c r="M22" s="31">
        <v>1000</v>
      </c>
      <c r="N22" s="71">
        <f t="shared" si="4"/>
        <v>1</v>
      </c>
      <c r="O22" s="31">
        <v>1000</v>
      </c>
      <c r="P22" s="71">
        <f t="shared" si="5"/>
        <v>1</v>
      </c>
    </row>
    <row r="23" spans="1:16" ht="18.75">
      <c r="A23" s="21">
        <v>19</v>
      </c>
      <c r="B23" s="35">
        <v>500</v>
      </c>
      <c r="C23" s="28" t="s">
        <v>142</v>
      </c>
      <c r="D23" s="29">
        <v>200529.9</v>
      </c>
      <c r="E23" s="31">
        <v>233142.8</v>
      </c>
      <c r="F23" s="68">
        <f t="shared" si="0"/>
        <v>1.1626336022707835</v>
      </c>
      <c r="G23" s="70">
        <v>233142.8</v>
      </c>
      <c r="H23" s="68">
        <f t="shared" si="1"/>
        <v>1.1626336022707835</v>
      </c>
      <c r="I23" s="79">
        <v>87401</v>
      </c>
      <c r="J23" s="79">
        <f>I23/I26*100</f>
        <v>8.4490978612813219</v>
      </c>
      <c r="K23" s="68">
        <f t="shared" si="2"/>
        <v>0.37488183207888043</v>
      </c>
      <c r="L23" s="68">
        <f t="shared" si="3"/>
        <v>0.37488183207888043</v>
      </c>
      <c r="M23" s="31">
        <v>87401</v>
      </c>
      <c r="N23" s="71">
        <f t="shared" si="4"/>
        <v>1</v>
      </c>
      <c r="O23" s="31">
        <v>87401</v>
      </c>
      <c r="P23" s="71">
        <f t="shared" si="5"/>
        <v>1</v>
      </c>
    </row>
    <row r="24" spans="1:16" ht="18.75">
      <c r="A24" s="21">
        <v>20</v>
      </c>
      <c r="B24" s="35" t="s">
        <v>151</v>
      </c>
      <c r="C24" s="28" t="s">
        <v>143</v>
      </c>
      <c r="D24" s="29">
        <f>707.5+4</f>
        <v>711.5</v>
      </c>
      <c r="E24" s="31">
        <v>2040</v>
      </c>
      <c r="F24" s="68">
        <f t="shared" si="0"/>
        <v>2.8671820098383698</v>
      </c>
      <c r="G24" s="70">
        <v>2040</v>
      </c>
      <c r="H24" s="68">
        <f t="shared" si="1"/>
        <v>2.8671820098383698</v>
      </c>
      <c r="I24" s="79">
        <v>200</v>
      </c>
      <c r="J24" s="79"/>
      <c r="K24" s="68">
        <f t="shared" si="2"/>
        <v>9.8039215686274508E-2</v>
      </c>
      <c r="L24" s="68">
        <f t="shared" si="3"/>
        <v>9.8039215686274508E-2</v>
      </c>
      <c r="M24" s="31">
        <v>0</v>
      </c>
      <c r="N24" s="71">
        <f t="shared" si="4"/>
        <v>0</v>
      </c>
      <c r="O24" s="31">
        <v>0</v>
      </c>
      <c r="P24" s="71" t="e">
        <f t="shared" si="5"/>
        <v>#DIV/0!</v>
      </c>
    </row>
    <row r="25" spans="1:16" s="9" customFormat="1" ht="18.75">
      <c r="A25" s="21">
        <v>21</v>
      </c>
      <c r="B25" s="37"/>
      <c r="C25" s="38" t="s">
        <v>153</v>
      </c>
      <c r="D25" s="39"/>
      <c r="E25" s="40"/>
      <c r="F25" s="68" t="e">
        <f t="shared" si="0"/>
        <v>#DIV/0!</v>
      </c>
      <c r="G25" s="40"/>
      <c r="H25" s="68" t="e">
        <f t="shared" si="1"/>
        <v>#DIV/0!</v>
      </c>
      <c r="I25" s="81"/>
      <c r="J25" s="81"/>
      <c r="K25" s="68" t="e">
        <f t="shared" si="2"/>
        <v>#DIV/0!</v>
      </c>
      <c r="L25" s="68" t="e">
        <f t="shared" si="3"/>
        <v>#DIV/0!</v>
      </c>
      <c r="M25" s="40"/>
      <c r="N25" s="71" t="e">
        <f t="shared" si="4"/>
        <v>#DIV/0!</v>
      </c>
      <c r="O25" s="40"/>
      <c r="P25" s="71" t="e">
        <f t="shared" si="5"/>
        <v>#DIV/0!</v>
      </c>
    </row>
    <row r="26" spans="1:16" s="10" customFormat="1" ht="18.75">
      <c r="A26" s="21">
        <v>22</v>
      </c>
      <c r="B26" s="41"/>
      <c r="C26" s="42" t="s">
        <v>3</v>
      </c>
      <c r="D26" s="43">
        <f>D5+D9+D11+D12+D13+D14+D15+D16+D17+D19+D20+D23+D24+D10</f>
        <v>1551695</v>
      </c>
      <c r="E26" s="67">
        <f>E5+E9+E11+E12+E13+E14+E15+E16+E17+E19+E20+E23+E24+E10+E22</f>
        <v>1428562.6</v>
      </c>
      <c r="F26" s="68">
        <f t="shared" si="0"/>
        <v>0.92064651880685322</v>
      </c>
      <c r="G26" s="67">
        <f>G5+G9+G11+G12+G13+G14+G15+G16+G17+G19+G20+G23+G24+G10+G22</f>
        <v>1491402.4</v>
      </c>
      <c r="H26" s="68">
        <f t="shared" si="1"/>
        <v>0.96114403926029268</v>
      </c>
      <c r="I26" s="82">
        <f>I5+I9+I11+I12+I13+I14+I15+I16+I17+I19+I20+I23+I24+I10+I22</f>
        <v>1034441.7999999999</v>
      </c>
      <c r="J26" s="82"/>
      <c r="K26" s="68">
        <f t="shared" si="2"/>
        <v>0.72411373502288234</v>
      </c>
      <c r="L26" s="68">
        <f t="shared" si="3"/>
        <v>0.69360341648907098</v>
      </c>
      <c r="M26" s="82">
        <f t="shared" ref="M26:O26" si="6">M5+M9+M11+M12+M13+M14+M15+M16+M17+M19+M20+M23+M24+M10+M22</f>
        <v>904596.44699999981</v>
      </c>
      <c r="N26" s="71">
        <f t="shared" si="4"/>
        <v>0.87447785559322899</v>
      </c>
      <c r="O26" s="82">
        <f t="shared" si="6"/>
        <v>848077.74</v>
      </c>
      <c r="P26" s="71">
        <f t="shared" si="5"/>
        <v>0.93752052952735088</v>
      </c>
    </row>
    <row r="27" spans="1:16" s="11" customFormat="1" ht="18.75">
      <c r="A27" s="21">
        <v>23</v>
      </c>
      <c r="B27" s="45"/>
      <c r="C27" s="46" t="s">
        <v>10</v>
      </c>
      <c r="D27" s="47"/>
      <c r="E27" s="48"/>
      <c r="F27" s="49"/>
      <c r="G27" s="48"/>
      <c r="H27" s="49"/>
      <c r="I27" s="48"/>
      <c r="J27" s="48"/>
      <c r="K27" s="49"/>
      <c r="L27" s="49"/>
      <c r="M27" s="48"/>
      <c r="N27" s="49"/>
      <c r="O27" s="48"/>
      <c r="P27" s="49"/>
    </row>
    <row r="28" spans="1:16" ht="18.75">
      <c r="A28" s="21">
        <v>24</v>
      </c>
      <c r="B28" s="50" t="s">
        <v>11</v>
      </c>
      <c r="C28" s="42" t="s">
        <v>12</v>
      </c>
      <c r="D28" s="36"/>
      <c r="E28" s="51"/>
      <c r="F28" s="52"/>
      <c r="G28" s="51"/>
      <c r="H28" s="52"/>
      <c r="I28" s="84"/>
      <c r="J28" s="84"/>
      <c r="K28" s="52"/>
      <c r="L28" s="52"/>
      <c r="M28" s="51"/>
      <c r="N28" s="52"/>
      <c r="O28" s="51"/>
      <c r="P28" s="52"/>
    </row>
    <row r="29" spans="1:16" s="5" customFormat="1" ht="18.75">
      <c r="A29" s="21">
        <v>25</v>
      </c>
      <c r="B29" s="53" t="s">
        <v>9</v>
      </c>
      <c r="C29" s="42" t="s">
        <v>13</v>
      </c>
      <c r="D29" s="44">
        <f>SUM(D30:D37)+32.5</f>
        <v>78589.200000000012</v>
      </c>
      <c r="E29" s="44">
        <f>SUM(E30:E37)+1.9</f>
        <v>75735.299999999988</v>
      </c>
      <c r="F29" s="52">
        <f>E29/D29</f>
        <v>0.96368584996411688</v>
      </c>
      <c r="G29" s="44">
        <f>SUM(G30:G37)+1.9</f>
        <v>96333.9</v>
      </c>
      <c r="H29" s="55">
        <f>G29/D29</f>
        <v>1.2257905666427444</v>
      </c>
      <c r="I29" s="83">
        <f>SUM(I30:I37)</f>
        <v>65615.299999999988</v>
      </c>
      <c r="J29" s="83">
        <f>I29/I26*100</f>
        <v>6.343063476359907</v>
      </c>
      <c r="K29" s="55">
        <f>I29/E29</f>
        <v>0.86637670940763423</v>
      </c>
      <c r="L29" s="55">
        <f>I29/G29</f>
        <v>0.68112367505104632</v>
      </c>
      <c r="M29" s="54">
        <f>SUM(M30:M37)</f>
        <v>54077.399999999994</v>
      </c>
      <c r="N29" s="55">
        <f>M29/I29</f>
        <v>0.82415838988772439</v>
      </c>
      <c r="O29" s="54">
        <f>SUM(O30:O37)</f>
        <v>54076.2</v>
      </c>
      <c r="P29" s="55">
        <f>O29/M29</f>
        <v>0.9999778095840407</v>
      </c>
    </row>
    <row r="30" spans="1:16" ht="56.25">
      <c r="A30" s="21">
        <v>26</v>
      </c>
      <c r="B30" s="56" t="s">
        <v>8</v>
      </c>
      <c r="C30" s="57" t="s">
        <v>14</v>
      </c>
      <c r="D30" s="36">
        <v>2248.6</v>
      </c>
      <c r="E30" s="51">
        <v>1635.5</v>
      </c>
      <c r="F30" s="52">
        <f>E30/D30</f>
        <v>0.72734145690651963</v>
      </c>
      <c r="G30" s="51">
        <f>E30+293.2</f>
        <v>1928.7</v>
      </c>
      <c r="H30" s="55">
        <f t="shared" ref="H30:H91" si="7">G30/D30</f>
        <v>0.8577337009694922</v>
      </c>
      <c r="I30" s="84">
        <v>1321.8</v>
      </c>
      <c r="J30" s="84"/>
      <c r="K30" s="55">
        <f t="shared" ref="K30:K37" si="8">I30/E30</f>
        <v>0.8081932130846835</v>
      </c>
      <c r="L30" s="55">
        <f t="shared" ref="L30:L90" si="9">I30/G30</f>
        <v>0.68533208897184628</v>
      </c>
      <c r="M30" s="51">
        <v>1317</v>
      </c>
      <c r="N30" s="55">
        <f t="shared" ref="N30:N91" si="10">M30/I30</f>
        <v>0.99636858828869723</v>
      </c>
      <c r="O30" s="51">
        <v>1317</v>
      </c>
      <c r="P30" s="55">
        <f t="shared" ref="P30:P91" si="11">O30/M30</f>
        <v>1</v>
      </c>
    </row>
    <row r="31" spans="1:16" ht="56.25">
      <c r="A31" s="21">
        <v>27</v>
      </c>
      <c r="B31" s="56" t="s">
        <v>7</v>
      </c>
      <c r="C31" s="57" t="s">
        <v>15</v>
      </c>
      <c r="D31" s="36">
        <v>1121.4000000000001</v>
      </c>
      <c r="E31" s="51">
        <v>813.6</v>
      </c>
      <c r="F31" s="52">
        <f t="shared" ref="F31:F91" si="12">E31/D31</f>
        <v>0.72552166934189399</v>
      </c>
      <c r="G31" s="51">
        <f>813.6+58.8</f>
        <v>872.4</v>
      </c>
      <c r="H31" s="55">
        <f t="shared" si="7"/>
        <v>0.77795612627073296</v>
      </c>
      <c r="I31" s="84">
        <v>722</v>
      </c>
      <c r="J31" s="84"/>
      <c r="K31" s="55">
        <f t="shared" si="8"/>
        <v>0.88741396263520156</v>
      </c>
      <c r="L31" s="55">
        <f t="shared" si="9"/>
        <v>0.82760201742320039</v>
      </c>
      <c r="M31" s="51">
        <v>500</v>
      </c>
      <c r="N31" s="55">
        <f t="shared" si="10"/>
        <v>0.69252077562326875</v>
      </c>
      <c r="O31" s="51">
        <v>500</v>
      </c>
      <c r="P31" s="55">
        <f t="shared" si="11"/>
        <v>1</v>
      </c>
    </row>
    <row r="32" spans="1:16" ht="75">
      <c r="A32" s="21">
        <v>28</v>
      </c>
      <c r="B32" s="56" t="s">
        <v>67</v>
      </c>
      <c r="C32" s="57" t="s">
        <v>16</v>
      </c>
      <c r="D32" s="36">
        <v>14813.9</v>
      </c>
      <c r="E32" s="51">
        <v>13830.2</v>
      </c>
      <c r="F32" s="52">
        <f t="shared" si="12"/>
        <v>0.93359614956223558</v>
      </c>
      <c r="G32" s="51">
        <f>13830.2+3397.2</f>
        <v>17227.400000000001</v>
      </c>
      <c r="H32" s="55">
        <f t="shared" si="7"/>
        <v>1.1629213103909168</v>
      </c>
      <c r="I32" s="84">
        <v>11514.3</v>
      </c>
      <c r="J32" s="84"/>
      <c r="K32" s="55">
        <f t="shared" si="8"/>
        <v>0.83254761319431381</v>
      </c>
      <c r="L32" s="55">
        <f t="shared" si="9"/>
        <v>0.668371315462577</v>
      </c>
      <c r="M32" s="51">
        <v>11136.7</v>
      </c>
      <c r="N32" s="55">
        <f t="shared" si="10"/>
        <v>0.96720599602233759</v>
      </c>
      <c r="O32" s="51">
        <v>11121.3</v>
      </c>
      <c r="P32" s="55">
        <f t="shared" si="11"/>
        <v>0.99861718462381122</v>
      </c>
    </row>
    <row r="33" spans="1:16" ht="75">
      <c r="A33" s="21"/>
      <c r="B33" s="56" t="s">
        <v>180</v>
      </c>
      <c r="C33" s="57" t="s">
        <v>181</v>
      </c>
      <c r="D33" s="36">
        <v>0</v>
      </c>
      <c r="E33" s="51"/>
      <c r="F33" s="52" t="e">
        <f t="shared" si="12"/>
        <v>#DIV/0!</v>
      </c>
      <c r="G33" s="51">
        <v>0</v>
      </c>
      <c r="H33" s="55" t="e">
        <f t="shared" si="7"/>
        <v>#DIV/0!</v>
      </c>
      <c r="I33" s="84">
        <v>5.9</v>
      </c>
      <c r="J33" s="84"/>
      <c r="K33" s="55" t="e">
        <f t="shared" si="8"/>
        <v>#DIV/0!</v>
      </c>
      <c r="L33" s="55" t="e">
        <f t="shared" si="9"/>
        <v>#DIV/0!</v>
      </c>
      <c r="M33" s="51">
        <v>6.1</v>
      </c>
      <c r="N33" s="55">
        <f t="shared" si="10"/>
        <v>1.0338983050847457</v>
      </c>
      <c r="O33" s="51">
        <v>40.299999999999997</v>
      </c>
      <c r="P33" s="55">
        <f t="shared" si="11"/>
        <v>6.6065573770491799</v>
      </c>
    </row>
    <row r="34" spans="1:16" ht="56.25">
      <c r="A34" s="21">
        <v>29</v>
      </c>
      <c r="B34" s="56" t="s">
        <v>6</v>
      </c>
      <c r="C34" s="57" t="s">
        <v>17</v>
      </c>
      <c r="D34" s="36">
        <v>9841.4</v>
      </c>
      <c r="E34" s="51">
        <v>9273.6</v>
      </c>
      <c r="F34" s="52">
        <f t="shared" si="12"/>
        <v>0.9423049566118642</v>
      </c>
      <c r="G34" s="51">
        <f>9273.6+1784.1</f>
        <v>11057.7</v>
      </c>
      <c r="H34" s="55">
        <f t="shared" si="7"/>
        <v>1.1235901396142827</v>
      </c>
      <c r="I34" s="84">
        <v>7451.1</v>
      </c>
      <c r="J34" s="84"/>
      <c r="K34" s="55">
        <f t="shared" si="8"/>
        <v>0.80347437888198758</v>
      </c>
      <c r="L34" s="55">
        <f t="shared" si="9"/>
        <v>0.67383813993868524</v>
      </c>
      <c r="M34" s="51">
        <v>7196.9</v>
      </c>
      <c r="N34" s="55">
        <f t="shared" si="10"/>
        <v>0.96588423185838324</v>
      </c>
      <c r="O34" s="51">
        <v>7176.9</v>
      </c>
      <c r="P34" s="55">
        <f t="shared" si="11"/>
        <v>0.99722102571940696</v>
      </c>
    </row>
    <row r="35" spans="1:16" ht="18.75">
      <c r="A35" s="21">
        <v>30</v>
      </c>
      <c r="B35" s="56" t="s">
        <v>68</v>
      </c>
      <c r="C35" s="57" t="s">
        <v>18</v>
      </c>
      <c r="D35" s="36"/>
      <c r="E35" s="51">
        <v>1500</v>
      </c>
      <c r="F35" s="52" t="e">
        <f t="shared" si="12"/>
        <v>#DIV/0!</v>
      </c>
      <c r="G35" s="51">
        <v>1500</v>
      </c>
      <c r="H35" s="55" t="e">
        <f t="shared" si="7"/>
        <v>#DIV/0!</v>
      </c>
      <c r="I35" s="84"/>
      <c r="J35" s="84"/>
      <c r="K35" s="55">
        <f t="shared" si="8"/>
        <v>0</v>
      </c>
      <c r="L35" s="55">
        <f t="shared" si="9"/>
        <v>0</v>
      </c>
      <c r="M35" s="51"/>
      <c r="N35" s="55" t="e">
        <f t="shared" si="10"/>
        <v>#DIV/0!</v>
      </c>
      <c r="O35" s="51"/>
      <c r="P35" s="55" t="e">
        <f t="shared" si="11"/>
        <v>#DIV/0!</v>
      </c>
    </row>
    <row r="36" spans="1:16" ht="18.75">
      <c r="A36" s="21">
        <v>31</v>
      </c>
      <c r="B36" s="56" t="s">
        <v>69</v>
      </c>
      <c r="C36" s="57" t="s">
        <v>19</v>
      </c>
      <c r="D36" s="36"/>
      <c r="E36" s="51">
        <v>910</v>
      </c>
      <c r="F36" s="52" t="e">
        <f t="shared" si="12"/>
        <v>#DIV/0!</v>
      </c>
      <c r="G36" s="51">
        <v>910</v>
      </c>
      <c r="H36" s="55" t="e">
        <f t="shared" si="7"/>
        <v>#DIV/0!</v>
      </c>
      <c r="I36" s="84">
        <v>1000</v>
      </c>
      <c r="J36" s="84"/>
      <c r="K36" s="55">
        <f t="shared" si="8"/>
        <v>1.098901098901099</v>
      </c>
      <c r="L36" s="55">
        <f t="shared" si="9"/>
        <v>1.098901098901099</v>
      </c>
      <c r="M36" s="51">
        <v>1000</v>
      </c>
      <c r="N36" s="55">
        <f t="shared" si="10"/>
        <v>1</v>
      </c>
      <c r="O36" s="51">
        <v>1000</v>
      </c>
      <c r="P36" s="55">
        <f t="shared" si="11"/>
        <v>1</v>
      </c>
    </row>
    <row r="37" spans="1:16" ht="18.75">
      <c r="A37" s="21">
        <v>32</v>
      </c>
      <c r="B37" s="56" t="s">
        <v>70</v>
      </c>
      <c r="C37" s="57" t="s">
        <v>20</v>
      </c>
      <c r="D37" s="36">
        <v>50531.4</v>
      </c>
      <c r="E37" s="51">
        <f>48195.3-424.8</f>
        <v>47770.5</v>
      </c>
      <c r="F37" s="52">
        <f t="shared" si="12"/>
        <v>0.94536268537978363</v>
      </c>
      <c r="G37" s="51">
        <v>62835.8</v>
      </c>
      <c r="H37" s="55">
        <f t="shared" si="7"/>
        <v>1.2435000811376689</v>
      </c>
      <c r="I37" s="84">
        <v>43600.2</v>
      </c>
      <c r="J37" s="84"/>
      <c r="K37" s="55">
        <f t="shared" si="8"/>
        <v>0.91270135334568403</v>
      </c>
      <c r="L37" s="55">
        <f t="shared" si="9"/>
        <v>0.69387514760693736</v>
      </c>
      <c r="M37" s="51">
        <v>32920.699999999997</v>
      </c>
      <c r="N37" s="55">
        <f t="shared" si="10"/>
        <v>0.75505846303457325</v>
      </c>
      <c r="O37" s="51">
        <v>32920.699999999997</v>
      </c>
      <c r="P37" s="55">
        <f t="shared" si="11"/>
        <v>1</v>
      </c>
    </row>
    <row r="38" spans="1:16" s="5" customFormat="1" ht="18.75">
      <c r="A38" s="21">
        <v>33</v>
      </c>
      <c r="B38" s="53" t="s">
        <v>5</v>
      </c>
      <c r="C38" s="42" t="s">
        <v>21</v>
      </c>
      <c r="D38" s="44">
        <f>D39</f>
        <v>0</v>
      </c>
      <c r="E38" s="44">
        <f>E39</f>
        <v>0</v>
      </c>
      <c r="F38" s="52" t="e">
        <f t="shared" si="12"/>
        <v>#DIV/0!</v>
      </c>
      <c r="G38" s="44">
        <f>G39</f>
        <v>0</v>
      </c>
      <c r="H38" s="55" t="e">
        <f t="shared" si="7"/>
        <v>#DIV/0!</v>
      </c>
      <c r="I38" s="83">
        <v>0</v>
      </c>
      <c r="J38" s="83"/>
      <c r="K38" s="55" t="e">
        <f>I38/E38</f>
        <v>#DIV/0!</v>
      </c>
      <c r="L38" s="55" t="e">
        <f t="shared" si="9"/>
        <v>#DIV/0!</v>
      </c>
      <c r="M38" s="54">
        <v>0</v>
      </c>
      <c r="N38" s="55" t="e">
        <f t="shared" si="10"/>
        <v>#DIV/0!</v>
      </c>
      <c r="O38" s="54">
        <v>0</v>
      </c>
      <c r="P38" s="55" t="e">
        <f t="shared" si="11"/>
        <v>#DIV/0!</v>
      </c>
    </row>
    <row r="39" spans="1:16" ht="18.75">
      <c r="A39" s="21">
        <v>34</v>
      </c>
      <c r="B39" s="56" t="s">
        <v>4</v>
      </c>
      <c r="C39" s="57" t="s">
        <v>22</v>
      </c>
      <c r="D39" s="36"/>
      <c r="E39" s="51"/>
      <c r="F39" s="52" t="e">
        <f t="shared" si="12"/>
        <v>#DIV/0!</v>
      </c>
      <c r="G39" s="51"/>
      <c r="H39" s="55" t="e">
        <f t="shared" si="7"/>
        <v>#DIV/0!</v>
      </c>
      <c r="I39" s="84"/>
      <c r="J39" s="84"/>
      <c r="K39" s="55" t="e">
        <f t="shared" ref="K39:K91" si="13">I39/E39</f>
        <v>#DIV/0!</v>
      </c>
      <c r="L39" s="55" t="e">
        <f t="shared" si="9"/>
        <v>#DIV/0!</v>
      </c>
      <c r="M39" s="51"/>
      <c r="N39" s="55" t="e">
        <f t="shared" si="10"/>
        <v>#DIV/0!</v>
      </c>
      <c r="O39" s="51"/>
      <c r="P39" s="55" t="e">
        <f t="shared" si="11"/>
        <v>#DIV/0!</v>
      </c>
    </row>
    <row r="40" spans="1:16" s="5" customFormat="1" ht="37.5">
      <c r="A40" s="21">
        <v>35</v>
      </c>
      <c r="B40" s="53" t="s">
        <v>71</v>
      </c>
      <c r="C40" s="42" t="s">
        <v>23</v>
      </c>
      <c r="D40" s="44">
        <f>D41+D42</f>
        <v>3941.3</v>
      </c>
      <c r="E40" s="44">
        <f>E41+E42</f>
        <v>3670</v>
      </c>
      <c r="F40" s="52">
        <f t="shared" si="12"/>
        <v>0.93116484408697631</v>
      </c>
      <c r="G40" s="44">
        <f>G41+G42</f>
        <v>4187</v>
      </c>
      <c r="H40" s="55">
        <f t="shared" si="7"/>
        <v>1.0623398371095831</v>
      </c>
      <c r="I40" s="83">
        <f>I41+I42</f>
        <v>2333.8000000000002</v>
      </c>
      <c r="J40" s="83">
        <f>I40/I26*100</f>
        <v>0.22560959930273511</v>
      </c>
      <c r="K40" s="55">
        <f t="shared" si="13"/>
        <v>0.63591280653950955</v>
      </c>
      <c r="L40" s="55">
        <f t="shared" si="9"/>
        <v>0.55739192739431576</v>
      </c>
      <c r="M40" s="83">
        <f t="shared" ref="M40:O40" si="14">M41+M42</f>
        <v>0</v>
      </c>
      <c r="N40" s="55">
        <f t="shared" si="10"/>
        <v>0</v>
      </c>
      <c r="O40" s="83">
        <f t="shared" si="14"/>
        <v>0</v>
      </c>
      <c r="P40" s="55" t="e">
        <f t="shared" si="11"/>
        <v>#DIV/0!</v>
      </c>
    </row>
    <row r="41" spans="1:16" ht="18.75">
      <c r="A41" s="21">
        <v>36</v>
      </c>
      <c r="B41" s="56" t="s">
        <v>72</v>
      </c>
      <c r="C41" s="58" t="s">
        <v>154</v>
      </c>
      <c r="D41" s="36"/>
      <c r="E41" s="51"/>
      <c r="F41" s="52" t="e">
        <f t="shared" si="12"/>
        <v>#DIV/0!</v>
      </c>
      <c r="G41" s="51">
        <v>76</v>
      </c>
      <c r="H41" s="55" t="e">
        <f t="shared" si="7"/>
        <v>#DIV/0!</v>
      </c>
      <c r="I41" s="84"/>
      <c r="J41" s="84"/>
      <c r="K41" s="55" t="e">
        <f t="shared" si="13"/>
        <v>#DIV/0!</v>
      </c>
      <c r="L41" s="55">
        <f t="shared" si="9"/>
        <v>0</v>
      </c>
      <c r="M41" s="51"/>
      <c r="N41" s="55" t="e">
        <f t="shared" si="10"/>
        <v>#DIV/0!</v>
      </c>
      <c r="O41" s="51"/>
      <c r="P41" s="55" t="e">
        <f t="shared" si="11"/>
        <v>#DIV/0!</v>
      </c>
    </row>
    <row r="42" spans="1:16" ht="56.25">
      <c r="A42" s="21">
        <v>37</v>
      </c>
      <c r="B42" s="56" t="s">
        <v>73</v>
      </c>
      <c r="C42" s="58" t="s">
        <v>155</v>
      </c>
      <c r="D42" s="36">
        <v>3941.3</v>
      </c>
      <c r="E42" s="51">
        <v>3670</v>
      </c>
      <c r="F42" s="52">
        <f t="shared" si="12"/>
        <v>0.93116484408697631</v>
      </c>
      <c r="G42" s="51">
        <v>4111</v>
      </c>
      <c r="H42" s="55">
        <f t="shared" si="7"/>
        <v>1.0430568594118692</v>
      </c>
      <c r="I42" s="84">
        <v>2333.8000000000002</v>
      </c>
      <c r="J42" s="84"/>
      <c r="K42" s="55">
        <f t="shared" si="13"/>
        <v>0.63591280653950955</v>
      </c>
      <c r="L42" s="55">
        <f t="shared" si="9"/>
        <v>0.56769642422768185</v>
      </c>
      <c r="M42" s="51">
        <v>0</v>
      </c>
      <c r="N42" s="55">
        <f t="shared" si="10"/>
        <v>0</v>
      </c>
      <c r="O42" s="51">
        <v>0</v>
      </c>
      <c r="P42" s="55" t="e">
        <f t="shared" si="11"/>
        <v>#DIV/0!</v>
      </c>
    </row>
    <row r="43" spans="1:16" s="5" customFormat="1" ht="18.75">
      <c r="A43" s="21">
        <v>38</v>
      </c>
      <c r="B43" s="53" t="s">
        <v>74</v>
      </c>
      <c r="C43" s="42" t="s">
        <v>24</v>
      </c>
      <c r="D43" s="44">
        <f>SUM(D44:D50)</f>
        <v>44392.9</v>
      </c>
      <c r="E43" s="44">
        <f>SUM(E44:E50)</f>
        <v>49125.599999999999</v>
      </c>
      <c r="F43" s="52">
        <f t="shared" si="12"/>
        <v>1.1066093902403311</v>
      </c>
      <c r="G43" s="44">
        <f>SUM(G44:G50)</f>
        <v>49678.1</v>
      </c>
      <c r="H43" s="55">
        <f t="shared" si="7"/>
        <v>1.1190550741222132</v>
      </c>
      <c r="I43" s="54">
        <f>SUM(I44:I50)</f>
        <v>22553.9</v>
      </c>
      <c r="J43" s="54">
        <f>I43/I26*100</f>
        <v>2.1802966585457009</v>
      </c>
      <c r="K43" s="55">
        <f t="shared" si="13"/>
        <v>0.45910686078134422</v>
      </c>
      <c r="L43" s="55">
        <f t="shared" si="9"/>
        <v>0.45400085752071845</v>
      </c>
      <c r="M43" s="54">
        <f t="shared" ref="M43:O43" si="15">SUM(M44:M50)</f>
        <v>22937.899999999998</v>
      </c>
      <c r="N43" s="55">
        <f t="shared" si="10"/>
        <v>1.0170258802247061</v>
      </c>
      <c r="O43" s="54">
        <f t="shared" si="15"/>
        <v>23913.200000000001</v>
      </c>
      <c r="P43" s="55">
        <f t="shared" si="11"/>
        <v>1.0425191495298176</v>
      </c>
    </row>
    <row r="44" spans="1:16" ht="18.75">
      <c r="A44" s="21">
        <v>39</v>
      </c>
      <c r="B44" s="56" t="s">
        <v>75</v>
      </c>
      <c r="C44" s="57" t="s">
        <v>25</v>
      </c>
      <c r="D44" s="36">
        <v>248.2</v>
      </c>
      <c r="E44" s="51">
        <v>250.8</v>
      </c>
      <c r="F44" s="52">
        <f t="shared" si="12"/>
        <v>1.0104754230459307</v>
      </c>
      <c r="G44" s="51">
        <v>250.8</v>
      </c>
      <c r="H44" s="55">
        <f t="shared" si="7"/>
        <v>1.0104754230459307</v>
      </c>
      <c r="I44" s="51">
        <v>250</v>
      </c>
      <c r="J44" s="51"/>
      <c r="K44" s="55">
        <f t="shared" si="13"/>
        <v>0.99681020733652304</v>
      </c>
      <c r="L44" s="55">
        <f t="shared" si="9"/>
        <v>0.99681020733652304</v>
      </c>
      <c r="M44" s="51">
        <v>250</v>
      </c>
      <c r="N44" s="55">
        <f t="shared" si="10"/>
        <v>1</v>
      </c>
      <c r="O44" s="51">
        <v>250</v>
      </c>
      <c r="P44" s="55">
        <f t="shared" si="11"/>
        <v>1</v>
      </c>
    </row>
    <row r="45" spans="1:16" ht="18.75">
      <c r="A45" s="21">
        <v>40</v>
      </c>
      <c r="B45" s="56" t="s">
        <v>150</v>
      </c>
      <c r="C45" s="57" t="s">
        <v>149</v>
      </c>
      <c r="D45" s="36"/>
      <c r="E45" s="51"/>
      <c r="F45" s="52" t="e">
        <f t="shared" si="12"/>
        <v>#DIV/0!</v>
      </c>
      <c r="G45" s="51"/>
      <c r="H45" s="55" t="e">
        <f t="shared" si="7"/>
        <v>#DIV/0!</v>
      </c>
      <c r="I45" s="51"/>
      <c r="J45" s="51"/>
      <c r="K45" s="55" t="e">
        <f t="shared" si="13"/>
        <v>#DIV/0!</v>
      </c>
      <c r="L45" s="55" t="e">
        <f t="shared" si="9"/>
        <v>#DIV/0!</v>
      </c>
      <c r="M45" s="51"/>
      <c r="N45" s="55" t="e">
        <f t="shared" si="10"/>
        <v>#DIV/0!</v>
      </c>
      <c r="O45" s="51"/>
      <c r="P45" s="55" t="e">
        <f t="shared" si="11"/>
        <v>#DIV/0!</v>
      </c>
    </row>
    <row r="46" spans="1:16" ht="18.75">
      <c r="A46" s="21">
        <v>41</v>
      </c>
      <c r="B46" s="56" t="s">
        <v>76</v>
      </c>
      <c r="C46" s="57" t="s">
        <v>26</v>
      </c>
      <c r="D46" s="36">
        <v>4437.8999999999996</v>
      </c>
      <c r="E46" s="51">
        <v>4153.6000000000004</v>
      </c>
      <c r="F46" s="52">
        <f t="shared" si="12"/>
        <v>0.93593816895378457</v>
      </c>
      <c r="G46" s="51">
        <f>4153.6+552.5</f>
        <v>4706.1000000000004</v>
      </c>
      <c r="H46" s="55">
        <f t="shared" si="7"/>
        <v>1.0604339890488745</v>
      </c>
      <c r="I46" s="51">
        <v>3773</v>
      </c>
      <c r="J46" s="51">
        <f>I46/I26*100</f>
        <v>0.36473777451761907</v>
      </c>
      <c r="K46" s="55">
        <f t="shared" si="13"/>
        <v>0.90836864406779649</v>
      </c>
      <c r="L46" s="55">
        <f t="shared" si="9"/>
        <v>0.8017254201993157</v>
      </c>
      <c r="M46" s="51">
        <v>3497.8</v>
      </c>
      <c r="N46" s="55">
        <f t="shared" si="10"/>
        <v>0.92706069440763328</v>
      </c>
      <c r="O46" s="51">
        <v>3358.8</v>
      </c>
      <c r="P46" s="55">
        <f t="shared" si="11"/>
        <v>0.96026073531934364</v>
      </c>
    </row>
    <row r="47" spans="1:16" ht="18.75">
      <c r="A47" s="21">
        <v>42</v>
      </c>
      <c r="B47" s="56" t="s">
        <v>77</v>
      </c>
      <c r="C47" s="57" t="s">
        <v>27</v>
      </c>
      <c r="D47" s="36"/>
      <c r="E47" s="51"/>
      <c r="F47" s="52" t="e">
        <f t="shared" si="12"/>
        <v>#DIV/0!</v>
      </c>
      <c r="G47" s="51"/>
      <c r="H47" s="55" t="e">
        <f t="shared" si="7"/>
        <v>#DIV/0!</v>
      </c>
      <c r="I47" s="51"/>
      <c r="J47" s="51"/>
      <c r="K47" s="55" t="e">
        <f t="shared" si="13"/>
        <v>#DIV/0!</v>
      </c>
      <c r="L47" s="55" t="e">
        <f t="shared" si="9"/>
        <v>#DIV/0!</v>
      </c>
      <c r="M47" s="51"/>
      <c r="N47" s="55" t="e">
        <f t="shared" si="10"/>
        <v>#DIV/0!</v>
      </c>
      <c r="O47" s="51"/>
      <c r="P47" s="55" t="e">
        <f t="shared" si="11"/>
        <v>#DIV/0!</v>
      </c>
    </row>
    <row r="48" spans="1:16" ht="18.75">
      <c r="A48" s="21">
        <v>43</v>
      </c>
      <c r="B48" s="56" t="s">
        <v>78</v>
      </c>
      <c r="C48" s="57" t="s">
        <v>28</v>
      </c>
      <c r="D48" s="36">
        <v>39699.9</v>
      </c>
      <c r="E48" s="51">
        <v>41654.199999999997</v>
      </c>
      <c r="F48" s="52">
        <f t="shared" si="12"/>
        <v>1.0492268242489275</v>
      </c>
      <c r="G48" s="51">
        <v>41654.199999999997</v>
      </c>
      <c r="H48" s="55">
        <f t="shared" si="7"/>
        <v>1.0492268242489275</v>
      </c>
      <c r="I48" s="51">
        <v>18093.900000000001</v>
      </c>
      <c r="J48" s="51">
        <f>I48/I26*100</f>
        <v>1.7491462545307046</v>
      </c>
      <c r="K48" s="55">
        <f t="shared" si="13"/>
        <v>0.43438356756341506</v>
      </c>
      <c r="L48" s="55">
        <f t="shared" si="9"/>
        <v>0.43438356756341506</v>
      </c>
      <c r="M48" s="51">
        <v>19182.3</v>
      </c>
      <c r="N48" s="55">
        <f t="shared" si="10"/>
        <v>1.0601528691990116</v>
      </c>
      <c r="O48" s="51">
        <v>20296.400000000001</v>
      </c>
      <c r="P48" s="55">
        <f t="shared" si="11"/>
        <v>1.0580795837829666</v>
      </c>
    </row>
    <row r="49" spans="1:16" ht="18.75">
      <c r="A49" s="21">
        <v>44</v>
      </c>
      <c r="B49" s="56" t="s">
        <v>79</v>
      </c>
      <c r="C49" s="57" t="s">
        <v>29</v>
      </c>
      <c r="D49" s="36"/>
      <c r="E49" s="51"/>
      <c r="F49" s="52" t="e">
        <f t="shared" si="12"/>
        <v>#DIV/0!</v>
      </c>
      <c r="G49" s="51"/>
      <c r="H49" s="55" t="e">
        <f t="shared" si="7"/>
        <v>#DIV/0!</v>
      </c>
      <c r="I49" s="51"/>
      <c r="J49" s="51"/>
      <c r="K49" s="55" t="e">
        <f t="shared" si="13"/>
        <v>#DIV/0!</v>
      </c>
      <c r="L49" s="55" t="e">
        <f t="shared" si="9"/>
        <v>#DIV/0!</v>
      </c>
      <c r="M49" s="51"/>
      <c r="N49" s="55" t="e">
        <f t="shared" si="10"/>
        <v>#DIV/0!</v>
      </c>
      <c r="O49" s="51"/>
      <c r="P49" s="55" t="e">
        <f t="shared" si="11"/>
        <v>#DIV/0!</v>
      </c>
    </row>
    <row r="50" spans="1:16" ht="18.75">
      <c r="A50" s="21">
        <v>45</v>
      </c>
      <c r="B50" s="56" t="s">
        <v>80</v>
      </c>
      <c r="C50" s="57" t="s">
        <v>30</v>
      </c>
      <c r="D50" s="36">
        <v>6.9</v>
      </c>
      <c r="E50" s="51">
        <v>3067</v>
      </c>
      <c r="F50" s="52">
        <f t="shared" si="12"/>
        <v>444.49275362318838</v>
      </c>
      <c r="G50" s="51">
        <v>3067</v>
      </c>
      <c r="H50" s="55">
        <f t="shared" si="7"/>
        <v>444.49275362318838</v>
      </c>
      <c r="I50" s="51">
        <v>437</v>
      </c>
      <c r="J50" s="51"/>
      <c r="K50" s="55">
        <f t="shared" si="13"/>
        <v>0.14248451255298336</v>
      </c>
      <c r="L50" s="55">
        <f t="shared" si="9"/>
        <v>0.14248451255298336</v>
      </c>
      <c r="M50" s="51">
        <v>7.8</v>
      </c>
      <c r="N50" s="55">
        <f t="shared" si="10"/>
        <v>1.7848970251716247E-2</v>
      </c>
      <c r="O50" s="51">
        <v>8</v>
      </c>
      <c r="P50" s="55">
        <f t="shared" si="11"/>
        <v>1.0256410256410258</v>
      </c>
    </row>
    <row r="51" spans="1:16" s="5" customFormat="1" ht="18.75">
      <c r="A51" s="21">
        <v>46</v>
      </c>
      <c r="B51" s="53" t="s">
        <v>81</v>
      </c>
      <c r="C51" s="42" t="s">
        <v>31</v>
      </c>
      <c r="D51" s="44">
        <f>D53+D54+D55</f>
        <v>42522.6</v>
      </c>
      <c r="E51" s="44">
        <f>E53+E54+E55</f>
        <v>50468.9</v>
      </c>
      <c r="F51" s="52">
        <f t="shared" si="12"/>
        <v>1.1868723925630136</v>
      </c>
      <c r="G51" s="44">
        <f>G53+G54+G55</f>
        <v>50634.5</v>
      </c>
      <c r="H51" s="55">
        <f t="shared" si="7"/>
        <v>1.1907667922469463</v>
      </c>
      <c r="I51" s="54">
        <f>SUM(I52:I55)</f>
        <v>5421.9</v>
      </c>
      <c r="J51" s="54">
        <f>I51/I26*100</f>
        <v>0.52413775236074178</v>
      </c>
      <c r="K51" s="55">
        <f t="shared" si="13"/>
        <v>0.10743051661518281</v>
      </c>
      <c r="L51" s="55">
        <f t="shared" si="9"/>
        <v>0.10707916539118584</v>
      </c>
      <c r="M51" s="54">
        <f t="shared" ref="M51:O51" si="16">SUM(M52:M55)</f>
        <v>6639.5</v>
      </c>
      <c r="N51" s="55">
        <f t="shared" si="10"/>
        <v>1.2245707224404729</v>
      </c>
      <c r="O51" s="54">
        <f t="shared" si="16"/>
        <v>1405.3</v>
      </c>
      <c r="P51" s="55">
        <f t="shared" si="11"/>
        <v>0.21165750433014532</v>
      </c>
    </row>
    <row r="52" spans="1:16" ht="18.75">
      <c r="A52" s="21">
        <v>47</v>
      </c>
      <c r="B52" s="56" t="s">
        <v>82</v>
      </c>
      <c r="C52" s="57" t="s">
        <v>32</v>
      </c>
      <c r="D52" s="36"/>
      <c r="E52" s="51"/>
      <c r="F52" s="52" t="e">
        <f t="shared" si="12"/>
        <v>#DIV/0!</v>
      </c>
      <c r="G52" s="51"/>
      <c r="H52" s="55" t="e">
        <f t="shared" si="7"/>
        <v>#DIV/0!</v>
      </c>
      <c r="I52" s="51"/>
      <c r="J52" s="51"/>
      <c r="K52" s="55" t="e">
        <f t="shared" si="13"/>
        <v>#DIV/0!</v>
      </c>
      <c r="L52" s="55" t="e">
        <f t="shared" si="9"/>
        <v>#DIV/0!</v>
      </c>
      <c r="M52" s="51"/>
      <c r="N52" s="55" t="e">
        <f t="shared" si="10"/>
        <v>#DIV/0!</v>
      </c>
      <c r="O52" s="51"/>
      <c r="P52" s="55" t="e">
        <f t="shared" si="11"/>
        <v>#DIV/0!</v>
      </c>
    </row>
    <row r="53" spans="1:16" ht="18.75">
      <c r="A53" s="21">
        <v>48</v>
      </c>
      <c r="B53" s="56" t="s">
        <v>83</v>
      </c>
      <c r="C53" s="57" t="s">
        <v>33</v>
      </c>
      <c r="D53" s="36">
        <v>13953.3</v>
      </c>
      <c r="E53" s="51">
        <v>17772.5</v>
      </c>
      <c r="F53" s="52">
        <f t="shared" si="12"/>
        <v>1.2737130284592175</v>
      </c>
      <c r="G53" s="51">
        <v>17772.5</v>
      </c>
      <c r="H53" s="55">
        <f t="shared" si="7"/>
        <v>1.2737130284592175</v>
      </c>
      <c r="I53" s="51">
        <v>3755.3</v>
      </c>
      <c r="J53" s="51">
        <f>I53/I26*100</f>
        <v>0.36302670677074345</v>
      </c>
      <c r="K53" s="55">
        <f t="shared" si="13"/>
        <v>0.2112983541989028</v>
      </c>
      <c r="L53" s="55">
        <f t="shared" si="9"/>
        <v>0.2112983541989028</v>
      </c>
      <c r="M53" s="51">
        <v>4634.2</v>
      </c>
      <c r="N53" s="55">
        <f t="shared" si="10"/>
        <v>1.2340425531914891</v>
      </c>
      <c r="O53" s="51">
        <v>0</v>
      </c>
      <c r="P53" s="55">
        <f t="shared" si="11"/>
        <v>0</v>
      </c>
    </row>
    <row r="54" spans="1:16" ht="18.75">
      <c r="A54" s="21">
        <v>49</v>
      </c>
      <c r="B54" s="56" t="s">
        <v>84</v>
      </c>
      <c r="C54" s="57" t="s">
        <v>34</v>
      </c>
      <c r="D54" s="36">
        <v>27276.9</v>
      </c>
      <c r="E54" s="51">
        <v>31378</v>
      </c>
      <c r="F54" s="52">
        <f t="shared" si="12"/>
        <v>1.1503506630152254</v>
      </c>
      <c r="G54" s="51">
        <v>31378</v>
      </c>
      <c r="H54" s="55">
        <f t="shared" si="7"/>
        <v>1.1503506630152254</v>
      </c>
      <c r="I54" s="51">
        <v>550</v>
      </c>
      <c r="J54" s="51"/>
      <c r="K54" s="55">
        <f t="shared" si="13"/>
        <v>1.7528204474472561E-2</v>
      </c>
      <c r="L54" s="55">
        <f t="shared" si="9"/>
        <v>1.7528204474472561E-2</v>
      </c>
      <c r="M54" s="51">
        <v>950</v>
      </c>
      <c r="N54" s="55">
        <f t="shared" si="10"/>
        <v>1.7272727272727273</v>
      </c>
      <c r="O54" s="51">
        <v>350</v>
      </c>
      <c r="P54" s="55">
        <f t="shared" si="11"/>
        <v>0.36842105263157893</v>
      </c>
    </row>
    <row r="55" spans="1:16" ht="37.5">
      <c r="A55" s="21">
        <v>50</v>
      </c>
      <c r="B55" s="56" t="s">
        <v>85</v>
      </c>
      <c r="C55" s="57" t="s">
        <v>35</v>
      </c>
      <c r="D55" s="36">
        <v>1292.4000000000001</v>
      </c>
      <c r="E55" s="51">
        <v>1318.4</v>
      </c>
      <c r="F55" s="52">
        <f t="shared" si="12"/>
        <v>1.0201176106468586</v>
      </c>
      <c r="G55" s="51">
        <f>1318.4+165.6</f>
        <v>1484</v>
      </c>
      <c r="H55" s="55">
        <f t="shared" si="7"/>
        <v>1.1482513153822345</v>
      </c>
      <c r="I55" s="51">
        <v>1116.5999999999999</v>
      </c>
      <c r="J55" s="51"/>
      <c r="K55" s="55">
        <f t="shared" si="13"/>
        <v>0.84693567961165039</v>
      </c>
      <c r="L55" s="55">
        <f t="shared" si="9"/>
        <v>0.75242587601078159</v>
      </c>
      <c r="M55" s="51">
        <v>1055.3</v>
      </c>
      <c r="N55" s="55">
        <f t="shared" si="10"/>
        <v>0.94510120007164611</v>
      </c>
      <c r="O55" s="51">
        <v>1055.3</v>
      </c>
      <c r="P55" s="55">
        <f t="shared" si="11"/>
        <v>1</v>
      </c>
    </row>
    <row r="56" spans="1:16" s="5" customFormat="1" ht="18.75">
      <c r="A56" s="21">
        <v>51</v>
      </c>
      <c r="B56" s="53" t="s">
        <v>86</v>
      </c>
      <c r="C56" s="42" t="s">
        <v>36</v>
      </c>
      <c r="D56" s="44"/>
      <c r="E56" s="54"/>
      <c r="F56" s="52" t="e">
        <f t="shared" si="12"/>
        <v>#DIV/0!</v>
      </c>
      <c r="G56" s="54"/>
      <c r="H56" s="55" t="e">
        <f t="shared" si="7"/>
        <v>#DIV/0!</v>
      </c>
      <c r="I56" s="54"/>
      <c r="J56" s="54"/>
      <c r="K56" s="55" t="e">
        <f t="shared" si="13"/>
        <v>#DIV/0!</v>
      </c>
      <c r="L56" s="55" t="e">
        <f t="shared" si="9"/>
        <v>#DIV/0!</v>
      </c>
      <c r="M56" s="54"/>
      <c r="N56" s="55" t="e">
        <f t="shared" si="10"/>
        <v>#DIV/0!</v>
      </c>
      <c r="O56" s="54"/>
      <c r="P56" s="55" t="e">
        <f t="shared" si="11"/>
        <v>#DIV/0!</v>
      </c>
    </row>
    <row r="57" spans="1:16" ht="18.75">
      <c r="A57" s="21">
        <v>52</v>
      </c>
      <c r="B57" s="56" t="s">
        <v>87</v>
      </c>
      <c r="C57" s="57" t="s">
        <v>37</v>
      </c>
      <c r="D57" s="36"/>
      <c r="E57" s="51"/>
      <c r="F57" s="52" t="e">
        <f t="shared" si="12"/>
        <v>#DIV/0!</v>
      </c>
      <c r="G57" s="51"/>
      <c r="H57" s="55" t="e">
        <f t="shared" si="7"/>
        <v>#DIV/0!</v>
      </c>
      <c r="I57" s="51"/>
      <c r="J57" s="51"/>
      <c r="K57" s="55" t="e">
        <f t="shared" si="13"/>
        <v>#DIV/0!</v>
      </c>
      <c r="L57" s="55" t="e">
        <f t="shared" si="9"/>
        <v>#DIV/0!</v>
      </c>
      <c r="M57" s="51"/>
      <c r="N57" s="55" t="e">
        <f t="shared" si="10"/>
        <v>#DIV/0!</v>
      </c>
      <c r="O57" s="51"/>
      <c r="P57" s="55" t="e">
        <f t="shared" si="11"/>
        <v>#DIV/0!</v>
      </c>
    </row>
    <row r="58" spans="1:16" ht="37.5">
      <c r="A58" s="21">
        <v>53</v>
      </c>
      <c r="B58" s="56" t="s">
        <v>88</v>
      </c>
      <c r="C58" s="57" t="s">
        <v>38</v>
      </c>
      <c r="D58" s="36"/>
      <c r="E58" s="51"/>
      <c r="F58" s="52" t="e">
        <f t="shared" si="12"/>
        <v>#DIV/0!</v>
      </c>
      <c r="G58" s="51"/>
      <c r="H58" s="55" t="e">
        <f t="shared" si="7"/>
        <v>#DIV/0!</v>
      </c>
      <c r="I58" s="51"/>
      <c r="J58" s="51"/>
      <c r="K58" s="55" t="e">
        <f t="shared" si="13"/>
        <v>#DIV/0!</v>
      </c>
      <c r="L58" s="55" t="e">
        <f t="shared" si="9"/>
        <v>#DIV/0!</v>
      </c>
      <c r="M58" s="51"/>
      <c r="N58" s="55" t="e">
        <f t="shared" si="10"/>
        <v>#DIV/0!</v>
      </c>
      <c r="O58" s="51"/>
      <c r="P58" s="55" t="e">
        <f t="shared" si="11"/>
        <v>#DIV/0!</v>
      </c>
    </row>
    <row r="59" spans="1:16" ht="18.75">
      <c r="A59" s="21">
        <v>54</v>
      </c>
      <c r="B59" s="56" t="s">
        <v>89</v>
      </c>
      <c r="C59" s="57" t="s">
        <v>39</v>
      </c>
      <c r="D59" s="36"/>
      <c r="E59" s="51"/>
      <c r="F59" s="52" t="e">
        <f t="shared" si="12"/>
        <v>#DIV/0!</v>
      </c>
      <c r="G59" s="51"/>
      <c r="H59" s="55" t="e">
        <f t="shared" si="7"/>
        <v>#DIV/0!</v>
      </c>
      <c r="I59" s="51"/>
      <c r="J59" s="51"/>
      <c r="K59" s="55" t="e">
        <f t="shared" si="13"/>
        <v>#DIV/0!</v>
      </c>
      <c r="L59" s="55" t="e">
        <f t="shared" si="9"/>
        <v>#DIV/0!</v>
      </c>
      <c r="M59" s="51"/>
      <c r="N59" s="55" t="e">
        <f t="shared" si="10"/>
        <v>#DIV/0!</v>
      </c>
      <c r="O59" s="51"/>
      <c r="P59" s="55" t="e">
        <f t="shared" si="11"/>
        <v>#DIV/0!</v>
      </c>
    </row>
    <row r="60" spans="1:16" s="5" customFormat="1" ht="18.75">
      <c r="A60" s="21">
        <v>55</v>
      </c>
      <c r="B60" s="53" t="s">
        <v>90</v>
      </c>
      <c r="C60" s="42" t="s">
        <v>40</v>
      </c>
      <c r="D60" s="44">
        <f>D61+D62+D63+D64+D65</f>
        <v>1148242.4000000001</v>
      </c>
      <c r="E60" s="44">
        <f>E61+E62+E63+E64+E65</f>
        <v>1018612.9999999999</v>
      </c>
      <c r="F60" s="52">
        <f t="shared" si="12"/>
        <v>0.88710624167858609</v>
      </c>
      <c r="G60" s="44">
        <f>G61+G62+G63+G64+G65</f>
        <v>1054619.1000000001</v>
      </c>
      <c r="H60" s="55">
        <f t="shared" si="7"/>
        <v>0.91846381913784059</v>
      </c>
      <c r="I60" s="44">
        <f t="shared" ref="I60:O60" si="17">I61+I62+I63+I64+I65</f>
        <v>769614.88</v>
      </c>
      <c r="J60" s="44">
        <f>I60/I26*100</f>
        <v>74.399050773083616</v>
      </c>
      <c r="K60" s="55">
        <f t="shared" si="13"/>
        <v>0.75555179444990406</v>
      </c>
      <c r="L60" s="55">
        <f t="shared" si="9"/>
        <v>0.72975625038461744</v>
      </c>
      <c r="M60" s="44">
        <f t="shared" si="17"/>
        <v>681368.57</v>
      </c>
      <c r="N60" s="55">
        <f t="shared" si="10"/>
        <v>0.88533705325447964</v>
      </c>
      <c r="O60" s="44">
        <f t="shared" si="17"/>
        <v>638555.3600000001</v>
      </c>
      <c r="P60" s="55">
        <f t="shared" si="11"/>
        <v>0.93716585723935009</v>
      </c>
    </row>
    <row r="61" spans="1:16" ht="18.75">
      <c r="A61" s="21">
        <v>56</v>
      </c>
      <c r="B61" s="56" t="s">
        <v>91</v>
      </c>
      <c r="C61" s="57" t="s">
        <v>41</v>
      </c>
      <c r="D61" s="36">
        <v>261287.8</v>
      </c>
      <c r="E61" s="51">
        <v>230843.3</v>
      </c>
      <c r="F61" s="52">
        <f t="shared" si="12"/>
        <v>0.88348288745207393</v>
      </c>
      <c r="G61" s="51">
        <f>230843.3+15000</f>
        <v>245843.3</v>
      </c>
      <c r="H61" s="55">
        <f t="shared" si="7"/>
        <v>0.94089084909437026</v>
      </c>
      <c r="I61" s="51">
        <v>196494.3</v>
      </c>
      <c r="J61" s="51">
        <f>I61/I26*100</f>
        <v>18.995201083328226</v>
      </c>
      <c r="K61" s="55">
        <f t="shared" si="13"/>
        <v>0.85120209250170997</v>
      </c>
      <c r="L61" s="55">
        <f t="shared" si="9"/>
        <v>0.79926644329945129</v>
      </c>
      <c r="M61" s="51">
        <v>182362.1</v>
      </c>
      <c r="N61" s="55">
        <f t="shared" si="10"/>
        <v>0.92807832084696618</v>
      </c>
      <c r="O61" s="51">
        <v>171188.7</v>
      </c>
      <c r="P61" s="55">
        <f t="shared" si="11"/>
        <v>0.93872959348461116</v>
      </c>
    </row>
    <row r="62" spans="1:16" ht="18.75">
      <c r="A62" s="21">
        <v>57</v>
      </c>
      <c r="B62" s="56" t="s">
        <v>92</v>
      </c>
      <c r="C62" s="57" t="s">
        <v>42</v>
      </c>
      <c r="D62" s="36">
        <v>662785.19999999995</v>
      </c>
      <c r="E62" s="51">
        <v>621044.4</v>
      </c>
      <c r="F62" s="52">
        <f t="shared" si="12"/>
        <v>0.93702213024672254</v>
      </c>
      <c r="G62" s="51">
        <f>621044.4+7581.1</f>
        <v>628625.5</v>
      </c>
      <c r="H62" s="55">
        <f t="shared" si="7"/>
        <v>0.94846037600115396</v>
      </c>
      <c r="I62" s="51">
        <v>449213.98</v>
      </c>
      <c r="J62" s="51">
        <f>I62/I26*100</f>
        <v>43.42573743636423</v>
      </c>
      <c r="K62" s="55">
        <f t="shared" si="13"/>
        <v>0.72332023282071289</v>
      </c>
      <c r="L62" s="55">
        <f t="shared" si="9"/>
        <v>0.71459713295117677</v>
      </c>
      <c r="M62" s="51">
        <v>378801.72</v>
      </c>
      <c r="N62" s="55">
        <f t="shared" si="10"/>
        <v>0.84325452204314744</v>
      </c>
      <c r="O62" s="51">
        <v>347846.2</v>
      </c>
      <c r="P62" s="55">
        <f t="shared" si="11"/>
        <v>0.91828041329907384</v>
      </c>
    </row>
    <row r="63" spans="1:16" ht="18.75">
      <c r="A63" s="21">
        <v>58</v>
      </c>
      <c r="B63" s="56" t="s">
        <v>93</v>
      </c>
      <c r="C63" s="57" t="s">
        <v>43</v>
      </c>
      <c r="D63" s="36">
        <v>194669</v>
      </c>
      <c r="E63" s="51">
        <v>139084.1</v>
      </c>
      <c r="F63" s="52">
        <f t="shared" si="12"/>
        <v>0.71446455265091002</v>
      </c>
      <c r="G63" s="51">
        <f>139084.1+5000</f>
        <v>144084.1</v>
      </c>
      <c r="H63" s="55">
        <f t="shared" si="7"/>
        <v>0.7401491762941198</v>
      </c>
      <c r="I63" s="84">
        <v>98079.7</v>
      </c>
      <c r="J63" s="84">
        <f>I63/I26*100</f>
        <v>9.4814130674147172</v>
      </c>
      <c r="K63" s="55">
        <f t="shared" si="13"/>
        <v>0.70518269162326963</v>
      </c>
      <c r="L63" s="55">
        <f t="shared" si="9"/>
        <v>0.68071147336867843</v>
      </c>
      <c r="M63" s="51">
        <v>95534.55</v>
      </c>
      <c r="N63" s="55">
        <f t="shared" si="10"/>
        <v>0.97405018571631041</v>
      </c>
      <c r="O63" s="51">
        <v>95212.26</v>
      </c>
      <c r="P63" s="55">
        <f t="shared" si="11"/>
        <v>0.99662645608316569</v>
      </c>
    </row>
    <row r="64" spans="1:16" ht="18.75">
      <c r="A64" s="21">
        <v>59</v>
      </c>
      <c r="B64" s="56" t="s">
        <v>94</v>
      </c>
      <c r="C64" s="57" t="s">
        <v>44</v>
      </c>
      <c r="D64" s="36">
        <v>11894.6</v>
      </c>
      <c r="E64" s="51">
        <v>100</v>
      </c>
      <c r="F64" s="52">
        <f t="shared" si="12"/>
        <v>8.4071763657458005E-3</v>
      </c>
      <c r="G64" s="51">
        <v>4422.2</v>
      </c>
      <c r="H64" s="55">
        <f t="shared" si="7"/>
        <v>0.37178215324601077</v>
      </c>
      <c r="I64" s="84">
        <v>12490.6</v>
      </c>
      <c r="J64" s="84"/>
      <c r="K64" s="55">
        <f t="shared" si="13"/>
        <v>124.90600000000001</v>
      </c>
      <c r="L64" s="55">
        <f t="shared" si="9"/>
        <v>2.8245217312649813</v>
      </c>
      <c r="M64" s="51">
        <v>11260.2</v>
      </c>
      <c r="N64" s="55">
        <f t="shared" si="10"/>
        <v>0.90149392343041967</v>
      </c>
      <c r="O64" s="51">
        <v>10911.9</v>
      </c>
      <c r="P64" s="55">
        <f t="shared" si="11"/>
        <v>0.96906804497255816</v>
      </c>
    </row>
    <row r="65" spans="1:16" ht="18.75">
      <c r="A65" s="21">
        <v>60</v>
      </c>
      <c r="B65" s="56" t="s">
        <v>95</v>
      </c>
      <c r="C65" s="57" t="s">
        <v>45</v>
      </c>
      <c r="D65" s="36">
        <v>17605.8</v>
      </c>
      <c r="E65" s="51">
        <v>27541.200000000001</v>
      </c>
      <c r="F65" s="52">
        <f t="shared" si="12"/>
        <v>1.5643253927682923</v>
      </c>
      <c r="G65" s="51">
        <f>27541.2+4102.8</f>
        <v>31644</v>
      </c>
      <c r="H65" s="55">
        <f t="shared" si="7"/>
        <v>1.7973622329005214</v>
      </c>
      <c r="I65" s="84">
        <v>13336.3</v>
      </c>
      <c r="J65" s="84"/>
      <c r="K65" s="55">
        <f t="shared" si="13"/>
        <v>0.4842308977096132</v>
      </c>
      <c r="L65" s="55">
        <f t="shared" si="9"/>
        <v>0.42144798381999743</v>
      </c>
      <c r="M65" s="51">
        <v>13410</v>
      </c>
      <c r="N65" s="55">
        <f t="shared" si="10"/>
        <v>1.0055262704048349</v>
      </c>
      <c r="O65" s="51">
        <v>13396.3</v>
      </c>
      <c r="P65" s="55">
        <f t="shared" si="11"/>
        <v>0.99897837434750181</v>
      </c>
    </row>
    <row r="66" spans="1:16" s="5" customFormat="1" ht="18.75">
      <c r="A66" s="21">
        <v>61</v>
      </c>
      <c r="B66" s="53" t="s">
        <v>96</v>
      </c>
      <c r="C66" s="42" t="s">
        <v>46</v>
      </c>
      <c r="D66" s="44">
        <f>D67+D69</f>
        <v>60697.200000000004</v>
      </c>
      <c r="E66" s="44">
        <f>E67+E69</f>
        <v>79261</v>
      </c>
      <c r="F66" s="52">
        <f t="shared" si="12"/>
        <v>1.3058427736370046</v>
      </c>
      <c r="G66" s="44">
        <f>G67+G69</f>
        <v>84261</v>
      </c>
      <c r="H66" s="55">
        <f t="shared" si="7"/>
        <v>1.3882188964235582</v>
      </c>
      <c r="I66" s="44">
        <f t="shared" ref="I66:O66" si="18">I67+I69</f>
        <v>49658.200000000004</v>
      </c>
      <c r="J66" s="44">
        <f>I66/I26*100</f>
        <v>4.8004827337797069</v>
      </c>
      <c r="K66" s="55">
        <f t="shared" si="13"/>
        <v>0.62651493168140704</v>
      </c>
      <c r="L66" s="55">
        <f t="shared" si="9"/>
        <v>0.58933789060182062</v>
      </c>
      <c r="M66" s="44">
        <f t="shared" si="18"/>
        <v>20651.559999999998</v>
      </c>
      <c r="N66" s="55">
        <f t="shared" si="10"/>
        <v>0.41587411545323827</v>
      </c>
      <c r="O66" s="44">
        <f t="shared" si="18"/>
        <v>20601.559999999998</v>
      </c>
      <c r="P66" s="55">
        <f t="shared" si="11"/>
        <v>0.9975788753973065</v>
      </c>
    </row>
    <row r="67" spans="1:16" ht="18.75">
      <c r="A67" s="21">
        <v>62</v>
      </c>
      <c r="B67" s="56" t="s">
        <v>97</v>
      </c>
      <c r="C67" s="57" t="s">
        <v>47</v>
      </c>
      <c r="D67" s="36">
        <v>55419.4</v>
      </c>
      <c r="E67" s="51">
        <v>75340.3</v>
      </c>
      <c r="F67" s="52">
        <f t="shared" si="12"/>
        <v>1.3594571576018506</v>
      </c>
      <c r="G67" s="51">
        <f>75340.3+5000</f>
        <v>80340.3</v>
      </c>
      <c r="H67" s="55">
        <f t="shared" si="7"/>
        <v>1.4496782715078114</v>
      </c>
      <c r="I67" s="84">
        <v>46383.4</v>
      </c>
      <c r="J67" s="84">
        <f>I67/I26*100</f>
        <v>4.483906199459458</v>
      </c>
      <c r="K67" s="55">
        <f t="shared" si="13"/>
        <v>0.61565191537596742</v>
      </c>
      <c r="L67" s="55">
        <f t="shared" si="9"/>
        <v>0.57733665420716629</v>
      </c>
      <c r="M67" s="51">
        <v>17877.46</v>
      </c>
      <c r="N67" s="55">
        <f t="shared" si="10"/>
        <v>0.38542797638810433</v>
      </c>
      <c r="O67" s="51">
        <v>17877.46</v>
      </c>
      <c r="P67" s="55">
        <f t="shared" si="11"/>
        <v>1</v>
      </c>
    </row>
    <row r="68" spans="1:16" ht="18.75">
      <c r="A68" s="21">
        <v>63</v>
      </c>
      <c r="B68" s="56" t="s">
        <v>98</v>
      </c>
      <c r="C68" s="57" t="s">
        <v>48</v>
      </c>
      <c r="D68" s="36"/>
      <c r="E68" s="51"/>
      <c r="F68" s="52" t="e">
        <f t="shared" si="12"/>
        <v>#DIV/0!</v>
      </c>
      <c r="G68" s="51"/>
      <c r="H68" s="55" t="e">
        <f t="shared" si="7"/>
        <v>#DIV/0!</v>
      </c>
      <c r="I68" s="84"/>
      <c r="J68" s="84"/>
      <c r="K68" s="55" t="e">
        <f t="shared" si="13"/>
        <v>#DIV/0!</v>
      </c>
      <c r="L68" s="55" t="e">
        <f t="shared" si="9"/>
        <v>#DIV/0!</v>
      </c>
      <c r="M68" s="51"/>
      <c r="N68" s="55" t="e">
        <f t="shared" si="10"/>
        <v>#DIV/0!</v>
      </c>
      <c r="O68" s="51"/>
      <c r="P68" s="55" t="e">
        <f t="shared" si="11"/>
        <v>#DIV/0!</v>
      </c>
    </row>
    <row r="69" spans="1:16" ht="18.75">
      <c r="A69" s="21">
        <v>64</v>
      </c>
      <c r="B69" s="56" t="s">
        <v>99</v>
      </c>
      <c r="C69" s="57" t="s">
        <v>49</v>
      </c>
      <c r="D69" s="36">
        <v>5277.8</v>
      </c>
      <c r="E69" s="51">
        <v>3920.7</v>
      </c>
      <c r="F69" s="52">
        <f t="shared" si="12"/>
        <v>0.74286634582591227</v>
      </c>
      <c r="G69" s="51">
        <v>3920.7</v>
      </c>
      <c r="H69" s="55">
        <f t="shared" si="7"/>
        <v>0.74286634582591227</v>
      </c>
      <c r="I69" s="84">
        <v>3274.8</v>
      </c>
      <c r="J69" s="84"/>
      <c r="K69" s="55">
        <f t="shared" si="13"/>
        <v>0.83525900987068646</v>
      </c>
      <c r="L69" s="55">
        <f t="shared" si="9"/>
        <v>0.83525900987068646</v>
      </c>
      <c r="M69" s="51">
        <v>2774.1</v>
      </c>
      <c r="N69" s="55">
        <f t="shared" si="10"/>
        <v>0.84710516672773906</v>
      </c>
      <c r="O69" s="51">
        <v>2724.1</v>
      </c>
      <c r="P69" s="55">
        <f t="shared" si="11"/>
        <v>0.98197613640459969</v>
      </c>
    </row>
    <row r="70" spans="1:16" s="5" customFormat="1" ht="18.75">
      <c r="A70" s="21">
        <v>65</v>
      </c>
      <c r="B70" s="53" t="s">
        <v>100</v>
      </c>
      <c r="C70" s="42" t="s">
        <v>50</v>
      </c>
      <c r="D70" s="44">
        <f>D71+D73+D74+D75</f>
        <v>39750.699999999997</v>
      </c>
      <c r="E70" s="44">
        <f>E71+E73+E74+E75</f>
        <v>34055.699999999997</v>
      </c>
      <c r="F70" s="52">
        <f t="shared" si="12"/>
        <v>0.85673208270546175</v>
      </c>
      <c r="G70" s="44">
        <f>G71+G73+G74+G75</f>
        <v>34055.699999999997</v>
      </c>
      <c r="H70" s="55">
        <f t="shared" si="7"/>
        <v>0.85673208270546175</v>
      </c>
      <c r="I70" s="44">
        <f t="shared" ref="I70:O70" si="19">I71+I73+I74+I75</f>
        <v>30838.6</v>
      </c>
      <c r="J70" s="44">
        <f>I70/I26*100</f>
        <v>2.9811827016271</v>
      </c>
      <c r="K70" s="55">
        <f t="shared" si="13"/>
        <v>0.90553416902310047</v>
      </c>
      <c r="L70" s="55">
        <f t="shared" si="9"/>
        <v>0.90553416902310047</v>
      </c>
      <c r="M70" s="44">
        <f t="shared" si="19"/>
        <v>30516.5</v>
      </c>
      <c r="N70" s="55">
        <f t="shared" si="10"/>
        <v>0.98955529758160232</v>
      </c>
      <c r="O70" s="44">
        <f t="shared" si="19"/>
        <v>21123</v>
      </c>
      <c r="P70" s="55">
        <f t="shared" si="11"/>
        <v>0.69218291743810723</v>
      </c>
    </row>
    <row r="71" spans="1:16" ht="18.75">
      <c r="A71" s="21">
        <v>66</v>
      </c>
      <c r="B71" s="56" t="s">
        <v>145</v>
      </c>
      <c r="C71" s="57" t="s">
        <v>147</v>
      </c>
      <c r="D71" s="36">
        <v>2649.8</v>
      </c>
      <c r="E71" s="51">
        <v>2455</v>
      </c>
      <c r="F71" s="52">
        <f t="shared" si="12"/>
        <v>0.92648501773718761</v>
      </c>
      <c r="G71" s="51">
        <v>2455</v>
      </c>
      <c r="H71" s="55">
        <f t="shared" si="7"/>
        <v>0.92648501773718761</v>
      </c>
      <c r="I71" s="84">
        <v>2500</v>
      </c>
      <c r="J71" s="84"/>
      <c r="K71" s="55">
        <f t="shared" si="13"/>
        <v>1.0183299389002036</v>
      </c>
      <c r="L71" s="55">
        <f t="shared" si="9"/>
        <v>1.0183299389002036</v>
      </c>
      <c r="M71" s="51">
        <v>2500</v>
      </c>
      <c r="N71" s="55">
        <f t="shared" si="10"/>
        <v>1</v>
      </c>
      <c r="O71" s="51">
        <v>2150</v>
      </c>
      <c r="P71" s="55">
        <f t="shared" si="11"/>
        <v>0.86</v>
      </c>
    </row>
    <row r="72" spans="1:16" ht="18.75">
      <c r="A72" s="21">
        <v>67</v>
      </c>
      <c r="B72" s="56" t="s">
        <v>146</v>
      </c>
      <c r="C72" s="57" t="s">
        <v>148</v>
      </c>
      <c r="D72" s="36"/>
      <c r="E72" s="51"/>
      <c r="F72" s="52" t="e">
        <f t="shared" si="12"/>
        <v>#DIV/0!</v>
      </c>
      <c r="G72" s="51"/>
      <c r="H72" s="55" t="e">
        <f t="shared" si="7"/>
        <v>#DIV/0!</v>
      </c>
      <c r="I72" s="84"/>
      <c r="J72" s="84"/>
      <c r="K72" s="55" t="e">
        <f t="shared" si="13"/>
        <v>#DIV/0!</v>
      </c>
      <c r="L72" s="55" t="e">
        <f t="shared" si="9"/>
        <v>#DIV/0!</v>
      </c>
      <c r="M72" s="51"/>
      <c r="N72" s="55" t="e">
        <f t="shared" si="10"/>
        <v>#DIV/0!</v>
      </c>
      <c r="O72" s="51"/>
      <c r="P72" s="55" t="e">
        <f t="shared" si="11"/>
        <v>#DIV/0!</v>
      </c>
    </row>
    <row r="73" spans="1:16" ht="18.75">
      <c r="A73" s="21">
        <v>68</v>
      </c>
      <c r="B73" s="56" t="s">
        <v>101</v>
      </c>
      <c r="C73" s="57" t="s">
        <v>51</v>
      </c>
      <c r="D73" s="36">
        <v>5466</v>
      </c>
      <c r="E73" s="51">
        <v>9657</v>
      </c>
      <c r="F73" s="52">
        <f t="shared" si="12"/>
        <v>1.7667398463227222</v>
      </c>
      <c r="G73" s="51">
        <v>9657</v>
      </c>
      <c r="H73" s="55">
        <f t="shared" si="7"/>
        <v>1.7667398463227222</v>
      </c>
      <c r="I73" s="84">
        <v>5192.1000000000004</v>
      </c>
      <c r="J73" s="84"/>
      <c r="K73" s="55">
        <f t="shared" si="13"/>
        <v>0.53765144454799629</v>
      </c>
      <c r="L73" s="55">
        <f t="shared" si="9"/>
        <v>0.53765144454799629</v>
      </c>
      <c r="M73" s="51">
        <v>5049.5</v>
      </c>
      <c r="N73" s="55">
        <f t="shared" si="10"/>
        <v>0.97253519770420438</v>
      </c>
      <c r="O73" s="51">
        <v>4928.8999999999996</v>
      </c>
      <c r="P73" s="55">
        <f t="shared" si="11"/>
        <v>0.9761164471729874</v>
      </c>
    </row>
    <row r="74" spans="1:16" ht="18.75">
      <c r="A74" s="21">
        <v>69</v>
      </c>
      <c r="B74" s="56" t="s">
        <v>102</v>
      </c>
      <c r="C74" s="57" t="s">
        <v>52</v>
      </c>
      <c r="D74" s="36">
        <v>30123.3</v>
      </c>
      <c r="E74" s="51">
        <v>21053.7</v>
      </c>
      <c r="F74" s="52">
        <f t="shared" si="12"/>
        <v>0.69891744928344512</v>
      </c>
      <c r="G74" s="51">
        <v>21053.7</v>
      </c>
      <c r="H74" s="55">
        <f t="shared" si="7"/>
        <v>0.69891744928344512</v>
      </c>
      <c r="I74" s="84">
        <v>22146.5</v>
      </c>
      <c r="J74" s="84"/>
      <c r="K74" s="55">
        <f t="shared" si="13"/>
        <v>1.0519053658026856</v>
      </c>
      <c r="L74" s="55">
        <f t="shared" si="9"/>
        <v>1.0519053658026856</v>
      </c>
      <c r="M74" s="51">
        <v>22267</v>
      </c>
      <c r="N74" s="55">
        <f t="shared" si="10"/>
        <v>1.0054410403449756</v>
      </c>
      <c r="O74" s="51">
        <v>13344.1</v>
      </c>
      <c r="P74" s="55">
        <f t="shared" si="11"/>
        <v>0.59927695693178251</v>
      </c>
    </row>
    <row r="75" spans="1:16" ht="18.75">
      <c r="A75" s="21">
        <v>70</v>
      </c>
      <c r="B75" s="56" t="s">
        <v>103</v>
      </c>
      <c r="C75" s="57" t="s">
        <v>53</v>
      </c>
      <c r="D75" s="36">
        <v>1511.6</v>
      </c>
      <c r="E75" s="51">
        <v>890</v>
      </c>
      <c r="F75" s="52">
        <f t="shared" si="12"/>
        <v>0.58878010055570262</v>
      </c>
      <c r="G75" s="51">
        <v>890</v>
      </c>
      <c r="H75" s="55">
        <f t="shared" si="7"/>
        <v>0.58878010055570262</v>
      </c>
      <c r="I75" s="84">
        <v>1000</v>
      </c>
      <c r="J75" s="84"/>
      <c r="K75" s="55">
        <f t="shared" si="13"/>
        <v>1.1235955056179776</v>
      </c>
      <c r="L75" s="55">
        <f t="shared" si="9"/>
        <v>1.1235955056179776</v>
      </c>
      <c r="M75" s="51">
        <v>700</v>
      </c>
      <c r="N75" s="55">
        <f t="shared" si="10"/>
        <v>0.7</v>
      </c>
      <c r="O75" s="51">
        <v>700</v>
      </c>
      <c r="P75" s="55">
        <f t="shared" si="11"/>
        <v>1</v>
      </c>
    </row>
    <row r="76" spans="1:16" s="5" customFormat="1" ht="18.75">
      <c r="A76" s="21">
        <v>71</v>
      </c>
      <c r="B76" s="53" t="s">
        <v>104</v>
      </c>
      <c r="C76" s="42" t="s">
        <v>54</v>
      </c>
      <c r="D76" s="44">
        <f>D77+D78+D79</f>
        <v>1483.8</v>
      </c>
      <c r="E76" s="44">
        <f>E77+E78+E79</f>
        <v>4999.3999999999996</v>
      </c>
      <c r="F76" s="52">
        <f t="shared" si="12"/>
        <v>3.3693220110527022</v>
      </c>
      <c r="G76" s="44">
        <f>G77+G78+G79</f>
        <v>4999.3999999999996</v>
      </c>
      <c r="H76" s="55">
        <f t="shared" si="7"/>
        <v>3.3693220110527022</v>
      </c>
      <c r="I76" s="44">
        <f t="shared" ref="I76:O76" si="20">I77+I78+I79</f>
        <v>1000</v>
      </c>
      <c r="J76" s="44">
        <f>I76/I26*100</f>
        <v>9.6670494173765997E-2</v>
      </c>
      <c r="K76" s="55">
        <f t="shared" si="13"/>
        <v>0.20002400288034566</v>
      </c>
      <c r="L76" s="55">
        <f t="shared" si="9"/>
        <v>0.20002400288034566</v>
      </c>
      <c r="M76" s="44">
        <f t="shared" si="20"/>
        <v>1000</v>
      </c>
      <c r="N76" s="55">
        <f t="shared" si="10"/>
        <v>1</v>
      </c>
      <c r="O76" s="44">
        <f t="shared" si="20"/>
        <v>1000</v>
      </c>
      <c r="P76" s="55">
        <f t="shared" si="11"/>
        <v>1</v>
      </c>
    </row>
    <row r="77" spans="1:16" ht="18.75">
      <c r="A77" s="21">
        <v>72</v>
      </c>
      <c r="B77" s="56" t="s">
        <v>105</v>
      </c>
      <c r="C77" s="57" t="s">
        <v>55</v>
      </c>
      <c r="D77" s="36"/>
      <c r="E77" s="51"/>
      <c r="F77" s="52" t="e">
        <f t="shared" si="12"/>
        <v>#DIV/0!</v>
      </c>
      <c r="G77" s="51"/>
      <c r="H77" s="55" t="e">
        <f t="shared" si="7"/>
        <v>#DIV/0!</v>
      </c>
      <c r="I77" s="84"/>
      <c r="J77" s="84"/>
      <c r="K77" s="55" t="e">
        <f t="shared" si="13"/>
        <v>#DIV/0!</v>
      </c>
      <c r="L77" s="55" t="e">
        <f t="shared" si="9"/>
        <v>#DIV/0!</v>
      </c>
      <c r="M77" s="51"/>
      <c r="N77" s="55" t="e">
        <f t="shared" si="10"/>
        <v>#DIV/0!</v>
      </c>
      <c r="O77" s="51"/>
      <c r="P77" s="55" t="e">
        <f t="shared" si="11"/>
        <v>#DIV/0!</v>
      </c>
    </row>
    <row r="78" spans="1:16" ht="18.75">
      <c r="A78" s="21">
        <v>73</v>
      </c>
      <c r="B78" s="56" t="s">
        <v>106</v>
      </c>
      <c r="C78" s="57" t="s">
        <v>56</v>
      </c>
      <c r="D78" s="36">
        <v>1483.8</v>
      </c>
      <c r="E78" s="51">
        <v>4999.3999999999996</v>
      </c>
      <c r="F78" s="52">
        <f t="shared" si="12"/>
        <v>3.3693220110527022</v>
      </c>
      <c r="G78" s="51">
        <v>4999.3999999999996</v>
      </c>
      <c r="H78" s="55">
        <f t="shared" si="7"/>
        <v>3.3693220110527022</v>
      </c>
      <c r="I78" s="84">
        <v>1000</v>
      </c>
      <c r="J78" s="84"/>
      <c r="K78" s="55">
        <f t="shared" si="13"/>
        <v>0.20002400288034566</v>
      </c>
      <c r="L78" s="55">
        <f t="shared" si="9"/>
        <v>0.20002400288034566</v>
      </c>
      <c r="M78" s="51">
        <v>1000</v>
      </c>
      <c r="N78" s="55">
        <f t="shared" si="10"/>
        <v>1</v>
      </c>
      <c r="O78" s="51">
        <v>1000</v>
      </c>
      <c r="P78" s="55">
        <f t="shared" si="11"/>
        <v>1</v>
      </c>
    </row>
    <row r="79" spans="1:16" ht="30.75" customHeight="1">
      <c r="A79" s="21">
        <v>74</v>
      </c>
      <c r="B79" s="56" t="s">
        <v>107</v>
      </c>
      <c r="C79" s="57" t="s">
        <v>57</v>
      </c>
      <c r="D79" s="36"/>
      <c r="E79" s="51"/>
      <c r="F79" s="52" t="e">
        <f t="shared" si="12"/>
        <v>#DIV/0!</v>
      </c>
      <c r="G79" s="51"/>
      <c r="H79" s="55" t="e">
        <f t="shared" si="7"/>
        <v>#DIV/0!</v>
      </c>
      <c r="I79" s="84"/>
      <c r="J79" s="84"/>
      <c r="K79" s="55" t="e">
        <f t="shared" si="13"/>
        <v>#DIV/0!</v>
      </c>
      <c r="L79" s="55" t="e">
        <f t="shared" si="9"/>
        <v>#DIV/0!</v>
      </c>
      <c r="M79" s="51"/>
      <c r="N79" s="55" t="e">
        <f t="shared" si="10"/>
        <v>#DIV/0!</v>
      </c>
      <c r="O79" s="51"/>
      <c r="P79" s="55" t="e">
        <f t="shared" si="11"/>
        <v>#DIV/0!</v>
      </c>
    </row>
    <row r="80" spans="1:16" s="5" customFormat="1" ht="18.75">
      <c r="A80" s="21">
        <v>75</v>
      </c>
      <c r="B80" s="53" t="s">
        <v>108</v>
      </c>
      <c r="C80" s="42" t="s">
        <v>58</v>
      </c>
      <c r="D80" s="44"/>
      <c r="E80" s="54"/>
      <c r="F80" s="52" t="e">
        <f t="shared" si="12"/>
        <v>#DIV/0!</v>
      </c>
      <c r="G80" s="54"/>
      <c r="H80" s="55" t="e">
        <f t="shared" si="7"/>
        <v>#DIV/0!</v>
      </c>
      <c r="I80" s="83"/>
      <c r="J80" s="83"/>
      <c r="K80" s="55" t="e">
        <f t="shared" si="13"/>
        <v>#DIV/0!</v>
      </c>
      <c r="L80" s="55" t="e">
        <f t="shared" si="9"/>
        <v>#DIV/0!</v>
      </c>
      <c r="M80" s="54"/>
      <c r="N80" s="55" t="e">
        <f t="shared" si="10"/>
        <v>#DIV/0!</v>
      </c>
      <c r="O80" s="54"/>
      <c r="P80" s="55" t="e">
        <f t="shared" si="11"/>
        <v>#DIV/0!</v>
      </c>
    </row>
    <row r="81" spans="1:16" ht="18.75">
      <c r="A81" s="21">
        <v>76</v>
      </c>
      <c r="B81" s="56" t="s">
        <v>109</v>
      </c>
      <c r="C81" s="57" t="s">
        <v>59</v>
      </c>
      <c r="D81" s="36"/>
      <c r="E81" s="51"/>
      <c r="F81" s="52" t="e">
        <f t="shared" si="12"/>
        <v>#DIV/0!</v>
      </c>
      <c r="G81" s="51"/>
      <c r="H81" s="55" t="e">
        <f t="shared" si="7"/>
        <v>#DIV/0!</v>
      </c>
      <c r="I81" s="84"/>
      <c r="J81" s="84"/>
      <c r="K81" s="55" t="e">
        <f t="shared" si="13"/>
        <v>#DIV/0!</v>
      </c>
      <c r="L81" s="55" t="e">
        <f t="shared" si="9"/>
        <v>#DIV/0!</v>
      </c>
      <c r="M81" s="51"/>
      <c r="N81" s="55" t="e">
        <f t="shared" si="10"/>
        <v>#DIV/0!</v>
      </c>
      <c r="O81" s="51"/>
      <c r="P81" s="55" t="e">
        <f t="shared" si="11"/>
        <v>#DIV/0!</v>
      </c>
    </row>
    <row r="82" spans="1:16" ht="18.75">
      <c r="A82" s="21">
        <v>77</v>
      </c>
      <c r="B82" s="56" t="s">
        <v>110</v>
      </c>
      <c r="C82" s="57" t="s">
        <v>60</v>
      </c>
      <c r="D82" s="36"/>
      <c r="E82" s="51"/>
      <c r="F82" s="52" t="e">
        <f t="shared" si="12"/>
        <v>#DIV/0!</v>
      </c>
      <c r="G82" s="51"/>
      <c r="H82" s="55" t="e">
        <f t="shared" si="7"/>
        <v>#DIV/0!</v>
      </c>
      <c r="I82" s="84"/>
      <c r="J82" s="84"/>
      <c r="K82" s="55" t="e">
        <f t="shared" si="13"/>
        <v>#DIV/0!</v>
      </c>
      <c r="L82" s="55" t="e">
        <f t="shared" si="9"/>
        <v>#DIV/0!</v>
      </c>
      <c r="M82" s="51"/>
      <c r="N82" s="55" t="e">
        <f t="shared" si="10"/>
        <v>#DIV/0!</v>
      </c>
      <c r="O82" s="51"/>
      <c r="P82" s="55" t="e">
        <f t="shared" si="11"/>
        <v>#DIV/0!</v>
      </c>
    </row>
    <row r="83" spans="1:16" ht="37.5">
      <c r="A83" s="21">
        <v>78</v>
      </c>
      <c r="B83" s="56" t="s">
        <v>111</v>
      </c>
      <c r="C83" s="57" t="s">
        <v>61</v>
      </c>
      <c r="D83" s="36"/>
      <c r="E83" s="51"/>
      <c r="F83" s="52" t="e">
        <f t="shared" si="12"/>
        <v>#DIV/0!</v>
      </c>
      <c r="G83" s="51"/>
      <c r="H83" s="55" t="e">
        <f t="shared" si="7"/>
        <v>#DIV/0!</v>
      </c>
      <c r="I83" s="84"/>
      <c r="J83" s="84"/>
      <c r="K83" s="55" t="e">
        <f t="shared" si="13"/>
        <v>#DIV/0!</v>
      </c>
      <c r="L83" s="55" t="e">
        <f t="shared" si="9"/>
        <v>#DIV/0!</v>
      </c>
      <c r="M83" s="51"/>
      <c r="N83" s="55" t="e">
        <f t="shared" si="10"/>
        <v>#DIV/0!</v>
      </c>
      <c r="O83" s="51"/>
      <c r="P83" s="55" t="e">
        <f t="shared" si="11"/>
        <v>#DIV/0!</v>
      </c>
    </row>
    <row r="84" spans="1:16" s="5" customFormat="1" ht="37.5">
      <c r="A84" s="21">
        <v>79</v>
      </c>
      <c r="B84" s="53" t="s">
        <v>112</v>
      </c>
      <c r="C84" s="42" t="s">
        <v>62</v>
      </c>
      <c r="D84" s="44">
        <f>D85</f>
        <v>4.2</v>
      </c>
      <c r="E84" s="54">
        <f>E85</f>
        <v>4.2</v>
      </c>
      <c r="F84" s="52">
        <f t="shared" si="12"/>
        <v>1</v>
      </c>
      <c r="G84" s="54">
        <f>G85</f>
        <v>4.2</v>
      </c>
      <c r="H84" s="55">
        <f t="shared" si="7"/>
        <v>1</v>
      </c>
      <c r="I84" s="54">
        <f t="shared" ref="I84:O84" si="21">I85</f>
        <v>4.2</v>
      </c>
      <c r="J84" s="89">
        <f>I84/I26*100</f>
        <v>4.0601607552981725E-4</v>
      </c>
      <c r="K84" s="55">
        <f t="shared" si="13"/>
        <v>1</v>
      </c>
      <c r="L84" s="55">
        <f t="shared" si="9"/>
        <v>1</v>
      </c>
      <c r="M84" s="54">
        <f t="shared" si="21"/>
        <v>4.1399999999999997</v>
      </c>
      <c r="N84" s="55">
        <f t="shared" si="10"/>
        <v>0.98571428571428554</v>
      </c>
      <c r="O84" s="54">
        <f t="shared" si="21"/>
        <v>2.04</v>
      </c>
      <c r="P84" s="55">
        <f t="shared" si="11"/>
        <v>0.49275362318840582</v>
      </c>
    </row>
    <row r="85" spans="1:16" ht="18.75">
      <c r="A85" s="21">
        <v>80</v>
      </c>
      <c r="B85" s="56" t="s">
        <v>113</v>
      </c>
      <c r="C85" s="57" t="s">
        <v>140</v>
      </c>
      <c r="D85" s="36">
        <v>4.2</v>
      </c>
      <c r="E85" s="51">
        <v>4.2</v>
      </c>
      <c r="F85" s="52">
        <f t="shared" si="12"/>
        <v>1</v>
      </c>
      <c r="G85" s="51">
        <v>4.2</v>
      </c>
      <c r="H85" s="55">
        <f t="shared" si="7"/>
        <v>1</v>
      </c>
      <c r="I85" s="84">
        <v>4.2</v>
      </c>
      <c r="J85" s="84"/>
      <c r="K85" s="55">
        <f t="shared" si="13"/>
        <v>1</v>
      </c>
      <c r="L85" s="55">
        <f t="shared" si="9"/>
        <v>1</v>
      </c>
      <c r="M85" s="51">
        <v>4.1399999999999997</v>
      </c>
      <c r="N85" s="55">
        <f t="shared" si="10"/>
        <v>0.98571428571428554</v>
      </c>
      <c r="O85" s="51">
        <v>2.04</v>
      </c>
      <c r="P85" s="55">
        <f t="shared" si="11"/>
        <v>0.49275362318840582</v>
      </c>
    </row>
    <row r="86" spans="1:16" ht="18.75">
      <c r="A86" s="21">
        <v>81</v>
      </c>
      <c r="B86" s="56" t="s">
        <v>114</v>
      </c>
      <c r="C86" s="57" t="s">
        <v>63</v>
      </c>
      <c r="D86" s="36"/>
      <c r="E86" s="51"/>
      <c r="F86" s="52" t="e">
        <f t="shared" si="12"/>
        <v>#DIV/0!</v>
      </c>
      <c r="G86" s="51"/>
      <c r="H86" s="55" t="e">
        <f t="shared" si="7"/>
        <v>#DIV/0!</v>
      </c>
      <c r="I86" s="84"/>
      <c r="J86" s="84"/>
      <c r="K86" s="55" t="e">
        <f t="shared" si="13"/>
        <v>#DIV/0!</v>
      </c>
      <c r="L86" s="55" t="e">
        <f t="shared" si="9"/>
        <v>#DIV/0!</v>
      </c>
      <c r="M86" s="51"/>
      <c r="N86" s="55" t="e">
        <f t="shared" si="10"/>
        <v>#DIV/0!</v>
      </c>
      <c r="O86" s="51"/>
      <c r="P86" s="55" t="e">
        <f t="shared" si="11"/>
        <v>#DIV/0!</v>
      </c>
    </row>
    <row r="87" spans="1:16" s="5" customFormat="1" ht="56.25">
      <c r="A87" s="21">
        <v>82</v>
      </c>
      <c r="B87" s="53" t="s">
        <v>115</v>
      </c>
      <c r="C87" s="42" t="s">
        <v>64</v>
      </c>
      <c r="D87" s="44">
        <f>D88+D90</f>
        <v>132070.70000000001</v>
      </c>
      <c r="E87" s="44">
        <f>E88+E90</f>
        <v>112629.5</v>
      </c>
      <c r="F87" s="52">
        <f t="shared" si="12"/>
        <v>0.85279702462393236</v>
      </c>
      <c r="G87" s="44">
        <f>G88+G90</f>
        <v>112629.5</v>
      </c>
      <c r="H87" s="55">
        <f t="shared" si="7"/>
        <v>0.85279702462393236</v>
      </c>
      <c r="I87" s="44">
        <f t="shared" ref="I87:O87" si="22">I88+I90</f>
        <v>87401</v>
      </c>
      <c r="J87" s="44">
        <f>I87/I26*100</f>
        <v>8.4490978612813219</v>
      </c>
      <c r="K87" s="55">
        <f t="shared" si="13"/>
        <v>0.77600451036362583</v>
      </c>
      <c r="L87" s="55">
        <f t="shared" si="9"/>
        <v>0.77600451036362583</v>
      </c>
      <c r="M87" s="44">
        <f t="shared" si="22"/>
        <v>87401</v>
      </c>
      <c r="N87" s="55">
        <f t="shared" si="10"/>
        <v>1</v>
      </c>
      <c r="O87" s="44">
        <f t="shared" si="22"/>
        <v>87401</v>
      </c>
      <c r="P87" s="55">
        <f t="shared" si="11"/>
        <v>1</v>
      </c>
    </row>
    <row r="88" spans="1:16" ht="56.25">
      <c r="A88" s="21">
        <v>83</v>
      </c>
      <c r="B88" s="56" t="s">
        <v>116</v>
      </c>
      <c r="C88" s="57" t="s">
        <v>65</v>
      </c>
      <c r="D88" s="36">
        <v>59231</v>
      </c>
      <c r="E88" s="51">
        <v>60006</v>
      </c>
      <c r="F88" s="52">
        <f t="shared" si="12"/>
        <v>1.0130843646063716</v>
      </c>
      <c r="G88" s="51">
        <v>60006</v>
      </c>
      <c r="H88" s="55">
        <f t="shared" si="7"/>
        <v>1.0130843646063716</v>
      </c>
      <c r="I88" s="84">
        <v>59785</v>
      </c>
      <c r="J88" s="84"/>
      <c r="K88" s="55">
        <f t="shared" si="13"/>
        <v>0.99631703496317037</v>
      </c>
      <c r="L88" s="55">
        <f t="shared" si="9"/>
        <v>0.99631703496317037</v>
      </c>
      <c r="M88" s="51">
        <v>59785</v>
      </c>
      <c r="N88" s="55">
        <f t="shared" si="10"/>
        <v>1</v>
      </c>
      <c r="O88" s="51">
        <v>59785</v>
      </c>
      <c r="P88" s="55">
        <f t="shared" si="11"/>
        <v>1</v>
      </c>
    </row>
    <row r="89" spans="1:16" ht="18.75">
      <c r="A89" s="21">
        <v>84</v>
      </c>
      <c r="B89" s="56" t="s">
        <v>117</v>
      </c>
      <c r="C89" s="57" t="s">
        <v>66</v>
      </c>
      <c r="D89" s="36"/>
      <c r="E89" s="51"/>
      <c r="F89" s="52" t="e">
        <f t="shared" si="12"/>
        <v>#DIV/0!</v>
      </c>
      <c r="G89" s="51"/>
      <c r="H89" s="55" t="e">
        <f t="shared" si="7"/>
        <v>#DIV/0!</v>
      </c>
      <c r="I89" s="84"/>
      <c r="J89" s="84"/>
      <c r="K89" s="55" t="e">
        <f t="shared" si="13"/>
        <v>#DIV/0!</v>
      </c>
      <c r="L89" s="55" t="e">
        <f t="shared" si="9"/>
        <v>#DIV/0!</v>
      </c>
      <c r="M89" s="51"/>
      <c r="N89" s="55" t="e">
        <f t="shared" si="10"/>
        <v>#DIV/0!</v>
      </c>
      <c r="O89" s="51"/>
      <c r="P89" s="55" t="e">
        <f t="shared" si="11"/>
        <v>#DIV/0!</v>
      </c>
    </row>
    <row r="90" spans="1:16" ht="18.75">
      <c r="A90" s="21">
        <v>85</v>
      </c>
      <c r="B90" s="56" t="s">
        <v>118</v>
      </c>
      <c r="C90" s="57" t="s">
        <v>152</v>
      </c>
      <c r="D90" s="36">
        <v>72839.7</v>
      </c>
      <c r="E90" s="51">
        <v>52623.5</v>
      </c>
      <c r="F90" s="52">
        <f t="shared" si="12"/>
        <v>0.72245629787052945</v>
      </c>
      <c r="G90" s="51">
        <v>52623.5</v>
      </c>
      <c r="H90" s="55">
        <f t="shared" si="7"/>
        <v>0.72245629787052945</v>
      </c>
      <c r="I90" s="84">
        <v>27616</v>
      </c>
      <c r="J90" s="84"/>
      <c r="K90" s="55">
        <f t="shared" si="13"/>
        <v>0.52478455442910488</v>
      </c>
      <c r="L90" s="55">
        <f t="shared" si="9"/>
        <v>0.52478455442910488</v>
      </c>
      <c r="M90" s="51">
        <v>27616</v>
      </c>
      <c r="N90" s="55">
        <f t="shared" si="10"/>
        <v>1</v>
      </c>
      <c r="O90" s="51">
        <v>27616</v>
      </c>
      <c r="P90" s="55">
        <f t="shared" si="11"/>
        <v>1</v>
      </c>
    </row>
    <row r="91" spans="1:16" ht="18.75">
      <c r="A91" s="21">
        <v>86</v>
      </c>
      <c r="B91" s="59"/>
      <c r="C91" s="57" t="s">
        <v>153</v>
      </c>
      <c r="D91" s="36"/>
      <c r="E91" s="36"/>
      <c r="F91" s="52" t="e">
        <f t="shared" si="12"/>
        <v>#DIV/0!</v>
      </c>
      <c r="G91" s="36"/>
      <c r="H91" s="55" t="e">
        <f t="shared" si="7"/>
        <v>#DIV/0!</v>
      </c>
      <c r="I91" s="85"/>
      <c r="J91" s="85"/>
      <c r="K91" s="55" t="e">
        <f t="shared" si="13"/>
        <v>#DIV/0!</v>
      </c>
      <c r="L91" s="36"/>
      <c r="M91" s="36"/>
      <c r="N91" s="55" t="e">
        <f t="shared" si="10"/>
        <v>#DIV/0!</v>
      </c>
      <c r="O91" s="36"/>
      <c r="P91" s="55" t="e">
        <f t="shared" si="11"/>
        <v>#DIV/0!</v>
      </c>
    </row>
    <row r="92" spans="1:16" s="62" customFormat="1" ht="18.75">
      <c r="A92" s="21">
        <v>87</v>
      </c>
      <c r="B92" s="61"/>
      <c r="C92" s="46" t="s">
        <v>159</v>
      </c>
      <c r="D92" s="65">
        <f>D29+D38+D43+D51+D60+D66+D70+D76+D80+D84+D87+D40</f>
        <v>1551695</v>
      </c>
      <c r="E92" s="65">
        <f>E29+E38+E43+E51+E60+E66+E70+E76+E80+E84+E87+E40</f>
        <v>1428562.5999999996</v>
      </c>
      <c r="F92" s="65" t="e">
        <f>F29+F38+F43+F51+F60+F66+F70+F76+F80+F84+F87+F40</f>
        <v>#DIV/0!</v>
      </c>
      <c r="G92" s="65">
        <f>G29+G38+G43+G51+G60+G66+G70+G76+G80+G84+G87+G40</f>
        <v>1491402.4</v>
      </c>
      <c r="H92" s="65"/>
      <c r="I92" s="65">
        <f t="shared" ref="I92:O92" si="23">I29+I38+I43+I51+I60+I66+I70+I76+I80+I84+I87+I40</f>
        <v>1034441.7799999999</v>
      </c>
      <c r="J92" s="65"/>
      <c r="K92" s="65"/>
      <c r="L92" s="65"/>
      <c r="M92" s="65">
        <f t="shared" si="23"/>
        <v>904596.57</v>
      </c>
      <c r="N92" s="65" t="e">
        <f t="shared" si="23"/>
        <v>#DIV/0!</v>
      </c>
      <c r="O92" s="65">
        <f t="shared" si="23"/>
        <v>848077.66000000015</v>
      </c>
      <c r="P92" s="63"/>
    </row>
    <row r="93" spans="1:16" s="12" customFormat="1">
      <c r="B93" s="6"/>
      <c r="C93" s="14"/>
      <c r="D93" s="17">
        <f>D92-D26</f>
        <v>0</v>
      </c>
      <c r="E93" s="17">
        <f>E92-E26</f>
        <v>0</v>
      </c>
      <c r="F93" s="17" t="e">
        <f>F92-F26</f>
        <v>#DIV/0!</v>
      </c>
      <c r="G93" s="17">
        <f>G92-G26</f>
        <v>0</v>
      </c>
      <c r="H93" s="13"/>
      <c r="I93" s="87"/>
      <c r="J93" s="87"/>
      <c r="K93" s="13"/>
      <c r="L93" s="13"/>
      <c r="M93" s="17"/>
      <c r="N93" s="13"/>
      <c r="O93" s="17"/>
      <c r="P93" s="13"/>
    </row>
    <row r="94" spans="1:16" s="12" customFormat="1">
      <c r="B94" s="6"/>
      <c r="C94" s="14"/>
      <c r="D94" s="14"/>
      <c r="F94" s="13"/>
      <c r="H94" s="13"/>
      <c r="I94" s="88"/>
      <c r="J94" s="88"/>
      <c r="K94" s="13"/>
      <c r="L94" s="13"/>
      <c r="M94" s="17"/>
      <c r="N94" s="13"/>
      <c r="O94" s="17"/>
      <c r="P94" s="13"/>
    </row>
    <row r="95" spans="1:16" s="12" customFormat="1">
      <c r="B95" s="6"/>
      <c r="C95" s="14"/>
      <c r="D95" s="17"/>
      <c r="E95" s="17"/>
      <c r="F95" s="13"/>
      <c r="G95" s="17"/>
      <c r="H95" s="13"/>
      <c r="I95" s="87"/>
      <c r="J95" s="87"/>
      <c r="K95" s="13"/>
      <c r="L95" s="13"/>
      <c r="M95" s="17"/>
      <c r="N95" s="13"/>
      <c r="O95" s="17"/>
      <c r="P95" s="13"/>
    </row>
    <row r="96" spans="1:16" s="15" customFormat="1">
      <c r="B96" s="6"/>
      <c r="C96" s="14"/>
      <c r="D96" s="14"/>
      <c r="F96" s="16"/>
      <c r="H96" s="16"/>
      <c r="I96" s="87"/>
      <c r="J96" s="87"/>
      <c r="K96" s="16"/>
      <c r="L96" s="16"/>
      <c r="M96" s="17"/>
      <c r="N96" s="16"/>
      <c r="O96" s="17"/>
      <c r="P96" s="16"/>
    </row>
    <row r="98" spans="7:7">
      <c r="G98" s="18"/>
    </row>
  </sheetData>
  <autoFilter ref="B3:P91">
    <filterColumn colId="8"/>
  </autoFilter>
  <mergeCells count="3">
    <mergeCell ref="A3:A4"/>
    <mergeCell ref="A1:O1"/>
    <mergeCell ref="E2:F2"/>
  </mergeCells>
  <pageMargins left="0.23622047244094491" right="0.23622047244094491" top="0.15748031496062992" bottom="0.15748031496062992" header="0.31496062992125984" footer="0.31496062992125984"/>
  <pageSetup paperSize="8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№ 2 Расходы</vt:lpstr>
      <vt:lpstr>'Форма № 2 Расходы'!Заголовки_для_печати</vt:lpstr>
      <vt:lpstr>'Форма № 2 Расходы'!Область_печати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ФИРСОВА ЛЮДМИЛА ВЛАДИМИРОВНА</dc:creator>
  <cp:lastModifiedBy>КСП</cp:lastModifiedBy>
  <cp:lastPrinted>2022-10-19T06:05:38Z</cp:lastPrinted>
  <dcterms:created xsi:type="dcterms:W3CDTF">2017-08-31T14:26:51Z</dcterms:created>
  <dcterms:modified xsi:type="dcterms:W3CDTF">2023-11-20T02:06:02Z</dcterms:modified>
</cp:coreProperties>
</file>