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5180" windowHeight="8595" firstSheet="2" activeTab="2"/>
  </bookViews>
  <sheets>
    <sheet name="РАСЧЕТ ИНП" sheetId="1" state="hidden" r:id="rId1"/>
    <sheet name="РАСЧЕТ ИБР" sheetId="2" state="hidden" r:id="rId2"/>
    <sheet name="РАСЧЕТ ДОТАЦИИ" sheetId="3" r:id="rId3"/>
    <sheet name="Анализ" sheetId="4" state="hidden" r:id="rId4"/>
    <sheet name="реальные полном.2022г" sheetId="5" state="hidden" r:id="rId5"/>
    <sheet name="дорожный фонд 2022 год" sheetId="6" state="hidden" r:id="rId6"/>
    <sheet name="Лист1" sheetId="7" state="hidden" r:id="rId7"/>
  </sheets>
  <externalReferences>
    <externalReference r:id="rId10"/>
    <externalReference r:id="rId11"/>
  </externalReferences>
  <definedNames>
    <definedName name="Z_56D31566_1B8C_411D_8525_E615054DAD66_.wvu.Rows" localSheetId="5" hidden="1">'дорожный фонд 2022 год'!$4:$4</definedName>
    <definedName name="_xlnm.Print_Area" localSheetId="4">'реальные полном.2022г'!$A$1:$M$21</definedName>
  </definedNames>
  <calcPr fullCalcOnLoad="1" fullPrecision="0"/>
</workbook>
</file>

<file path=xl/comments1.xml><?xml version="1.0" encoding="utf-8"?>
<comments xmlns="http://schemas.openxmlformats.org/spreadsheetml/2006/main">
  <authors>
    <author>new</author>
  </authors>
  <commentList>
    <comment ref="I6" authorId="0">
      <text>
        <r>
          <rPr>
            <b/>
            <sz val="9"/>
            <rFont val="Tahoma"/>
            <family val="2"/>
          </rPr>
          <t>new:</t>
        </r>
        <r>
          <rPr>
            <sz val="9"/>
            <rFont val="Tahoma"/>
            <family val="2"/>
          </rPr>
          <t xml:space="preserve">
от поступл в КБ ЧО
</t>
        </r>
      </text>
    </comment>
    <comment ref="M6" authorId="0">
      <text>
        <r>
          <rPr>
            <b/>
            <sz val="9"/>
            <rFont val="Tahoma"/>
            <family val="2"/>
          </rPr>
          <t>new:</t>
        </r>
        <r>
          <rPr>
            <sz val="9"/>
            <rFont val="Tahoma"/>
            <family val="2"/>
          </rPr>
          <t xml:space="preserve">
от поступл в КБ ЧО, или 90% от общего объема поступл
</t>
        </r>
      </text>
    </comment>
  </commentList>
</comments>
</file>

<file path=xl/sharedStrings.xml><?xml version="1.0" encoding="utf-8"?>
<sst xmlns="http://schemas.openxmlformats.org/spreadsheetml/2006/main" count="193" uniqueCount="135">
  <si>
    <t>налоговый потенциал (НП)</t>
  </si>
  <si>
    <r>
      <t>Налоговый потенциал (НП</t>
    </r>
    <r>
      <rPr>
        <b/>
        <vertAlign val="subscript"/>
        <sz val="10"/>
        <rFont val="Times New Roman Cyr"/>
        <family val="1"/>
      </rPr>
      <t>nk)</t>
    </r>
  </si>
  <si>
    <t>7=4*5*(6/6итог)</t>
  </si>
  <si>
    <t xml:space="preserve">Налог на доходы физических лиц </t>
  </si>
  <si>
    <r>
      <t>налоговый потенциал (НП</t>
    </r>
    <r>
      <rPr>
        <b/>
        <vertAlign val="subscript"/>
        <sz val="8"/>
        <rFont val="Times New Roman Cyr"/>
        <family val="1"/>
      </rPr>
      <t>k</t>
    </r>
    <r>
      <rPr>
        <b/>
        <sz val="8"/>
        <rFont val="Times New Roman Cyr"/>
        <family val="1"/>
      </rPr>
      <t>)</t>
    </r>
  </si>
  <si>
    <t>№</t>
  </si>
  <si>
    <r>
      <t>норматив отчисления в бюджеты муниципальных районов (Норм</t>
    </r>
    <r>
      <rPr>
        <b/>
        <vertAlign val="subscript"/>
        <sz val="8"/>
        <rFont val="Times New Roman Cyr"/>
        <family val="1"/>
      </rPr>
      <t>к)</t>
    </r>
    <r>
      <rPr>
        <b/>
        <sz val="8"/>
        <rFont val="Times New Roman Cyr"/>
        <family val="1"/>
      </rPr>
      <t>**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</si>
  <si>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</si>
  <si>
    <r>
      <t>база налого-обложения (БН</t>
    </r>
    <r>
      <rPr>
        <b/>
        <vertAlign val="subscript"/>
        <sz val="8"/>
        <rFont val="Times New Roman Cyr"/>
        <family val="1"/>
      </rPr>
      <t>nk)</t>
    </r>
    <r>
      <rPr>
        <b/>
        <sz val="8"/>
        <rFont val="Times New Roman Cyr"/>
        <family val="1"/>
      </rPr>
      <t>*</t>
    </r>
  </si>
  <si>
    <r>
      <t>норматив отчисления в бюджеты муниципаль-ных районов (Норм</t>
    </r>
    <r>
      <rPr>
        <b/>
        <vertAlign val="subscript"/>
        <sz val="9"/>
        <rFont val="Times New Roman Cyr"/>
        <family val="1"/>
      </rPr>
      <t>к)</t>
    </r>
  </si>
  <si>
    <r>
      <t>норматив отчисления в бюджеты муници-пальных районов (Норм</t>
    </r>
    <r>
      <rPr>
        <b/>
        <vertAlign val="subscript"/>
        <sz val="8"/>
        <rFont val="Times New Roman Cyr"/>
        <family val="1"/>
      </rPr>
      <t>к)</t>
    </r>
  </si>
  <si>
    <t>№ п/п</t>
  </si>
  <si>
    <t>ИНП</t>
  </si>
  <si>
    <t>Численность</t>
  </si>
  <si>
    <r>
      <t>прогноз поступлений в КБ края (ПД</t>
    </r>
    <r>
      <rPr>
        <b/>
        <vertAlign val="subscript"/>
        <sz val="8"/>
        <rFont val="Times New Roman Cyr"/>
        <family val="1"/>
      </rPr>
      <t>к)</t>
    </r>
  </si>
  <si>
    <r>
      <t>прогноз поступлений в КБ края(ПД</t>
    </r>
    <r>
      <rPr>
        <b/>
        <vertAlign val="subscript"/>
        <sz val="8"/>
        <rFont val="Times New Roman Cyr"/>
        <family val="1"/>
      </rPr>
      <t>к)</t>
    </r>
  </si>
  <si>
    <t>Наименование коэффициента</t>
  </si>
  <si>
    <t>Формула</t>
  </si>
  <si>
    <t>Показатели для расчета</t>
  </si>
  <si>
    <t>ВСЕГО</t>
  </si>
  <si>
    <t>Численность постоянного населения по состоянию на 1.01.2011 года</t>
  </si>
  <si>
    <t>Коэффициент дифференциации заработной платы</t>
  </si>
  <si>
    <t xml:space="preserve">1. </t>
  </si>
  <si>
    <t>Коэффициент дифференциации прочих расходов</t>
  </si>
  <si>
    <t>ИБР</t>
  </si>
  <si>
    <t>БО</t>
  </si>
  <si>
    <t>1 этап</t>
  </si>
  <si>
    <t>2 этап</t>
  </si>
  <si>
    <t>Наименование муниципального образования</t>
  </si>
  <si>
    <t>У(1)</t>
  </si>
  <si>
    <t>БОn</t>
  </si>
  <si>
    <t>Размер Тn</t>
  </si>
  <si>
    <t xml:space="preserve"> </t>
  </si>
  <si>
    <t xml:space="preserve">Индекс налогового потенциала (ИНП) </t>
  </si>
  <si>
    <t>Собственные доходы (налоговые, неналоговые) на 2012 год</t>
  </si>
  <si>
    <t>1а</t>
  </si>
  <si>
    <t>Всего по поселениям</t>
  </si>
  <si>
    <t>Наименование поселения</t>
  </si>
  <si>
    <t>Налог на имущество физических лиц</t>
  </si>
  <si>
    <t>Земельный налог</t>
  </si>
  <si>
    <t>Удельный вес расходов поселений на заработную плату с начисленими в общем объеме расходов поселений (доля)</t>
  </si>
  <si>
    <t>Удельный вес прочих расходов поселений в общем объеме расходов поселений (доля)</t>
  </si>
  <si>
    <t>Кзпj = 1+ Ксм</t>
  </si>
  <si>
    <t>Кзпj- коэффициент дифференциации заработной платы  j-го поселения</t>
  </si>
  <si>
    <t>КМ - коэффициент масштаба КМj = (0,6*Нj+0,4*Нсрj)/Нj</t>
  </si>
  <si>
    <t>Нj - численность постоянного населения j- го поселения</t>
  </si>
  <si>
    <t>Нсрj - средняя численность постоянного населения  j- го поселения</t>
  </si>
  <si>
    <t>КД- коэффициент дисперсности расселения в j- ом поселении КДj=1+УВj</t>
  </si>
  <si>
    <t>УВj -  удельный вес постоянного населения j-го поселения, проживающего в населенных пунктах с численностью населения менее 500 человек</t>
  </si>
  <si>
    <t>Численность населения j-го поселения, проживающего в населенных пунктах с численностью населения менее 500 человек</t>
  </si>
  <si>
    <t>Rj - расстояние от администратиного центра j- го поселения до административного центра муниципального района</t>
  </si>
  <si>
    <t>Коэффициент транспортной доступности КТДj = 1+Rj / Rср+Кj / К</t>
  </si>
  <si>
    <t>Rср - среднее расстояние от административных центров поселений до административного центра муниципального района</t>
  </si>
  <si>
    <t>К - количество населенных пунктов всех поселений, входящих в состав муниципального района</t>
  </si>
  <si>
    <t>Итого по поселениям</t>
  </si>
  <si>
    <t>Размер дотации на выравнивание бюджетной обеспеченности</t>
  </si>
  <si>
    <t>Размер подушевой дотации</t>
  </si>
  <si>
    <t>Объем дотации на выравнивание</t>
  </si>
  <si>
    <t>ПДкбмр - прогноз доходов консолидированного бюджета муниципального района</t>
  </si>
  <si>
    <t>ДПрасх - доля расходов бюджетов поселений в расходах консолидированного бюджета муниципального района</t>
  </si>
  <si>
    <t>ОДП - оценка объема налоговых и неналоговых доходов бюджетов поселений, вхлодящих в состав муниципального района в планируемом году</t>
  </si>
  <si>
    <t>Объем дотации подушевой</t>
  </si>
  <si>
    <t>Всего финансовой помощи поселениям</t>
  </si>
  <si>
    <t>Всего финансовой помощи</t>
  </si>
  <si>
    <t>Наименование поселений</t>
  </si>
  <si>
    <t>в том числе:</t>
  </si>
  <si>
    <t>Остаток средств после оплаты первоочередных расходов</t>
  </si>
  <si>
    <t>ВСЕГО:</t>
  </si>
  <si>
    <t>Дотация на выравниванеи</t>
  </si>
  <si>
    <t>Подушевая дотация</t>
  </si>
  <si>
    <t>1б</t>
  </si>
  <si>
    <t>3=1+2</t>
  </si>
  <si>
    <t>6=3-4-5</t>
  </si>
  <si>
    <t>Справочно: всего финансовой помощи в 2012 году</t>
  </si>
  <si>
    <t>КУj - коэффициент уровня урбанизации j-го поселения КУj = 1+УВГj</t>
  </si>
  <si>
    <t>УВГj - удельный вес городского населения j-го поселения</t>
  </si>
  <si>
    <t>Численность городского населения поселения</t>
  </si>
  <si>
    <t>Кj - количество населенных пунктов в j-ом поселении</t>
  </si>
  <si>
    <t>Кпрn=(КМj*КДj*КУj*КТДj)/   (КМср*КДср*КУср*КТДср)</t>
  </si>
  <si>
    <t>Внимание: заполнять только ячейки, выделенные желтым цветом!!!!!!!!</t>
  </si>
  <si>
    <t xml:space="preserve">Альбитуйское </t>
  </si>
  <si>
    <t>Архангельское</t>
  </si>
  <si>
    <t xml:space="preserve">Байхорское </t>
  </si>
  <si>
    <t>Большереченское</t>
  </si>
  <si>
    <t>Верхнешергольджинское</t>
  </si>
  <si>
    <t xml:space="preserve">Жиндойское </t>
  </si>
  <si>
    <t>Захаровское</t>
  </si>
  <si>
    <t xml:space="preserve">Красночикойское </t>
  </si>
  <si>
    <t xml:space="preserve">Коротковское </t>
  </si>
  <si>
    <t>Конкинское</t>
  </si>
  <si>
    <t>Мензинское</t>
  </si>
  <si>
    <t>Малоархангельское</t>
  </si>
  <si>
    <t xml:space="preserve">Урлукское </t>
  </si>
  <si>
    <t xml:space="preserve">Черемховское </t>
  </si>
  <si>
    <t>Шимбиликское</t>
  </si>
  <si>
    <t>Коротковское</t>
  </si>
  <si>
    <t>Предоставлено дотации на сбалансированность в течение года</t>
  </si>
  <si>
    <t>Сбалансированность на первоочередные</t>
  </si>
  <si>
    <t>Ксм- повышающий коэффициент к окладам и тарифным ставкам специалистам бюджетной сферы за работу в сельской местности</t>
  </si>
  <si>
    <t>*</t>
  </si>
  <si>
    <t>итого</t>
  </si>
  <si>
    <t>6)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законодательством;</t>
  </si>
  <si>
    <t>7) создание условий для предоставления транспортных услуг населению и организация транспортного обслуживания населения в границах поселения;</t>
  </si>
  <si>
    <t>13) 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поселения;</t>
  </si>
  <si>
    <t>15)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полосам;</t>
  </si>
  <si>
    <t>22) организация ритуальных услуг и содержание мест захоронения;</t>
  </si>
  <si>
    <t>26) осуществление мероприятий по обеспечению безопасности людей на водных объектах, охране их жизни и здоровья;</t>
  </si>
  <si>
    <t>наименование с.п.</t>
  </si>
  <si>
    <t>4) организация в границах поселения 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</si>
  <si>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Всего источников на 2017 год</t>
  </si>
  <si>
    <t>Справочно: всего финансовой помощи в 2016году</t>
  </si>
  <si>
    <t>тыс.руб.</t>
  </si>
  <si>
    <t>итого( руб.)</t>
  </si>
  <si>
    <t>8) участие в предупреждениии ликвидации последствий ЧС в границах поселений</t>
  </si>
  <si>
    <r>
      <t xml:space="preserve">20)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</t>
    </r>
    <r>
      <rPr>
        <sz val="8"/>
        <color indexed="30"/>
        <rFont val="Arial"/>
        <family val="2"/>
      </rPr>
      <t>Градостроительным кодексом</t>
    </r>
    <r>
      <rPr>
        <sz val="8"/>
        <color indexed="8"/>
        <rFont val="Arial"/>
        <family val="2"/>
      </rPr>
      <t xml:space="preserve">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</t>
    </r>
    <r>
      <rPr>
        <sz val="8"/>
        <color indexed="30"/>
        <rFont val="Arial"/>
        <family val="2"/>
      </rPr>
      <t>Градостроительным кодексом</t>
    </r>
    <r>
      <rPr>
        <sz val="8"/>
        <color indexed="8"/>
        <rFont val="Arial"/>
        <family val="2"/>
      </rPr>
      <t xml:space="preserve"> Российской Федерации, осмотров зданий, сооружений и выдача рекомендаций об устранении выявленных в ходе таких осмотров нарушений;</t>
    </r>
  </si>
  <si>
    <t>ФОТ на 2018 год</t>
  </si>
  <si>
    <t>Расходы на ЖКУ на 2018 год</t>
  </si>
  <si>
    <t>Всего источников на 2018 год</t>
  </si>
  <si>
    <t>Налоговые и неналоговые доходы на 2018 г. (ожидаемая).</t>
  </si>
  <si>
    <t xml:space="preserve">Приложение </t>
  </si>
  <si>
    <t>Протяженность автомобильных дорог (км)</t>
  </si>
  <si>
    <t>Сумма (руб.)</t>
  </si>
  <si>
    <t>Аналитическая таблица по формированию финансовой помощи бюджетам поселений муниципального района " район" на 2019 -  2020 годы</t>
  </si>
  <si>
    <t>Показатели используемые в расчете распределения средств финансовой помощи из фонда выравнивания на 2021год</t>
  </si>
  <si>
    <t>Налоговые и неналоговые доходы на 2021 г. (прогноз).</t>
  </si>
  <si>
    <t>ФОТ на 2021год</t>
  </si>
  <si>
    <t>Расходы на ЖКУ на 2021 год</t>
  </si>
  <si>
    <t>Численность населения по состоянию на 1.01.2021г.</t>
  </si>
  <si>
    <t>Расчет индекса налогового потенциала для расчета дотации на выравнивание бюджетной обеспеченности поселений на 2022 год</t>
  </si>
  <si>
    <t>инфл. 4%</t>
  </si>
  <si>
    <t>численность населения  в с.п. на 01.01.2021 года</t>
  </si>
  <si>
    <t>Сумма (т.руб.)</t>
  </si>
  <si>
    <t>Расчет дотации на выравнивание бюджетной обеспеченности поселений на 2022 год</t>
  </si>
  <si>
    <t>Расчет распределения межбюджетных трансфертов бюджетам сельских поселений из бюджета муниципального района на осуществление передаваемого полномочия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засохранностью автомобильных дорог местного значения в границах  населенных пунктов поселения, а также осуществление иныхполномочий в области использования автомобильных дорог и  осуществления дорожной деятельности в соответствии с законодательством Российской Федерации, в соответствии с заключенными соглашениями муниципального района «Красночикойский район»  на 2022 год</t>
  </si>
  <si>
    <t>Передаваемые полномочия на 2022 год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</si>
</sst>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\$#,##0\ ;\(\$#,##0\)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0.0"/>
    <numFmt numFmtId="186" formatCode="#,##0.0000"/>
    <numFmt numFmtId="187" formatCode="_-* #,##0.0_р_._-;\-* #,##0.0_р_._-;_-* &quot;-&quot;?_р_._-;_-@_-"/>
    <numFmt numFmtId="188" formatCode="_-* #,##0.000_р_._-;\-* #,##0.000_р_._-;_-* &quot;-&quot;???_р_._-;_-@_-"/>
    <numFmt numFmtId="189" formatCode="0.0%"/>
    <numFmt numFmtId="190" formatCode="#,##0.00000"/>
    <numFmt numFmtId="191" formatCode="_-* #,##0.00_р_._-;\-* #,##0.00_р_._-;_-* &quot;-&quot;???_р_._-;_-@_-"/>
    <numFmt numFmtId="192" formatCode="_-* #,##0.00_р_._-;\-* #,##0.00_р_._-;_-* &quot;-&quot;?_р_._-;_-@_-"/>
    <numFmt numFmtId="193" formatCode="_-* #,##0_р_._-;\-* #,##0_р_._-;_-* &quot;-&quot;?_р_._-;_-@_-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0.000%"/>
    <numFmt numFmtId="198" formatCode="_-* #,##0.0000_р_._-;\-* #,##0.0000_р_._-;_-* &quot;-&quot;???_р_._-;_-@_-"/>
    <numFmt numFmtId="199" formatCode="#,##0.000000"/>
    <numFmt numFmtId="200" formatCode="#,##0.0000000"/>
    <numFmt numFmtId="201" formatCode="0.0000%"/>
    <numFmt numFmtId="202" formatCode="0.00000%"/>
    <numFmt numFmtId="203" formatCode="_-* #,##0.0_р_._-;\-* #,##0.0_р_._-;_-* &quot;-&quot;???_р_._-;_-@_-"/>
    <numFmt numFmtId="204" formatCode="_-* #,##0_р_._-;\-* #,##0_р_._-;_-* &quot;-&quot;???_р_._-;_-@_-"/>
    <numFmt numFmtId="205" formatCode="0.000000%"/>
    <numFmt numFmtId="206" formatCode="_-* #,##0.000_р_._-;\-* #,##0.000_р_._-;_-* &quot;-&quot;?_р_._-;_-@_-"/>
    <numFmt numFmtId="207" formatCode="_-* #,##0.000000_р_._-;\-* #,##0.000000_р_._-;_-* &quot;-&quot;??????_р_._-;_-@_-"/>
    <numFmt numFmtId="208" formatCode="_-* #,##0.0000_р_._-;\-* #,##0.0000_р_._-;_-* &quot;-&quot;????_р_.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_ ;\-#,##0\ "/>
    <numFmt numFmtId="215" formatCode="#,##0.0_ ;\-#,##0.0\ "/>
    <numFmt numFmtId="216" formatCode="#,##0.00_р_."/>
    <numFmt numFmtId="217" formatCode="_-* #,##0.0\ _₽_-;\-* #,##0.0\ _₽_-;_-* &quot;-&quot;?\ _₽_-;_-@_-"/>
  </numFmts>
  <fonts count="88">
    <font>
      <sz val="10"/>
      <name val="Arial Cyr"/>
      <family val="0"/>
    </font>
    <font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Arial"/>
      <family val="2"/>
    </font>
    <font>
      <sz val="8"/>
      <name val="Times New Roman Cyr"/>
      <family val="1"/>
    </font>
    <font>
      <b/>
      <sz val="10"/>
      <name val="Times New Roman Cyr"/>
      <family val="1"/>
    </font>
    <font>
      <b/>
      <sz val="8"/>
      <name val="Times New Roman Cyr"/>
      <family val="1"/>
    </font>
    <font>
      <b/>
      <sz val="10"/>
      <name val="Arial Cyr"/>
      <family val="0"/>
    </font>
    <font>
      <b/>
      <vertAlign val="subscript"/>
      <sz val="10"/>
      <name val="Times New Roman Cyr"/>
      <family val="1"/>
    </font>
    <font>
      <sz val="10"/>
      <name val="Times New Roman"/>
      <family val="1"/>
    </font>
    <font>
      <b/>
      <vertAlign val="subscript"/>
      <sz val="8"/>
      <name val="Times New Roman Cyr"/>
      <family val="1"/>
    </font>
    <font>
      <b/>
      <sz val="8"/>
      <name val="Times New Roman"/>
      <family val="1"/>
    </font>
    <font>
      <b/>
      <vertAlign val="subscript"/>
      <sz val="9"/>
      <name val="Times New Roman Cyr"/>
      <family val="1"/>
    </font>
    <font>
      <sz val="8"/>
      <name val="Arial Cyr"/>
      <family val="0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8"/>
      <name val="Times New Roman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b/>
      <i/>
      <sz val="14"/>
      <color indexed="10"/>
      <name val="Times New Roman"/>
      <family val="1"/>
    </font>
    <font>
      <b/>
      <i/>
      <sz val="12"/>
      <name val="Times New Roman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sz val="10"/>
      <color indexed="8"/>
      <name val="Arial Cyr"/>
      <family val="0"/>
    </font>
    <font>
      <sz val="8"/>
      <color indexed="8"/>
      <name val="Arial"/>
      <family val="2"/>
    </font>
    <font>
      <sz val="8"/>
      <color indexed="30"/>
      <name val="Arial"/>
      <family val="2"/>
    </font>
    <font>
      <sz val="8"/>
      <name val="Arial"/>
      <family val="2"/>
    </font>
    <font>
      <b/>
      <sz val="8"/>
      <name val="Arial Cyr"/>
      <family val="0"/>
    </font>
    <font>
      <sz val="12"/>
      <color indexed="8"/>
      <name val="Times New Roman"/>
      <family val="1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 Cyr"/>
      <family val="1"/>
    </font>
    <font>
      <sz val="8"/>
      <color indexed="8"/>
      <name val="Times New Roman"/>
      <family val="1"/>
    </font>
    <font>
      <b/>
      <sz val="8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 Cyr"/>
      <family val="1"/>
    </font>
    <font>
      <sz val="8"/>
      <color theme="1"/>
      <name val="Times New Roman"/>
      <family val="1"/>
    </font>
    <font>
      <b/>
      <sz val="8"/>
      <color theme="1"/>
      <name val="Times New Roman Cyr"/>
      <family val="1"/>
    </font>
    <font>
      <sz val="12"/>
      <color theme="1"/>
      <name val="Times New Roman Cyr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8E9F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1" applyNumberFormat="0" applyFont="0" applyFill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2" applyNumberFormat="0" applyAlignment="0" applyProtection="0"/>
    <xf numFmtId="0" fontId="70" fillId="26" borderId="3" applyNumberFormat="0" applyAlignment="0" applyProtection="0"/>
    <xf numFmtId="0" fontId="71" fillId="26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27" borderId="8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81" fillId="0" borderId="10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12" fillId="0" borderId="0" xfId="0" applyFont="1" applyFill="1" applyAlignment="1">
      <alignment/>
    </xf>
    <xf numFmtId="0" fontId="4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1" xfId="0" applyFont="1" applyFill="1" applyBorder="1" applyAlignment="1">
      <alignment horizontal="center" vertical="center" wrapText="1"/>
    </xf>
    <xf numFmtId="187" fontId="12" fillId="0" borderId="0" xfId="0" applyNumberFormat="1" applyFont="1" applyFill="1" applyAlignment="1">
      <alignment/>
    </xf>
    <xf numFmtId="43" fontId="12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 wrapText="1"/>
    </xf>
    <xf numFmtId="41" fontId="19" fillId="32" borderId="11" xfId="0" applyNumberFormat="1" applyFont="1" applyFill="1" applyBorder="1" applyAlignment="1">
      <alignment/>
    </xf>
    <xf numFmtId="41" fontId="4" fillId="32" borderId="0" xfId="0" applyNumberFormat="1" applyFont="1" applyFill="1" applyAlignment="1">
      <alignment/>
    </xf>
    <xf numFmtId="0" fontId="11" fillId="32" borderId="11" xfId="66" applyFont="1" applyFill="1" applyBorder="1" applyAlignment="1">
      <alignment horizontal="center" vertical="center" wrapText="1"/>
      <protection/>
    </xf>
    <xf numFmtId="0" fontId="16" fillId="32" borderId="11" xfId="0" applyFont="1" applyFill="1" applyBorder="1" applyAlignment="1">
      <alignment/>
    </xf>
    <xf numFmtId="0" fontId="12" fillId="32" borderId="0" xfId="0" applyFont="1" applyFill="1" applyAlignment="1">
      <alignment/>
    </xf>
    <xf numFmtId="187" fontId="12" fillId="32" borderId="0" xfId="0" applyNumberFormat="1" applyFont="1" applyFill="1" applyAlignment="1">
      <alignment/>
    </xf>
    <xf numFmtId="3" fontId="21" fillId="32" borderId="11" xfId="66" applyNumberFormat="1" applyFont="1" applyFill="1" applyBorder="1" applyAlignment="1">
      <alignment wrapText="1"/>
      <protection/>
    </xf>
    <xf numFmtId="0" fontId="0" fillId="32" borderId="0" xfId="0" applyFill="1" applyAlignment="1">
      <alignment/>
    </xf>
    <xf numFmtId="0" fontId="14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4" fillId="33" borderId="11" xfId="0" applyFont="1" applyFill="1" applyBorder="1" applyAlignment="1">
      <alignment vertical="center" wrapText="1"/>
    </xf>
    <xf numFmtId="0" fontId="24" fillId="32" borderId="11" xfId="0" applyFont="1" applyFill="1" applyBorder="1" applyAlignment="1">
      <alignment vertical="center" wrapText="1"/>
    </xf>
    <xf numFmtId="0" fontId="11" fillId="34" borderId="11" xfId="66" applyFont="1" applyFill="1" applyBorder="1" applyAlignment="1">
      <alignment horizontal="center" vertical="center" wrapText="1"/>
      <protection/>
    </xf>
    <xf numFmtId="187" fontId="11" fillId="34" borderId="11" xfId="66" applyNumberFormat="1" applyFont="1" applyFill="1" applyBorder="1" applyAlignment="1">
      <alignment horizontal="center" vertical="center" wrapText="1"/>
      <protection/>
    </xf>
    <xf numFmtId="0" fontId="20" fillId="34" borderId="11" xfId="0" applyFont="1" applyFill="1" applyBorder="1" applyAlignment="1">
      <alignment horizontal="center" vertical="center" wrapText="1"/>
    </xf>
    <xf numFmtId="0" fontId="20" fillId="32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1" fontId="4" fillId="35" borderId="0" xfId="0" applyNumberFormat="1" applyFont="1" applyFill="1" applyAlignment="1">
      <alignment horizontal="center" vertical="center" wrapText="1"/>
    </xf>
    <xf numFmtId="41" fontId="4" fillId="35" borderId="0" xfId="0" applyNumberFormat="1" applyFont="1" applyFill="1" applyAlignment="1">
      <alignment/>
    </xf>
    <xf numFmtId="0" fontId="29" fillId="0" borderId="0" xfId="0" applyFont="1" applyFill="1" applyAlignment="1">
      <alignment horizontal="center" vertical="center" wrapText="1"/>
    </xf>
    <xf numFmtId="3" fontId="19" fillId="36" borderId="11" xfId="0" applyNumberFormat="1" applyFont="1" applyFill="1" applyBorder="1" applyAlignment="1">
      <alignment/>
    </xf>
    <xf numFmtId="9" fontId="21" fillId="36" borderId="11" xfId="66" applyNumberFormat="1" applyFont="1" applyFill="1" applyBorder="1" applyAlignment="1">
      <alignment wrapText="1"/>
      <protection/>
    </xf>
    <xf numFmtId="3" fontId="16" fillId="36" borderId="11" xfId="66" applyNumberFormat="1" applyFont="1" applyFill="1" applyBorder="1" applyAlignment="1">
      <alignment wrapText="1"/>
      <protection/>
    </xf>
    <xf numFmtId="0" fontId="4" fillId="4" borderId="11" xfId="0" applyFont="1" applyFill="1" applyBorder="1" applyAlignment="1">
      <alignment horizontal="center" vertical="center" wrapText="1"/>
    </xf>
    <xf numFmtId="188" fontId="24" fillId="32" borderId="11" xfId="0" applyNumberFormat="1" applyFont="1" applyFill="1" applyBorder="1" applyAlignment="1">
      <alignment vertical="center" wrapText="1"/>
    </xf>
    <xf numFmtId="0" fontId="24" fillId="32" borderId="11" xfId="0" applyNumberFormat="1" applyFont="1" applyFill="1" applyBorder="1" applyAlignment="1">
      <alignment vertical="center" wrapText="1"/>
    </xf>
    <xf numFmtId="188" fontId="24" fillId="36" borderId="11" xfId="0" applyNumberFormat="1" applyFont="1" applyFill="1" applyBorder="1" applyAlignment="1">
      <alignment vertical="center" wrapText="1"/>
    </xf>
    <xf numFmtId="0" fontId="24" fillId="33" borderId="11" xfId="0" applyNumberFormat="1" applyFont="1" applyFill="1" applyBorder="1" applyAlignment="1">
      <alignment vertical="center" wrapText="1"/>
    </xf>
    <xf numFmtId="188" fontId="24" fillId="33" borderId="11" xfId="0" applyNumberFormat="1" applyFont="1" applyFill="1" applyBorder="1" applyAlignment="1">
      <alignment vertical="center" wrapText="1"/>
    </xf>
    <xf numFmtId="41" fontId="22" fillId="35" borderId="0" xfId="0" applyNumberFormat="1" applyFont="1" applyFill="1" applyAlignment="1">
      <alignment/>
    </xf>
    <xf numFmtId="3" fontId="9" fillId="36" borderId="11" xfId="0" applyNumberFormat="1" applyFont="1" applyFill="1" applyBorder="1" applyAlignment="1">
      <alignment wrapText="1"/>
    </xf>
    <xf numFmtId="188" fontId="19" fillId="32" borderId="11" xfId="0" applyNumberFormat="1" applyFont="1" applyFill="1" applyBorder="1" applyAlignment="1">
      <alignment/>
    </xf>
    <xf numFmtId="188" fontId="31" fillId="36" borderId="11" xfId="0" applyNumberFormat="1" applyFont="1" applyFill="1" applyBorder="1" applyAlignment="1">
      <alignment vertical="center" wrapText="1"/>
    </xf>
    <xf numFmtId="3" fontId="32" fillId="32" borderId="11" xfId="66" applyNumberFormat="1" applyFont="1" applyFill="1" applyBorder="1" applyAlignment="1">
      <alignment wrapText="1"/>
      <protection/>
    </xf>
    <xf numFmtId="3" fontId="25" fillId="36" borderId="11" xfId="0" applyNumberFormat="1" applyFont="1" applyFill="1" applyBorder="1" applyAlignment="1">
      <alignment/>
    </xf>
    <xf numFmtId="9" fontId="32" fillId="36" borderId="11" xfId="66" applyNumberFormat="1" applyFont="1" applyFill="1" applyBorder="1" applyAlignment="1">
      <alignment wrapText="1"/>
      <protection/>
    </xf>
    <xf numFmtId="193" fontId="32" fillId="34" borderId="11" xfId="66" applyNumberFormat="1" applyFont="1" applyFill="1" applyBorder="1" applyAlignment="1">
      <alignment horizontal="center" wrapText="1"/>
      <protection/>
    </xf>
    <xf numFmtId="177" fontId="32" fillId="36" borderId="11" xfId="66" applyNumberFormat="1" applyFont="1" applyFill="1" applyBorder="1" applyAlignment="1">
      <alignment wrapText="1"/>
      <protection/>
    </xf>
    <xf numFmtId="177" fontId="33" fillId="32" borderId="11" xfId="66" applyNumberFormat="1" applyFont="1" applyFill="1" applyBorder="1" applyAlignment="1">
      <alignment wrapText="1"/>
      <protection/>
    </xf>
    <xf numFmtId="3" fontId="33" fillId="34" borderId="11" xfId="66" applyNumberFormat="1" applyFont="1" applyFill="1" applyBorder="1" applyAlignment="1">
      <alignment wrapText="1"/>
      <protection/>
    </xf>
    <xf numFmtId="193" fontId="33" fillId="36" borderId="11" xfId="66" applyNumberFormat="1" applyFont="1" applyFill="1" applyBorder="1" applyAlignment="1">
      <alignment horizontal="center" wrapText="1"/>
      <protection/>
    </xf>
    <xf numFmtId="193" fontId="33" fillId="34" borderId="11" xfId="66" applyNumberFormat="1" applyFont="1" applyFill="1" applyBorder="1" applyAlignment="1">
      <alignment wrapText="1"/>
      <protection/>
    </xf>
    <xf numFmtId="0" fontId="33" fillId="32" borderId="11" xfId="0" applyFont="1" applyFill="1" applyBorder="1" applyAlignment="1">
      <alignment/>
    </xf>
    <xf numFmtId="3" fontId="33" fillId="36" borderId="11" xfId="66" applyNumberFormat="1" applyFont="1" applyFill="1" applyBorder="1" applyAlignment="1">
      <alignment wrapText="1"/>
      <protection/>
    </xf>
    <xf numFmtId="193" fontId="33" fillId="32" borderId="11" xfId="66" applyNumberFormat="1" applyFont="1" applyFill="1" applyBorder="1" applyAlignment="1">
      <alignment wrapText="1"/>
      <protection/>
    </xf>
    <xf numFmtId="0" fontId="33" fillId="32" borderId="12" xfId="66" applyNumberFormat="1" applyFont="1" applyFill="1" applyBorder="1" applyAlignment="1">
      <alignment wrapText="1"/>
      <protection/>
    </xf>
    <xf numFmtId="41" fontId="25" fillId="32" borderId="11" xfId="0" applyNumberFormat="1" applyFont="1" applyFill="1" applyBorder="1" applyAlignment="1">
      <alignment horizontal="center" vertical="center" wrapText="1"/>
    </xf>
    <xf numFmtId="0" fontId="34" fillId="36" borderId="11" xfId="41" applyFont="1" applyFill="1" applyBorder="1">
      <alignment/>
      <protection/>
    </xf>
    <xf numFmtId="0" fontId="34" fillId="36" borderId="11" xfId="41" applyFont="1" applyFill="1" applyBorder="1" applyAlignment="1">
      <alignment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26" fillId="32" borderId="11" xfId="0" applyNumberFormat="1" applyFont="1" applyFill="1" applyBorder="1" applyAlignment="1">
      <alignment horizontal="center" vertical="center" wrapText="1"/>
    </xf>
    <xf numFmtId="188" fontId="26" fillId="33" borderId="11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left" vertical="center" wrapText="1"/>
    </xf>
    <xf numFmtId="183" fontId="26" fillId="0" borderId="11" xfId="0" applyNumberFormat="1" applyFont="1" applyFill="1" applyBorder="1" applyAlignment="1">
      <alignment vertical="center" wrapText="1"/>
    </xf>
    <xf numFmtId="0" fontId="26" fillId="36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33" borderId="11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6" fillId="4" borderId="11" xfId="0" applyFont="1" applyFill="1" applyBorder="1" applyAlignment="1">
      <alignment vertical="center" wrapText="1"/>
    </xf>
    <xf numFmtId="0" fontId="26" fillId="32" borderId="11" xfId="0" applyFont="1" applyFill="1" applyBorder="1" applyAlignment="1">
      <alignment vertical="center" wrapText="1"/>
    </xf>
    <xf numFmtId="184" fontId="26" fillId="32" borderId="11" xfId="0" applyNumberFormat="1" applyFont="1" applyFill="1" applyBorder="1" applyAlignment="1">
      <alignment/>
    </xf>
    <xf numFmtId="0" fontId="30" fillId="32" borderId="11" xfId="64" applyFont="1" applyFill="1" applyBorder="1" applyAlignment="1" applyProtection="1">
      <alignment horizontal="center" vertical="top"/>
      <protection hidden="1"/>
    </xf>
    <xf numFmtId="0" fontId="26" fillId="32" borderId="11" xfId="65" applyFont="1" applyFill="1" applyBorder="1" applyProtection="1">
      <alignment/>
      <protection hidden="1"/>
    </xf>
    <xf numFmtId="0" fontId="26" fillId="36" borderId="11" xfId="65" applyFont="1" applyFill="1" applyBorder="1" applyProtection="1">
      <alignment/>
      <protection hidden="1"/>
    </xf>
    <xf numFmtId="0" fontId="34" fillId="0" borderId="0" xfId="40" applyFont="1" applyFill="1" applyBorder="1">
      <alignment/>
      <protection/>
    </xf>
    <xf numFmtId="0" fontId="35" fillId="0" borderId="0" xfId="40" applyFont="1" applyFill="1" applyBorder="1" applyAlignment="1">
      <alignment horizontal="center"/>
      <protection/>
    </xf>
    <xf numFmtId="0" fontId="35" fillId="0" borderId="11" xfId="40" applyFont="1" applyFill="1" applyBorder="1" applyAlignment="1">
      <alignment horizontal="center"/>
      <protection/>
    </xf>
    <xf numFmtId="0" fontId="36" fillId="0" borderId="0" xfId="0" applyFont="1" applyAlignment="1">
      <alignment/>
    </xf>
    <xf numFmtId="0" fontId="35" fillId="32" borderId="11" xfId="40" applyFont="1" applyFill="1" applyBorder="1" applyAlignment="1">
      <alignment horizontal="center" vertical="center" wrapText="1"/>
      <protection/>
    </xf>
    <xf numFmtId="0" fontId="34" fillId="0" borderId="0" xfId="40" applyFont="1" applyFill="1" applyBorder="1" applyAlignment="1">
      <alignment horizontal="center" vertical="center" wrapText="1"/>
      <protection/>
    </xf>
    <xf numFmtId="0" fontId="34" fillId="32" borderId="11" xfId="40" applyFont="1" applyFill="1" applyBorder="1" applyAlignment="1">
      <alignment horizontal="center" vertical="center" wrapText="1"/>
      <protection/>
    </xf>
    <xf numFmtId="0" fontId="34" fillId="32" borderId="11" xfId="39" applyFont="1" applyFill="1" applyBorder="1" applyAlignment="1">
      <alignment horizontal="center" vertical="center" wrapText="1"/>
      <protection/>
    </xf>
    <xf numFmtId="0" fontId="35" fillId="32" borderId="11" xfId="40" applyFont="1" applyFill="1" applyBorder="1" applyAlignment="1">
      <alignment horizontal="center" vertical="center" wrapText="1"/>
      <protection/>
    </xf>
    <xf numFmtId="0" fontId="35" fillId="32" borderId="11" xfId="0" applyFont="1" applyFill="1" applyBorder="1" applyAlignment="1">
      <alignment horizontal="center"/>
    </xf>
    <xf numFmtId="0" fontId="34" fillId="0" borderId="11" xfId="41" applyFont="1" applyFill="1" applyBorder="1">
      <alignment/>
      <protection/>
    </xf>
    <xf numFmtId="3" fontId="34" fillId="32" borderId="11" xfId="40" applyNumberFormat="1" applyFont="1" applyFill="1" applyBorder="1" applyAlignment="1">
      <alignment horizontal="right" vertical="center" wrapText="1"/>
      <protection/>
    </xf>
    <xf numFmtId="0" fontId="36" fillId="36" borderId="11" xfId="0" applyFont="1" applyFill="1" applyBorder="1" applyAlignment="1">
      <alignment/>
    </xf>
    <xf numFmtId="3" fontId="34" fillId="36" borderId="11" xfId="40" applyNumberFormat="1" applyFont="1" applyFill="1" applyBorder="1">
      <alignment/>
      <protection/>
    </xf>
    <xf numFmtId="0" fontId="35" fillId="0" borderId="11" xfId="41" applyFont="1" applyFill="1" applyBorder="1">
      <alignment/>
      <protection/>
    </xf>
    <xf numFmtId="0" fontId="34" fillId="0" borderId="11" xfId="40" applyFont="1" applyFill="1" applyBorder="1">
      <alignment/>
      <protection/>
    </xf>
    <xf numFmtId="3" fontId="34" fillId="0" borderId="0" xfId="40" applyNumberFormat="1" applyFont="1" applyFill="1" applyBorder="1">
      <alignment/>
      <protection/>
    </xf>
    <xf numFmtId="41" fontId="33" fillId="35" borderId="0" xfId="0" applyNumberFormat="1" applyFont="1" applyFill="1" applyAlignment="1">
      <alignment/>
    </xf>
    <xf numFmtId="41" fontId="33" fillId="32" borderId="11" xfId="66" applyNumberFormat="1" applyFont="1" applyFill="1" applyBorder="1" applyAlignment="1">
      <alignment wrapText="1"/>
      <protection/>
    </xf>
    <xf numFmtId="4" fontId="34" fillId="32" borderId="11" xfId="40" applyNumberFormat="1" applyFont="1" applyFill="1" applyBorder="1" applyAlignment="1">
      <alignment horizontal="right" vertical="center" wrapText="1"/>
      <protection/>
    </xf>
    <xf numFmtId="2" fontId="34" fillId="32" borderId="11" xfId="40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37" fillId="37" borderId="11" xfId="0" applyFont="1" applyFill="1" applyBorder="1" applyAlignment="1">
      <alignment/>
    </xf>
    <xf numFmtId="0" fontId="12" fillId="37" borderId="11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wrapText="1"/>
    </xf>
    <xf numFmtId="0" fontId="38" fillId="38" borderId="11" xfId="0" applyFont="1" applyFill="1" applyBorder="1" applyAlignment="1">
      <alignment horizontal="justify"/>
    </xf>
    <xf numFmtId="0" fontId="40" fillId="38" borderId="11" xfId="0" applyFont="1" applyFill="1" applyBorder="1" applyAlignment="1">
      <alignment horizontal="justify"/>
    </xf>
    <xf numFmtId="0" fontId="84" fillId="39" borderId="11" xfId="41" applyFont="1" applyFill="1" applyBorder="1">
      <alignment/>
      <protection/>
    </xf>
    <xf numFmtId="0" fontId="84" fillId="39" borderId="11" xfId="41" applyFont="1" applyFill="1" applyBorder="1" applyAlignment="1">
      <alignment wrapText="1"/>
      <protection/>
    </xf>
    <xf numFmtId="193" fontId="85" fillId="39" borderId="11" xfId="66" applyNumberFormat="1" applyFont="1" applyFill="1" applyBorder="1" applyAlignment="1">
      <alignment wrapText="1"/>
      <protection/>
    </xf>
    <xf numFmtId="1" fontId="18" fillId="0" borderId="11" xfId="0" applyNumberFormat="1" applyFont="1" applyBorder="1" applyAlignment="1">
      <alignment/>
    </xf>
    <xf numFmtId="4" fontId="34" fillId="32" borderId="11" xfId="40" applyNumberFormat="1" applyFont="1" applyFill="1" applyBorder="1">
      <alignment/>
      <protection/>
    </xf>
    <xf numFmtId="216" fontId="34" fillId="32" borderId="11" xfId="40" applyNumberFormat="1" applyFont="1" applyFill="1" applyBorder="1" applyAlignment="1">
      <alignment horizontal="right" vertical="center" wrapText="1"/>
      <protection/>
    </xf>
    <xf numFmtId="216" fontId="34" fillId="32" borderId="11" xfId="40" applyNumberFormat="1" applyFont="1" applyFill="1" applyBorder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6" fillId="39" borderId="11" xfId="41" applyFont="1" applyFill="1" applyBorder="1">
      <alignment/>
      <protection/>
    </xf>
    <xf numFmtId="3" fontId="86" fillId="39" borderId="11" xfId="41" applyNumberFormat="1" applyFont="1" applyFill="1" applyBorder="1">
      <alignment/>
      <protection/>
    </xf>
    <xf numFmtId="1" fontId="41" fillId="0" borderId="11" xfId="0" applyNumberFormat="1" applyFont="1" applyBorder="1" applyAlignment="1">
      <alignment/>
    </xf>
    <xf numFmtId="2" fontId="37" fillId="37" borderId="11" xfId="0" applyNumberFormat="1" applyFont="1" applyFill="1" applyBorder="1" applyAlignment="1">
      <alignment/>
    </xf>
    <xf numFmtId="2" fontId="12" fillId="37" borderId="11" xfId="0" applyNumberFormat="1" applyFont="1" applyFill="1" applyBorder="1" applyAlignment="1">
      <alignment/>
    </xf>
    <xf numFmtId="0" fontId="42" fillId="0" borderId="11" xfId="0" applyFont="1" applyBorder="1" applyAlignment="1">
      <alignment horizontal="justify"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5" xfId="0" applyFont="1" applyBorder="1" applyAlignment="1">
      <alignment/>
    </xf>
    <xf numFmtId="193" fontId="23" fillId="36" borderId="11" xfId="66" applyNumberFormat="1" applyFont="1" applyFill="1" applyBorder="1" applyAlignment="1">
      <alignment horizontal="left" wrapText="1"/>
      <protection/>
    </xf>
    <xf numFmtId="9" fontId="84" fillId="39" borderId="14" xfId="41" applyNumberFormat="1" applyFont="1" applyFill="1" applyBorder="1">
      <alignment/>
      <protection/>
    </xf>
    <xf numFmtId="2" fontId="41" fillId="0" borderId="11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42" fillId="0" borderId="12" xfId="0" applyFont="1" applyBorder="1" applyAlignment="1">
      <alignment horizontal="justify"/>
    </xf>
    <xf numFmtId="0" fontId="14" fillId="0" borderId="12" xfId="0" applyFont="1" applyBorder="1" applyAlignment="1">
      <alignment/>
    </xf>
    <xf numFmtId="0" fontId="14" fillId="0" borderId="16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12" fillId="0" borderId="11" xfId="0" applyFont="1" applyBorder="1" applyAlignment="1">
      <alignment/>
    </xf>
    <xf numFmtId="9" fontId="12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1" fontId="0" fillId="0" borderId="0" xfId="0" applyNumberFormat="1" applyBorder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2" fontId="41" fillId="41" borderId="14" xfId="0" applyNumberFormat="1" applyFont="1" applyFill="1" applyBorder="1" applyAlignment="1">
      <alignment/>
    </xf>
    <xf numFmtId="1" fontId="41" fillId="0" borderId="0" xfId="0" applyNumberFormat="1" applyFont="1" applyFill="1" applyBorder="1" applyAlignment="1">
      <alignment/>
    </xf>
    <xf numFmtId="41" fontId="4" fillId="0" borderId="11" xfId="0" applyNumberFormat="1" applyFont="1" applyBorder="1" applyAlignment="1">
      <alignment horizontal="center" vertical="center" wrapText="1"/>
    </xf>
    <xf numFmtId="41" fontId="4" fillId="32" borderId="11" xfId="0" applyNumberFormat="1" applyFont="1" applyFill="1" applyBorder="1" applyAlignment="1">
      <alignment horizontal="center" vertical="center" wrapText="1"/>
    </xf>
    <xf numFmtId="0" fontId="10" fillId="32" borderId="11" xfId="66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10" fillId="34" borderId="11" xfId="66" applyFont="1" applyFill="1" applyBorder="1" applyAlignment="1">
      <alignment horizontal="center" vertical="center" wrapText="1"/>
      <protection/>
    </xf>
    <xf numFmtId="0" fontId="10" fillId="32" borderId="12" xfId="66" applyFont="1" applyFill="1" applyBorder="1" applyAlignment="1">
      <alignment horizontal="center" vertical="center" wrapText="1"/>
      <protection/>
    </xf>
    <xf numFmtId="43" fontId="10" fillId="0" borderId="11" xfId="66" applyNumberFormat="1" applyFont="1" applyFill="1" applyBorder="1" applyAlignment="1">
      <alignment horizontal="center" vertical="center" wrapText="1"/>
      <protection/>
    </xf>
    <xf numFmtId="0" fontId="28" fillId="32" borderId="0" xfId="0" applyFont="1" applyFill="1" applyAlignment="1">
      <alignment horizontal="center"/>
    </xf>
    <xf numFmtId="0" fontId="26" fillId="33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5" fillId="32" borderId="13" xfId="40" applyFont="1" applyFill="1" applyBorder="1" applyAlignment="1">
      <alignment horizontal="center" vertical="center" wrapText="1"/>
      <protection/>
    </xf>
    <xf numFmtId="0" fontId="35" fillId="32" borderId="14" xfId="40" applyFont="1" applyFill="1" applyBorder="1" applyAlignment="1">
      <alignment horizontal="center" vertical="center" wrapText="1"/>
      <protection/>
    </xf>
    <xf numFmtId="0" fontId="35" fillId="32" borderId="18" xfId="40" applyFont="1" applyFill="1" applyBorder="1" applyAlignment="1">
      <alignment horizontal="center" vertical="center" wrapText="1"/>
      <protection/>
    </xf>
    <xf numFmtId="0" fontId="35" fillId="32" borderId="13" xfId="40" applyFont="1" applyFill="1" applyBorder="1" applyAlignment="1">
      <alignment horizontal="center" vertical="center" wrapText="1"/>
      <protection/>
    </xf>
    <xf numFmtId="0" fontId="35" fillId="32" borderId="14" xfId="40" applyFont="1" applyFill="1" applyBorder="1" applyAlignment="1">
      <alignment horizontal="center" vertical="center" wrapText="1"/>
      <protection/>
    </xf>
    <xf numFmtId="0" fontId="35" fillId="32" borderId="18" xfId="40" applyFont="1" applyFill="1" applyBorder="1" applyAlignment="1">
      <alignment horizontal="center" vertical="center" wrapText="1"/>
      <protection/>
    </xf>
    <xf numFmtId="0" fontId="35" fillId="32" borderId="13" xfId="39" applyFont="1" applyFill="1" applyBorder="1" applyAlignment="1">
      <alignment horizontal="center" vertical="center" wrapText="1"/>
      <protection/>
    </xf>
    <xf numFmtId="0" fontId="35" fillId="32" borderId="14" xfId="39" applyFont="1" applyFill="1" applyBorder="1" applyAlignment="1">
      <alignment horizontal="center" vertical="center" wrapText="1"/>
      <protection/>
    </xf>
    <xf numFmtId="0" fontId="35" fillId="32" borderId="18" xfId="39" applyFont="1" applyFill="1" applyBorder="1" applyAlignment="1">
      <alignment horizontal="center" vertical="center" wrapText="1"/>
      <protection/>
    </xf>
    <xf numFmtId="0" fontId="35" fillId="32" borderId="12" xfId="40" applyFont="1" applyFill="1" applyBorder="1" applyAlignment="1">
      <alignment horizontal="center" vertical="center" wrapText="1"/>
      <protection/>
    </xf>
    <xf numFmtId="0" fontId="35" fillId="32" borderId="19" xfId="40" applyFont="1" applyFill="1" applyBorder="1" applyAlignment="1">
      <alignment horizontal="center" vertical="center" wrapText="1"/>
      <protection/>
    </xf>
    <xf numFmtId="3" fontId="35" fillId="32" borderId="11" xfId="40" applyNumberFormat="1" applyFont="1" applyFill="1" applyBorder="1" applyAlignment="1">
      <alignment horizontal="center" vertical="center" wrapText="1"/>
      <protection/>
    </xf>
    <xf numFmtId="3" fontId="35" fillId="32" borderId="13" xfId="40" applyNumberFormat="1" applyFont="1" applyFill="1" applyBorder="1" applyAlignment="1">
      <alignment horizontal="center" vertical="center" wrapText="1"/>
      <protection/>
    </xf>
    <xf numFmtId="3" fontId="35" fillId="32" borderId="14" xfId="40" applyNumberFormat="1" applyFont="1" applyFill="1" applyBorder="1" applyAlignment="1">
      <alignment horizontal="center" vertical="center" wrapText="1"/>
      <protection/>
    </xf>
    <xf numFmtId="3" fontId="35" fillId="32" borderId="18" xfId="40" applyNumberFormat="1" applyFont="1" applyFill="1" applyBorder="1" applyAlignment="1">
      <alignment horizontal="center" vertical="center" wrapText="1"/>
      <protection/>
    </xf>
    <xf numFmtId="0" fontId="35" fillId="0" borderId="20" xfId="40" applyFont="1" applyFill="1" applyBorder="1" applyAlignment="1">
      <alignment horizontal="center" wrapText="1"/>
      <protection/>
    </xf>
    <xf numFmtId="0" fontId="35" fillId="0" borderId="0" xfId="40" applyFont="1" applyFill="1" applyBorder="1" applyAlignment="1">
      <alignment horizontal="center" wrapText="1"/>
      <protection/>
    </xf>
    <xf numFmtId="0" fontId="34" fillId="38" borderId="11" xfId="40" applyFont="1" applyFill="1" applyBorder="1">
      <alignment/>
      <protection/>
    </xf>
    <xf numFmtId="0" fontId="34" fillId="6" borderId="11" xfId="40" applyFont="1" applyFill="1" applyBorder="1">
      <alignment/>
      <protection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187" fontId="36" fillId="32" borderId="11" xfId="0" applyNumberFormat="1" applyFont="1" applyFill="1" applyBorder="1" applyAlignment="1">
      <alignment horizontal="center" vertical="center" wrapText="1"/>
    </xf>
    <xf numFmtId="0" fontId="35" fillId="32" borderId="11" xfId="64" applyFont="1" applyFill="1" applyBorder="1" applyAlignment="1" applyProtection="1">
      <alignment horizontal="center" vertical="center" wrapText="1"/>
      <protection hidden="1"/>
    </xf>
    <xf numFmtId="0" fontId="36" fillId="32" borderId="11" xfId="0" applyFont="1" applyFill="1" applyBorder="1" applyAlignment="1">
      <alignment horizontal="center"/>
    </xf>
    <xf numFmtId="0" fontId="36" fillId="0" borderId="11" xfId="0" applyFont="1" applyBorder="1" applyAlignment="1">
      <alignment/>
    </xf>
    <xf numFmtId="0" fontId="35" fillId="32" borderId="11" xfId="64" applyFont="1" applyFill="1" applyBorder="1" applyAlignment="1" applyProtection="1">
      <alignment horizontal="center" vertical="top"/>
      <protection hidden="1"/>
    </xf>
    <xf numFmtId="0" fontId="35" fillId="32" borderId="11" xfId="64" applyFont="1" applyFill="1" applyBorder="1" applyAlignment="1" applyProtection="1">
      <alignment horizontal="center"/>
      <protection hidden="1"/>
    </xf>
    <xf numFmtId="0" fontId="23" fillId="32" borderId="11" xfId="65" applyFont="1" applyFill="1" applyBorder="1" applyProtection="1">
      <alignment/>
      <protection hidden="1"/>
    </xf>
    <xf numFmtId="0" fontId="23" fillId="36" borderId="11" xfId="65" applyFont="1" applyFill="1" applyBorder="1" applyProtection="1">
      <alignment/>
      <protection hidden="1"/>
    </xf>
    <xf numFmtId="188" fontId="36" fillId="32" borderId="11" xfId="0" applyNumberFormat="1" applyFont="1" applyFill="1" applyBorder="1" applyAlignment="1">
      <alignment horizontal="center" vertical="center" wrapText="1"/>
    </xf>
    <xf numFmtId="41" fontId="36" fillId="32" borderId="11" xfId="0" applyNumberFormat="1" applyFont="1" applyFill="1" applyBorder="1" applyAlignment="1">
      <alignment horizontal="center" vertical="center" wrapText="1"/>
    </xf>
    <xf numFmtId="187" fontId="36" fillId="32" borderId="11" xfId="0" applyNumberFormat="1" applyFont="1" applyFill="1" applyBorder="1" applyAlignment="1">
      <alignment/>
    </xf>
    <xf numFmtId="187" fontId="36" fillId="0" borderId="0" xfId="0" applyNumberFormat="1" applyFont="1" applyAlignment="1">
      <alignment/>
    </xf>
    <xf numFmtId="43" fontId="36" fillId="0" borderId="0" xfId="0" applyNumberFormat="1" applyFont="1" applyFill="1" applyBorder="1" applyAlignment="1">
      <alignment horizontal="center" vertical="center" wrapText="1"/>
    </xf>
    <xf numFmtId="185" fontId="36" fillId="32" borderId="0" xfId="0" applyNumberFormat="1" applyFont="1" applyFill="1" applyAlignment="1">
      <alignment/>
    </xf>
    <xf numFmtId="0" fontId="28" fillId="33" borderId="11" xfId="0" applyFont="1" applyFill="1" applyBorder="1" applyAlignment="1">
      <alignment horizontal="left" wrapText="1"/>
    </xf>
    <xf numFmtId="41" fontId="25" fillId="32" borderId="11" xfId="0" applyNumberFormat="1" applyFont="1" applyFill="1" applyBorder="1" applyAlignment="1">
      <alignment horizontal="center"/>
    </xf>
    <xf numFmtId="187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43" fontId="36" fillId="0" borderId="0" xfId="0" applyNumberFormat="1" applyFont="1" applyFill="1" applyBorder="1" applyAlignment="1">
      <alignment/>
    </xf>
    <xf numFmtId="0" fontId="36" fillId="32" borderId="0" xfId="0" applyFont="1" applyFill="1" applyAlignment="1">
      <alignment/>
    </xf>
    <xf numFmtId="0" fontId="36" fillId="32" borderId="11" xfId="0" applyFont="1" applyFill="1" applyBorder="1" applyAlignment="1">
      <alignment wrapText="1"/>
    </xf>
    <xf numFmtId="41" fontId="25" fillId="36" borderId="11" xfId="0" applyNumberFormat="1" applyFont="1" applyFill="1" applyBorder="1" applyAlignment="1">
      <alignment horizontal="center"/>
    </xf>
    <xf numFmtId="0" fontId="36" fillId="0" borderId="0" xfId="0" applyFont="1" applyAlignment="1">
      <alignment wrapText="1"/>
    </xf>
    <xf numFmtId="0" fontId="36" fillId="0" borderId="0" xfId="0" applyFont="1" applyFill="1" applyBorder="1" applyAlignment="1">
      <alignment wrapText="1"/>
    </xf>
    <xf numFmtId="188" fontId="25" fillId="36" borderId="11" xfId="0" applyNumberFormat="1" applyFont="1" applyFill="1" applyBorder="1" applyAlignment="1">
      <alignment horizontal="center"/>
    </xf>
    <xf numFmtId="41" fontId="36" fillId="32" borderId="11" xfId="0" applyNumberFormat="1" applyFont="1" applyFill="1" applyBorder="1" applyAlignment="1">
      <alignment horizontal="center"/>
    </xf>
    <xf numFmtId="0" fontId="36" fillId="0" borderId="0" xfId="0" applyFont="1" applyBorder="1" applyAlignment="1">
      <alignment/>
    </xf>
    <xf numFmtId="43" fontId="36" fillId="0" borderId="0" xfId="0" applyNumberFormat="1" applyFont="1" applyAlignment="1">
      <alignment/>
    </xf>
    <xf numFmtId="0" fontId="28" fillId="33" borderId="11" xfId="0" applyFont="1" applyFill="1" applyBorder="1" applyAlignment="1">
      <alignment horizontal="left"/>
    </xf>
    <xf numFmtId="0" fontId="36" fillId="36" borderId="11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left"/>
    </xf>
    <xf numFmtId="0" fontId="28" fillId="33" borderId="19" xfId="0" applyFont="1" applyFill="1" applyBorder="1" applyAlignment="1">
      <alignment horizontal="left"/>
    </xf>
    <xf numFmtId="41" fontId="36" fillId="33" borderId="11" xfId="0" applyNumberFormat="1" applyFont="1" applyFill="1" applyBorder="1" applyAlignment="1">
      <alignment horizontal="center"/>
    </xf>
    <xf numFmtId="41" fontId="33" fillId="38" borderId="0" xfId="0" applyNumberFormat="1" applyFont="1" applyFill="1" applyAlignment="1">
      <alignment/>
    </xf>
    <xf numFmtId="0" fontId="36" fillId="38" borderId="0" xfId="0" applyFont="1" applyFill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1" fontId="36" fillId="32" borderId="12" xfId="0" applyNumberFormat="1" applyFont="1" applyFill="1" applyBorder="1" applyAlignment="1">
      <alignment horizontal="center" vertical="center" wrapText="1"/>
    </xf>
    <xf numFmtId="1" fontId="23" fillId="32" borderId="12" xfId="65" applyNumberFormat="1" applyFont="1" applyFill="1" applyBorder="1" applyProtection="1">
      <alignment/>
      <protection hidden="1"/>
    </xf>
    <xf numFmtId="188" fontId="36" fillId="32" borderId="19" xfId="0" applyNumberFormat="1" applyFont="1" applyFill="1" applyBorder="1" applyAlignment="1">
      <alignment horizontal="center" vertical="center" wrapText="1"/>
    </xf>
    <xf numFmtId="0" fontId="35" fillId="32" borderId="13" xfId="64" applyFont="1" applyFill="1" applyBorder="1" applyAlignment="1" applyProtection="1">
      <alignment horizontal="center" vertical="top"/>
      <protection hidden="1"/>
    </xf>
    <xf numFmtId="43" fontId="36" fillId="36" borderId="0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2" fontId="46" fillId="36" borderId="11" xfId="40" applyNumberFormat="1" applyFont="1" applyFill="1" applyBorder="1" applyAlignment="1">
      <alignment horizontal="right" vertical="center" wrapText="1"/>
      <protection/>
    </xf>
    <xf numFmtId="187" fontId="36" fillId="38" borderId="11" xfId="0" applyNumberFormat="1" applyFont="1" applyFill="1" applyBorder="1" applyAlignment="1">
      <alignment/>
    </xf>
    <xf numFmtId="41" fontId="36" fillId="38" borderId="11" xfId="0" applyNumberFormat="1" applyFont="1" applyFill="1" applyBorder="1" applyAlignment="1">
      <alignment horizontal="center" vertical="center" wrapText="1"/>
    </xf>
    <xf numFmtId="1" fontId="46" fillId="38" borderId="11" xfId="0" applyNumberFormat="1" applyFont="1" applyFill="1" applyBorder="1" applyAlignment="1">
      <alignment/>
    </xf>
    <xf numFmtId="0" fontId="87" fillId="42" borderId="11" xfId="41" applyFont="1" applyFill="1" applyBorder="1" applyAlignment="1">
      <alignment horizontal="left"/>
      <protection/>
    </xf>
    <xf numFmtId="0" fontId="26" fillId="42" borderId="11" xfId="65" applyFont="1" applyFill="1" applyBorder="1" applyProtection="1">
      <alignment/>
      <protection hidden="1"/>
    </xf>
    <xf numFmtId="0" fontId="42" fillId="0" borderId="11" xfId="0" applyFont="1" applyBorder="1" applyAlignment="1">
      <alignment horizontal="center" wrapText="1"/>
    </xf>
    <xf numFmtId="2" fontId="34" fillId="0" borderId="0" xfId="40" applyNumberFormat="1" applyFont="1" applyFill="1" applyBorder="1">
      <alignment/>
      <protection/>
    </xf>
    <xf numFmtId="0" fontId="26" fillId="38" borderId="11" xfId="65" applyFont="1" applyFill="1" applyBorder="1" applyProtection="1">
      <alignment/>
      <protection hidden="1"/>
    </xf>
    <xf numFmtId="0" fontId="4" fillId="38" borderId="15" xfId="0" applyFont="1" applyFill="1" applyBorder="1" applyAlignment="1">
      <alignment/>
    </xf>
    <xf numFmtId="1" fontId="4" fillId="38" borderId="21" xfId="0" applyNumberFormat="1" applyFont="1" applyFill="1" applyBorder="1" applyAlignment="1">
      <alignment/>
    </xf>
    <xf numFmtId="0" fontId="12" fillId="38" borderId="11" xfId="0" applyFont="1" applyFill="1" applyBorder="1" applyAlignment="1">
      <alignment/>
    </xf>
    <xf numFmtId="1" fontId="14" fillId="38" borderId="12" xfId="0" applyNumberFormat="1" applyFont="1" applyFill="1" applyBorder="1" applyAlignment="1">
      <alignment/>
    </xf>
    <xf numFmtId="1" fontId="41" fillId="38" borderId="11" xfId="0" applyNumberFormat="1" applyFont="1" applyFill="1" applyBorder="1" applyAlignment="1">
      <alignment/>
    </xf>
    <xf numFmtId="1" fontId="43" fillId="38" borderId="14" xfId="0" applyNumberFormat="1" applyFont="1" applyFill="1" applyBorder="1" applyAlignment="1">
      <alignment/>
    </xf>
    <xf numFmtId="1" fontId="43" fillId="43" borderId="0" xfId="0" applyNumberFormat="1" applyFont="1" applyFill="1" applyAlignment="1">
      <alignment/>
    </xf>
    <xf numFmtId="0" fontId="4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41" fontId="36" fillId="44" borderId="11" xfId="0" applyNumberFormat="1" applyFont="1" applyFill="1" applyBorder="1" applyAlignment="1">
      <alignment horizontal="center" vertical="center" wrapText="1"/>
    </xf>
    <xf numFmtId="187" fontId="36" fillId="44" borderId="11" xfId="0" applyNumberFormat="1" applyFont="1" applyFill="1" applyBorder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002-rev-wod" xfId="39"/>
    <cellStyle name="Normal_own-reg-rev" xfId="40"/>
    <cellStyle name="Normal_Regional Data for IGR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3" xfId="63"/>
    <cellStyle name="Обычный_Лист1" xfId="64"/>
    <cellStyle name="Обычный_Лист2" xfId="65"/>
    <cellStyle name="Обычный_пр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da_uryadnikov\C\DOCUME~1\USER\LOCALS~1\Temp\Rar$DI01.047\&#1041;&#1072;&#1083;&#1077;&#1081;&#1089;&#1082;&#1080;&#1081;_&#1088;&#1072;&#1081;&#1086;&#1085;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&#1043;&#1083;&#1072;&#1074;&#1085;&#1099;&#1081;%20&#1089;&#1087;&#1077;&#1094;&#1080;&#1072;&#1083;&#1080;&#1089;&#1090;\Documents\&#1073;&#1102;&#1076;&#1078;&#1077;&#1090;%202021\&#1084;&#1086;&#1076;&#1077;&#1083;&#110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"/>
      <sheetName val="Ввод"/>
      <sheetName val="Данные"/>
      <sheetName val="Базы"/>
      <sheetName val="НП поселений"/>
      <sheetName val="РАСЧЕТ"/>
      <sheetName val="РЕЗУЛЬТАТ"/>
      <sheetName val="Диаграммы"/>
      <sheetName val="Рис 1"/>
      <sheetName val="Рис 2"/>
      <sheetName val="Рис 3"/>
    </sheetNames>
    <sheetDataSet>
      <sheetData sheetId="2">
        <row r="5">
          <cell r="A5">
            <v>1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ИНП"/>
      <sheetName val="РАСЧЕТ ИБР"/>
      <sheetName val="РАСЧЕТ ДОТАЦИИ"/>
      <sheetName val="Анализ"/>
      <sheetName val="реальные полном.2020г"/>
      <sheetName val="дорожный фонд 2020 год"/>
    </sheetNames>
    <sheetDataSet>
      <sheetData sheetId="0">
        <row r="10">
          <cell r="B10" t="str">
            <v>Альбитуйское </v>
          </cell>
          <cell r="C10">
            <v>457</v>
          </cell>
          <cell r="Q10">
            <v>0.759</v>
          </cell>
        </row>
        <row r="11">
          <cell r="B11" t="str">
            <v>Архангельское</v>
          </cell>
          <cell r="C11">
            <v>653</v>
          </cell>
          <cell r="Q11">
            <v>0.139</v>
          </cell>
        </row>
        <row r="12">
          <cell r="B12" t="str">
            <v>Байхорское </v>
          </cell>
          <cell r="C12">
            <v>577</v>
          </cell>
          <cell r="Q12">
            <v>0.399</v>
          </cell>
        </row>
        <row r="13">
          <cell r="B13" t="str">
            <v>Большереченское</v>
          </cell>
          <cell r="C13">
            <v>641</v>
          </cell>
          <cell r="Q13">
            <v>0.271</v>
          </cell>
        </row>
        <row r="14">
          <cell r="B14" t="str">
            <v>Верхнешергольджинское</v>
          </cell>
          <cell r="C14">
            <v>504</v>
          </cell>
          <cell r="Q14">
            <v>0.391</v>
          </cell>
        </row>
        <row r="15">
          <cell r="B15" t="str">
            <v>Жиндойское </v>
          </cell>
          <cell r="C15">
            <v>722</v>
          </cell>
          <cell r="Q15">
            <v>1.239</v>
          </cell>
        </row>
        <row r="16">
          <cell r="B16" t="str">
            <v>Захаровское</v>
          </cell>
          <cell r="C16">
            <v>1171</v>
          </cell>
          <cell r="Q16">
            <v>0.73</v>
          </cell>
        </row>
        <row r="17">
          <cell r="B17" t="str">
            <v>Красночикойское </v>
          </cell>
          <cell r="C17">
            <v>7030</v>
          </cell>
          <cell r="Q17">
            <v>1.324</v>
          </cell>
        </row>
        <row r="18">
          <cell r="B18" t="str">
            <v>Коротковское </v>
          </cell>
          <cell r="C18">
            <v>1300</v>
          </cell>
          <cell r="Q18">
            <v>0.982</v>
          </cell>
        </row>
        <row r="19">
          <cell r="B19" t="str">
            <v>Конкинское</v>
          </cell>
          <cell r="C19">
            <v>209</v>
          </cell>
          <cell r="Q19">
            <v>0.184</v>
          </cell>
        </row>
        <row r="20">
          <cell r="B20" t="str">
            <v>Мензинское</v>
          </cell>
          <cell r="C20">
            <v>605</v>
          </cell>
          <cell r="Q20">
            <v>2.445</v>
          </cell>
        </row>
        <row r="21">
          <cell r="B21" t="str">
            <v>Малоархангельское</v>
          </cell>
          <cell r="C21">
            <v>948</v>
          </cell>
          <cell r="Q21">
            <v>0.433</v>
          </cell>
        </row>
        <row r="22">
          <cell r="B22" t="str">
            <v>Урлукское </v>
          </cell>
          <cell r="C22">
            <v>1258</v>
          </cell>
          <cell r="Q22">
            <v>0.748</v>
          </cell>
        </row>
        <row r="23">
          <cell r="B23" t="str">
            <v>Черемховское </v>
          </cell>
          <cell r="C23">
            <v>1138</v>
          </cell>
          <cell r="Q23">
            <v>1.194</v>
          </cell>
        </row>
        <row r="24">
          <cell r="B24" t="str">
            <v>Шимбиликское</v>
          </cell>
          <cell r="C24">
            <v>486</v>
          </cell>
          <cell r="Q24">
            <v>0.21</v>
          </cell>
        </row>
      </sheetData>
      <sheetData sheetId="1">
        <row r="26">
          <cell r="F26">
            <v>1.203</v>
          </cell>
          <cell r="G26">
            <v>0.666</v>
          </cell>
          <cell r="H26">
            <v>0.999</v>
          </cell>
          <cell r="I26">
            <v>0.801</v>
          </cell>
          <cell r="J26">
            <v>1.128</v>
          </cell>
          <cell r="K26">
            <v>1.489</v>
          </cell>
          <cell r="L26">
            <v>0.959</v>
          </cell>
          <cell r="M26">
            <v>0.589</v>
          </cell>
          <cell r="N26">
            <v>0.95</v>
          </cell>
          <cell r="O26">
            <v>1.572</v>
          </cell>
          <cell r="P26">
            <v>2.178</v>
          </cell>
          <cell r="Q26">
            <v>0.612</v>
          </cell>
          <cell r="R26">
            <v>0.934</v>
          </cell>
          <cell r="S26">
            <v>1.257</v>
          </cell>
        </row>
        <row r="28">
          <cell r="F28">
            <v>0.631</v>
          </cell>
          <cell r="G28">
            <v>0.209</v>
          </cell>
          <cell r="H28">
            <v>0.399</v>
          </cell>
          <cell r="I28">
            <v>0.338</v>
          </cell>
          <cell r="J28">
            <v>0.347</v>
          </cell>
          <cell r="K28">
            <v>0.832</v>
          </cell>
          <cell r="L28">
            <v>0.761</v>
          </cell>
          <cell r="M28">
            <v>2.248</v>
          </cell>
          <cell r="N28">
            <v>1.034</v>
          </cell>
          <cell r="O28">
            <v>0.117</v>
          </cell>
          <cell r="P28">
            <v>1.123</v>
          </cell>
          <cell r="Q28">
            <v>0.708</v>
          </cell>
          <cell r="R28">
            <v>0.801</v>
          </cell>
          <cell r="S28">
            <v>0.95</v>
          </cell>
          <cell r="T28">
            <v>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8291.14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22"/>
  <sheetViews>
    <sheetView zoomScale="90" zoomScaleNormal="9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7" sqref="J26:J27"/>
    </sheetView>
  </sheetViews>
  <sheetFormatPr defaultColWidth="9.00390625" defaultRowHeight="12.75"/>
  <cols>
    <col min="1" max="1" width="14.75390625" style="3" customWidth="1"/>
    <col min="2" max="2" width="20.375" style="32" customWidth="1"/>
    <col min="3" max="3" width="12.25390625" style="15" customWidth="1"/>
    <col min="4" max="4" width="10.75390625" style="18" customWidth="1"/>
    <col min="5" max="5" width="9.25390625" style="18" customWidth="1"/>
    <col min="6" max="6" width="13.375" style="18" customWidth="1"/>
    <col min="7" max="7" width="13.00390625" style="18" customWidth="1"/>
    <col min="8" max="8" width="13.00390625" style="4" customWidth="1"/>
    <col min="9" max="9" width="9.875" style="4" customWidth="1"/>
    <col min="10" max="10" width="13.875" style="19" customWidth="1"/>
    <col min="11" max="11" width="13.00390625" style="10" customWidth="1"/>
    <col min="12" max="12" width="12.625" style="4" customWidth="1"/>
    <col min="13" max="13" width="9.625" style="4" customWidth="1"/>
    <col min="14" max="14" width="13.625" style="18" customWidth="1"/>
    <col min="15" max="15" width="12.00390625" style="4" customWidth="1"/>
    <col min="16" max="16" width="11.25390625" style="18" customWidth="1"/>
    <col min="17" max="17" width="10.375" style="11" customWidth="1"/>
    <col min="18" max="16384" width="9.125" style="5" customWidth="1"/>
  </cols>
  <sheetData>
    <row r="1" spans="16:17" ht="27.75" customHeight="1">
      <c r="P1" s="154"/>
      <c r="Q1" s="154"/>
    </row>
    <row r="2" spans="2:17" s="3" customFormat="1" ht="45" customHeight="1">
      <c r="B2" s="31"/>
      <c r="C2" s="150" t="s">
        <v>128</v>
      </c>
      <c r="D2" s="150"/>
      <c r="E2" s="150"/>
      <c r="F2" s="185"/>
      <c r="G2" s="185"/>
      <c r="H2" s="185"/>
      <c r="I2" s="185"/>
      <c r="J2" s="185"/>
      <c r="K2" s="185"/>
      <c r="L2" s="150"/>
      <c r="M2" s="150"/>
      <c r="N2" s="150"/>
      <c r="O2" s="150"/>
      <c r="P2" s="150"/>
      <c r="Q2" s="150"/>
    </row>
    <row r="3" spans="1:17" s="3" customFormat="1" ht="61.5" customHeight="1">
      <c r="A3" s="147"/>
      <c r="B3" s="148" t="s">
        <v>37</v>
      </c>
      <c r="C3" s="148" t="s">
        <v>127</v>
      </c>
      <c r="D3" s="149" t="s">
        <v>3</v>
      </c>
      <c r="E3" s="149"/>
      <c r="F3" s="149"/>
      <c r="G3" s="149"/>
      <c r="H3" s="151" t="s">
        <v>38</v>
      </c>
      <c r="I3" s="151"/>
      <c r="J3" s="151"/>
      <c r="K3" s="151"/>
      <c r="L3" s="149" t="s">
        <v>39</v>
      </c>
      <c r="M3" s="149"/>
      <c r="N3" s="149"/>
      <c r="O3" s="149"/>
      <c r="P3" s="152" t="s">
        <v>1</v>
      </c>
      <c r="Q3" s="153" t="s">
        <v>33</v>
      </c>
    </row>
    <row r="4" spans="1:17" ht="62.25" customHeight="1">
      <c r="A4" s="147"/>
      <c r="B4" s="148"/>
      <c r="C4" s="148"/>
      <c r="D4" s="16" t="s">
        <v>14</v>
      </c>
      <c r="E4" s="16" t="s">
        <v>10</v>
      </c>
      <c r="F4" s="16" t="s">
        <v>8</v>
      </c>
      <c r="G4" s="16" t="s">
        <v>4</v>
      </c>
      <c r="H4" s="26" t="s">
        <v>14</v>
      </c>
      <c r="I4" s="26" t="s">
        <v>6</v>
      </c>
      <c r="J4" s="27" t="s">
        <v>7</v>
      </c>
      <c r="K4" s="27" t="s">
        <v>0</v>
      </c>
      <c r="L4" s="16" t="s">
        <v>15</v>
      </c>
      <c r="M4" s="16" t="s">
        <v>9</v>
      </c>
      <c r="N4" s="16" t="s">
        <v>7</v>
      </c>
      <c r="O4" s="16" t="s">
        <v>0</v>
      </c>
      <c r="P4" s="152"/>
      <c r="Q4" s="153"/>
    </row>
    <row r="5" spans="1:17" s="7" customFormat="1" ht="17.25" customHeight="1">
      <c r="A5" s="6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 t="s">
        <v>2</v>
      </c>
      <c r="H5" s="28">
        <v>7</v>
      </c>
      <c r="I5" s="28">
        <v>8</v>
      </c>
      <c r="J5" s="28">
        <v>9</v>
      </c>
      <c r="K5" s="28">
        <v>9</v>
      </c>
      <c r="L5" s="13">
        <v>10</v>
      </c>
      <c r="M5" s="13">
        <v>11</v>
      </c>
      <c r="N5" s="13">
        <v>13</v>
      </c>
      <c r="O5" s="13">
        <v>12</v>
      </c>
      <c r="P5" s="29">
        <v>13</v>
      </c>
      <c r="Q5" s="30">
        <v>14</v>
      </c>
    </row>
    <row r="6" spans="1:17" s="8" customFormat="1" ht="27.75" customHeight="1">
      <c r="A6" s="9"/>
      <c r="B6" s="60" t="s">
        <v>36</v>
      </c>
      <c r="C6" s="14">
        <f>SUM(C7:C21)</f>
        <v>17471</v>
      </c>
      <c r="D6" s="34">
        <v>232990</v>
      </c>
      <c r="E6" s="35">
        <v>0.02</v>
      </c>
      <c r="F6" s="20">
        <f>SUM(F7:F21)</f>
        <v>448519</v>
      </c>
      <c r="G6" s="47">
        <f>SUM(G7:G21)</f>
        <v>4660</v>
      </c>
      <c r="H6" s="48">
        <v>1700</v>
      </c>
      <c r="I6" s="49">
        <v>1</v>
      </c>
      <c r="J6" s="50">
        <f>SUM(J7:J21)</f>
        <v>892522</v>
      </c>
      <c r="K6" s="50">
        <f>SUM(K7:K21)</f>
        <v>1701</v>
      </c>
      <c r="L6" s="51">
        <v>4600</v>
      </c>
      <c r="M6" s="49">
        <v>1</v>
      </c>
      <c r="N6" s="47">
        <f>SUM(N7:N21)</f>
        <v>1499808</v>
      </c>
      <c r="O6" s="47">
        <f>SUM(O7:O21)</f>
        <v>4601</v>
      </c>
      <c r="P6" s="47">
        <f>SUM(P7:P21)</f>
        <v>10962</v>
      </c>
      <c r="Q6" s="20"/>
    </row>
    <row r="7" spans="1:17" s="2" customFormat="1" ht="14.25" customHeight="1">
      <c r="A7" s="1">
        <v>1</v>
      </c>
      <c r="B7" s="61" t="s">
        <v>80</v>
      </c>
      <c r="C7" s="44">
        <v>446</v>
      </c>
      <c r="D7" s="17"/>
      <c r="E7" s="17"/>
      <c r="F7" s="36">
        <v>21180</v>
      </c>
      <c r="G7" s="52">
        <f>$D$6*$E$6*F7/$F$6</f>
        <v>220</v>
      </c>
      <c r="H7" s="53"/>
      <c r="I7" s="53"/>
      <c r="J7" s="54">
        <v>3684</v>
      </c>
      <c r="K7" s="55">
        <f>$H$6*$I$6*J7/$J$6</f>
        <v>7</v>
      </c>
      <c r="L7" s="56"/>
      <c r="M7" s="56"/>
      <c r="N7" s="57">
        <v>74823</v>
      </c>
      <c r="O7" s="58">
        <f>$L$6*$M$6*N7/$N$6</f>
        <v>229</v>
      </c>
      <c r="P7" s="59">
        <f>G7+K7+O7</f>
        <v>456</v>
      </c>
      <c r="Q7" s="45">
        <f>(P7/C7)/($P$6/$C$6)</f>
        <v>1.63</v>
      </c>
    </row>
    <row r="8" spans="1:17" s="2" customFormat="1" ht="14.25" customHeight="1">
      <c r="A8" s="1">
        <v>2</v>
      </c>
      <c r="B8" s="61" t="s">
        <v>81</v>
      </c>
      <c r="C8" s="44">
        <v>638</v>
      </c>
      <c r="D8" s="17"/>
      <c r="E8" s="17"/>
      <c r="F8" s="36">
        <v>27230</v>
      </c>
      <c r="G8" s="52">
        <f aca="true" t="shared" si="0" ref="G8:G21">$D$6*$E$6*F8/$F$6</f>
        <v>282.9</v>
      </c>
      <c r="H8" s="53"/>
      <c r="I8" s="53"/>
      <c r="J8" s="54">
        <v>5940</v>
      </c>
      <c r="K8" s="55">
        <f aca="true" t="shared" si="1" ref="K8:K21">$H$6*$I$6*J8/$J$6</f>
        <v>11</v>
      </c>
      <c r="L8" s="56"/>
      <c r="M8" s="56"/>
      <c r="N8" s="57">
        <v>86287</v>
      </c>
      <c r="O8" s="58">
        <f aca="true" t="shared" si="2" ref="O8:O21">$L$6*$M$6*N8/$N$6</f>
        <v>265</v>
      </c>
      <c r="P8" s="59">
        <f aca="true" t="shared" si="3" ref="P8:P21">G8+K8+O8</f>
        <v>558.9</v>
      </c>
      <c r="Q8" s="45">
        <f aca="true" t="shared" si="4" ref="Q8:Q21">(P8/C8)/($P$6/$C$6)</f>
        <v>1.396</v>
      </c>
    </row>
    <row r="9" spans="1:17" s="2" customFormat="1" ht="14.25" customHeight="1">
      <c r="A9" s="1">
        <v>3</v>
      </c>
      <c r="B9" s="61" t="s">
        <v>82</v>
      </c>
      <c r="C9" s="44">
        <v>555</v>
      </c>
      <c r="D9" s="17"/>
      <c r="E9" s="17"/>
      <c r="F9" s="36">
        <v>25979</v>
      </c>
      <c r="G9" s="52">
        <f t="shared" si="0"/>
        <v>269.9</v>
      </c>
      <c r="H9" s="53"/>
      <c r="I9" s="53"/>
      <c r="J9" s="54">
        <v>3527</v>
      </c>
      <c r="K9" s="55">
        <f t="shared" si="1"/>
        <v>7</v>
      </c>
      <c r="L9" s="56"/>
      <c r="M9" s="56"/>
      <c r="N9" s="57">
        <v>33925</v>
      </c>
      <c r="O9" s="58">
        <f t="shared" si="2"/>
        <v>104</v>
      </c>
      <c r="P9" s="59">
        <f t="shared" si="3"/>
        <v>380.9</v>
      </c>
      <c r="Q9" s="45">
        <f t="shared" si="4"/>
        <v>1.094</v>
      </c>
    </row>
    <row r="10" spans="1:17" s="2" customFormat="1" ht="14.25" customHeight="1">
      <c r="A10" s="1">
        <v>4</v>
      </c>
      <c r="B10" s="61" t="s">
        <v>83</v>
      </c>
      <c r="C10" s="44">
        <v>636</v>
      </c>
      <c r="D10" s="17"/>
      <c r="E10" s="17"/>
      <c r="F10" s="36">
        <v>25162</v>
      </c>
      <c r="G10" s="52">
        <f t="shared" si="0"/>
        <v>261.4</v>
      </c>
      <c r="H10" s="53"/>
      <c r="I10" s="53"/>
      <c r="J10" s="54">
        <v>13085</v>
      </c>
      <c r="K10" s="55">
        <f t="shared" si="1"/>
        <v>25</v>
      </c>
      <c r="L10" s="56"/>
      <c r="M10" s="56"/>
      <c r="N10" s="57">
        <v>4772</v>
      </c>
      <c r="O10" s="100">
        <f t="shared" si="2"/>
        <v>15</v>
      </c>
      <c r="P10" s="59">
        <f t="shared" si="3"/>
        <v>301.4</v>
      </c>
      <c r="Q10" s="45">
        <f t="shared" si="4"/>
        <v>0.755</v>
      </c>
    </row>
    <row r="11" spans="1:17" s="2" customFormat="1" ht="14.25" customHeight="1">
      <c r="A11" s="1">
        <v>5</v>
      </c>
      <c r="B11" s="61" t="s">
        <v>84</v>
      </c>
      <c r="C11" s="44">
        <v>487</v>
      </c>
      <c r="D11" s="17"/>
      <c r="E11" s="17"/>
      <c r="F11" s="36">
        <v>26724</v>
      </c>
      <c r="G11" s="52">
        <f t="shared" si="0"/>
        <v>277.6</v>
      </c>
      <c r="H11" s="53"/>
      <c r="I11" s="53"/>
      <c r="J11" s="54">
        <v>8251</v>
      </c>
      <c r="K11" s="55">
        <f t="shared" si="1"/>
        <v>16</v>
      </c>
      <c r="L11" s="56"/>
      <c r="M11" s="56"/>
      <c r="N11" s="57">
        <v>57584</v>
      </c>
      <c r="O11" s="58">
        <f t="shared" si="2"/>
        <v>177</v>
      </c>
      <c r="P11" s="59">
        <f t="shared" si="3"/>
        <v>470.6</v>
      </c>
      <c r="Q11" s="45">
        <f t="shared" si="4"/>
        <v>1.54</v>
      </c>
    </row>
    <row r="12" spans="1:17" s="2" customFormat="1" ht="14.25" customHeight="1">
      <c r="A12" s="1">
        <v>6</v>
      </c>
      <c r="B12" s="61" t="s">
        <v>85</v>
      </c>
      <c r="C12" s="44">
        <v>711</v>
      </c>
      <c r="D12" s="17"/>
      <c r="E12" s="17"/>
      <c r="F12" s="36">
        <v>40352</v>
      </c>
      <c r="G12" s="52">
        <f t="shared" si="0"/>
        <v>419.2</v>
      </c>
      <c r="H12" s="53"/>
      <c r="I12" s="53"/>
      <c r="J12" s="54">
        <v>10469</v>
      </c>
      <c r="K12" s="55">
        <f t="shared" si="1"/>
        <v>20</v>
      </c>
      <c r="L12" s="56"/>
      <c r="M12" s="56"/>
      <c r="N12" s="57">
        <v>27913</v>
      </c>
      <c r="O12" s="58">
        <f t="shared" si="2"/>
        <v>86</v>
      </c>
      <c r="P12" s="59">
        <f t="shared" si="3"/>
        <v>525.2</v>
      </c>
      <c r="Q12" s="45">
        <f t="shared" si="4"/>
        <v>1.177</v>
      </c>
    </row>
    <row r="13" spans="1:17" s="2" customFormat="1" ht="14.25" customHeight="1">
      <c r="A13" s="1">
        <v>7</v>
      </c>
      <c r="B13" s="61" t="s">
        <v>86</v>
      </c>
      <c r="C13" s="44">
        <v>1161</v>
      </c>
      <c r="D13" s="17"/>
      <c r="E13" s="17"/>
      <c r="F13" s="36">
        <v>26530</v>
      </c>
      <c r="G13" s="52">
        <f t="shared" si="0"/>
        <v>275.6</v>
      </c>
      <c r="H13" s="53"/>
      <c r="I13" s="53"/>
      <c r="J13" s="54">
        <v>19797</v>
      </c>
      <c r="K13" s="55">
        <f t="shared" si="1"/>
        <v>38</v>
      </c>
      <c r="L13" s="56"/>
      <c r="M13" s="56"/>
      <c r="N13" s="57">
        <v>139235</v>
      </c>
      <c r="O13" s="58">
        <f t="shared" si="2"/>
        <v>427</v>
      </c>
      <c r="P13" s="59">
        <f t="shared" si="3"/>
        <v>740.6</v>
      </c>
      <c r="Q13" s="45">
        <f t="shared" si="4"/>
        <v>1.017</v>
      </c>
    </row>
    <row r="14" spans="1:17" s="2" customFormat="1" ht="14.25" customHeight="1">
      <c r="A14" s="1">
        <v>8</v>
      </c>
      <c r="B14" s="61" t="s">
        <v>87</v>
      </c>
      <c r="C14" s="44">
        <v>6999</v>
      </c>
      <c r="D14" s="17"/>
      <c r="E14" s="17"/>
      <c r="F14" s="36">
        <v>46719</v>
      </c>
      <c r="G14" s="52">
        <f t="shared" si="0"/>
        <v>485.4</v>
      </c>
      <c r="H14" s="53"/>
      <c r="I14" s="53"/>
      <c r="J14" s="54">
        <v>732255</v>
      </c>
      <c r="K14" s="55">
        <f t="shared" si="1"/>
        <v>1395</v>
      </c>
      <c r="L14" s="56"/>
      <c r="M14" s="56"/>
      <c r="N14" s="57">
        <v>239133</v>
      </c>
      <c r="O14" s="58">
        <f t="shared" si="2"/>
        <v>733</v>
      </c>
      <c r="P14" s="59">
        <f t="shared" si="3"/>
        <v>2613.4</v>
      </c>
      <c r="Q14" s="45">
        <f t="shared" si="4"/>
        <v>0.595</v>
      </c>
    </row>
    <row r="15" spans="1:17" s="2" customFormat="1" ht="14.25" customHeight="1">
      <c r="A15" s="1">
        <v>9</v>
      </c>
      <c r="B15" s="61" t="s">
        <v>88</v>
      </c>
      <c r="C15" s="44">
        <v>1289</v>
      </c>
      <c r="D15" s="17"/>
      <c r="E15" s="17"/>
      <c r="F15" s="36">
        <v>31416</v>
      </c>
      <c r="G15" s="52">
        <f t="shared" si="0"/>
        <v>326.4</v>
      </c>
      <c r="H15" s="53"/>
      <c r="I15" s="53"/>
      <c r="J15" s="54">
        <v>19922</v>
      </c>
      <c r="K15" s="55">
        <f t="shared" si="1"/>
        <v>38</v>
      </c>
      <c r="L15" s="56"/>
      <c r="M15" s="56"/>
      <c r="N15" s="57">
        <v>183304</v>
      </c>
      <c r="O15" s="58">
        <f t="shared" si="2"/>
        <v>562</v>
      </c>
      <c r="P15" s="59">
        <f t="shared" si="3"/>
        <v>926.4</v>
      </c>
      <c r="Q15" s="45">
        <f t="shared" si="4"/>
        <v>1.145</v>
      </c>
    </row>
    <row r="16" spans="1:17" s="2" customFormat="1" ht="14.25" customHeight="1">
      <c r="A16" s="1">
        <v>10</v>
      </c>
      <c r="B16" s="61" t="s">
        <v>89</v>
      </c>
      <c r="C16" s="44">
        <v>208</v>
      </c>
      <c r="D16" s="17"/>
      <c r="E16" s="17"/>
      <c r="F16" s="36">
        <v>27902</v>
      </c>
      <c r="G16" s="52">
        <f t="shared" si="0"/>
        <v>289.9</v>
      </c>
      <c r="H16" s="53"/>
      <c r="I16" s="53"/>
      <c r="J16" s="54">
        <v>517</v>
      </c>
      <c r="K16" s="55">
        <f t="shared" si="1"/>
        <v>1</v>
      </c>
      <c r="L16" s="56"/>
      <c r="M16" s="56"/>
      <c r="N16" s="57">
        <v>3292</v>
      </c>
      <c r="O16" s="58">
        <f t="shared" si="2"/>
        <v>10</v>
      </c>
      <c r="P16" s="59">
        <f t="shared" si="3"/>
        <v>300.9</v>
      </c>
      <c r="Q16" s="45">
        <f t="shared" si="4"/>
        <v>2.306</v>
      </c>
    </row>
    <row r="17" spans="1:17" s="2" customFormat="1" ht="14.25" customHeight="1">
      <c r="A17" s="1">
        <v>11</v>
      </c>
      <c r="B17" s="61" t="s">
        <v>90</v>
      </c>
      <c r="C17" s="44">
        <v>598</v>
      </c>
      <c r="D17" s="17"/>
      <c r="E17" s="17"/>
      <c r="F17" s="36">
        <v>26950</v>
      </c>
      <c r="G17" s="52">
        <f t="shared" si="0"/>
        <v>280</v>
      </c>
      <c r="H17" s="53"/>
      <c r="I17" s="53"/>
      <c r="J17" s="54">
        <v>2226</v>
      </c>
      <c r="K17" s="55">
        <f t="shared" si="1"/>
        <v>4</v>
      </c>
      <c r="L17" s="56"/>
      <c r="M17" s="56"/>
      <c r="N17" s="57">
        <v>67122</v>
      </c>
      <c r="O17" s="58">
        <f t="shared" si="2"/>
        <v>206</v>
      </c>
      <c r="P17" s="59">
        <f t="shared" si="3"/>
        <v>490</v>
      </c>
      <c r="Q17" s="45">
        <f t="shared" si="4"/>
        <v>1.306</v>
      </c>
    </row>
    <row r="18" spans="1:17" s="2" customFormat="1" ht="16.5" customHeight="1">
      <c r="A18" s="1">
        <v>12</v>
      </c>
      <c r="B18" s="62" t="s">
        <v>91</v>
      </c>
      <c r="C18" s="44">
        <v>937</v>
      </c>
      <c r="D18" s="17"/>
      <c r="E18" s="17"/>
      <c r="F18" s="36">
        <v>22668</v>
      </c>
      <c r="G18" s="52">
        <f t="shared" si="0"/>
        <v>235.5</v>
      </c>
      <c r="H18" s="53"/>
      <c r="I18" s="53"/>
      <c r="J18" s="54">
        <v>40997</v>
      </c>
      <c r="K18" s="55">
        <f t="shared" si="1"/>
        <v>78</v>
      </c>
      <c r="L18" s="56"/>
      <c r="M18" s="56"/>
      <c r="N18" s="57">
        <v>275072</v>
      </c>
      <c r="O18" s="58">
        <f t="shared" si="2"/>
        <v>844</v>
      </c>
      <c r="P18" s="59">
        <f t="shared" si="3"/>
        <v>1157.5</v>
      </c>
      <c r="Q18" s="45">
        <f t="shared" si="4"/>
        <v>1.969</v>
      </c>
    </row>
    <row r="19" spans="1:17" s="2" customFormat="1" ht="14.25" customHeight="1">
      <c r="A19" s="1">
        <v>13</v>
      </c>
      <c r="B19" s="61" t="s">
        <v>92</v>
      </c>
      <c r="C19" s="44">
        <v>1230</v>
      </c>
      <c r="D19" s="17"/>
      <c r="E19" s="17"/>
      <c r="F19" s="36">
        <v>30225</v>
      </c>
      <c r="G19" s="52">
        <f t="shared" si="0"/>
        <v>314</v>
      </c>
      <c r="H19" s="53"/>
      <c r="I19" s="53"/>
      <c r="J19" s="54">
        <v>13994</v>
      </c>
      <c r="K19" s="55">
        <f t="shared" si="1"/>
        <v>27</v>
      </c>
      <c r="L19" s="56"/>
      <c r="M19" s="56"/>
      <c r="N19" s="57">
        <v>169223</v>
      </c>
      <c r="O19" s="58">
        <f t="shared" si="2"/>
        <v>519</v>
      </c>
      <c r="P19" s="59">
        <f t="shared" si="3"/>
        <v>860</v>
      </c>
      <c r="Q19" s="45">
        <f t="shared" si="4"/>
        <v>1.114</v>
      </c>
    </row>
    <row r="20" spans="1:17" s="2" customFormat="1" ht="14.25" customHeight="1">
      <c r="A20" s="1">
        <v>14</v>
      </c>
      <c r="B20" s="61" t="s">
        <v>93</v>
      </c>
      <c r="C20" s="44">
        <v>1101</v>
      </c>
      <c r="D20" s="17"/>
      <c r="E20" s="17"/>
      <c r="F20" s="36">
        <v>41558</v>
      </c>
      <c r="G20" s="52">
        <f t="shared" si="0"/>
        <v>431.8</v>
      </c>
      <c r="H20" s="53"/>
      <c r="I20" s="53"/>
      <c r="J20" s="54">
        <v>14391</v>
      </c>
      <c r="K20" s="55">
        <f t="shared" si="1"/>
        <v>27</v>
      </c>
      <c r="L20" s="56"/>
      <c r="M20" s="56"/>
      <c r="N20" s="57">
        <v>75517</v>
      </c>
      <c r="O20" s="58">
        <f t="shared" si="2"/>
        <v>232</v>
      </c>
      <c r="P20" s="59">
        <f t="shared" si="3"/>
        <v>690.8</v>
      </c>
      <c r="Q20" s="45">
        <f t="shared" si="4"/>
        <v>1</v>
      </c>
    </row>
    <row r="21" spans="1:17" s="2" customFormat="1" ht="14.25" customHeight="1">
      <c r="A21" s="1">
        <v>15</v>
      </c>
      <c r="B21" s="129" t="s">
        <v>94</v>
      </c>
      <c r="C21" s="44">
        <v>475</v>
      </c>
      <c r="D21" s="17"/>
      <c r="E21" s="17"/>
      <c r="F21" s="36">
        <v>27924</v>
      </c>
      <c r="G21" s="52">
        <f t="shared" si="0"/>
        <v>290.1</v>
      </c>
      <c r="H21" s="53"/>
      <c r="I21" s="53"/>
      <c r="J21" s="54">
        <v>3467</v>
      </c>
      <c r="K21" s="55">
        <f t="shared" si="1"/>
        <v>7</v>
      </c>
      <c r="L21" s="56"/>
      <c r="M21" s="56"/>
      <c r="N21" s="57">
        <v>62606</v>
      </c>
      <c r="O21" s="58">
        <f t="shared" si="2"/>
        <v>192</v>
      </c>
      <c r="P21" s="59">
        <f t="shared" si="3"/>
        <v>489.1</v>
      </c>
      <c r="Q21" s="45">
        <f t="shared" si="4"/>
        <v>1.641</v>
      </c>
    </row>
    <row r="22" ht="20.25">
      <c r="B22" s="43" t="s">
        <v>79</v>
      </c>
    </row>
  </sheetData>
  <sheetProtection/>
  <printOptions horizontalCentered="1"/>
  <pageMargins left="0.1968503937007874" right="0.1968503937007874" top="0.15748031496062992" bottom="0.4724409448818898" header="0.15748031496062992" footer="0.196850393700787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T31"/>
  <sheetViews>
    <sheetView view="pageBreakPreview" zoomScale="50" zoomScaleSheetLayoutView="50" zoomScalePageLayoutView="0" workbookViewId="0" topLeftCell="A1">
      <pane xSplit="3" ySplit="4" topLeftCell="E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V16384"/>
    </sheetView>
  </sheetViews>
  <sheetFormatPr defaultColWidth="9.00390625" defaultRowHeight="12.75"/>
  <cols>
    <col min="1" max="1" width="4.625" style="22" customWidth="1"/>
    <col min="2" max="2" width="16.875" style="22" customWidth="1"/>
    <col min="3" max="3" width="30.875" style="22" customWidth="1"/>
    <col min="4" max="4" width="46.375" style="22" customWidth="1"/>
    <col min="5" max="5" width="10.875" style="22" customWidth="1"/>
    <col min="6" max="6" width="19.125" style="22" customWidth="1"/>
    <col min="7" max="7" width="20.00390625" style="22" customWidth="1"/>
    <col min="8" max="11" width="16.375" style="22" bestFit="1" customWidth="1"/>
    <col min="12" max="12" width="20.125" style="22" customWidth="1"/>
    <col min="13" max="14" width="17.00390625" style="22" bestFit="1" customWidth="1"/>
    <col min="15" max="16" width="16.375" style="22" bestFit="1" customWidth="1"/>
    <col min="17" max="17" width="16.75390625" style="22" bestFit="1" customWidth="1"/>
    <col min="18" max="18" width="17.00390625" style="22" bestFit="1" customWidth="1"/>
    <col min="19" max="19" width="16.75390625" style="22" customWidth="1"/>
    <col min="20" max="20" width="15.625" style="22" customWidth="1"/>
    <col min="21" max="16384" width="9.125" style="22" customWidth="1"/>
  </cols>
  <sheetData>
    <row r="1" spans="17:18" ht="18.75">
      <c r="Q1" s="33"/>
      <c r="R1" s="33"/>
    </row>
    <row r="2" spans="4:18" ht="38.25" customHeight="1">
      <c r="D2" s="23"/>
      <c r="E2" s="156" t="s">
        <v>123</v>
      </c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3" spans="6:20" ht="18" customHeight="1">
      <c r="F3" s="37">
        <v>1</v>
      </c>
      <c r="G3" s="37">
        <v>2</v>
      </c>
      <c r="H3" s="37">
        <v>3</v>
      </c>
      <c r="I3" s="37">
        <v>4</v>
      </c>
      <c r="J3" s="37">
        <v>5</v>
      </c>
      <c r="K3" s="37">
        <v>6</v>
      </c>
      <c r="L3" s="37">
        <v>7</v>
      </c>
      <c r="M3" s="37">
        <v>8</v>
      </c>
      <c r="N3" s="37">
        <v>9</v>
      </c>
      <c r="O3" s="37">
        <v>10</v>
      </c>
      <c r="P3" s="37">
        <v>11</v>
      </c>
      <c r="Q3" s="37">
        <v>12</v>
      </c>
      <c r="R3" s="37">
        <v>13</v>
      </c>
      <c r="S3" s="37">
        <v>14</v>
      </c>
      <c r="T3" s="37">
        <v>15</v>
      </c>
    </row>
    <row r="4" spans="1:20" s="12" customFormat="1" ht="56.25" customHeight="1">
      <c r="A4" s="63" t="s">
        <v>11</v>
      </c>
      <c r="B4" s="63" t="s">
        <v>16</v>
      </c>
      <c r="C4" s="63" t="s">
        <v>17</v>
      </c>
      <c r="D4" s="63" t="s">
        <v>18</v>
      </c>
      <c r="E4" s="63" t="s">
        <v>19</v>
      </c>
      <c r="F4" s="64" t="str">
        <f>'[2]РАСЧЕТ ИНП'!B10</f>
        <v>Альбитуйское </v>
      </c>
      <c r="G4" s="64" t="str">
        <f>'[2]РАСЧЕТ ИНП'!B11</f>
        <v>Архангельское</v>
      </c>
      <c r="H4" s="64" t="str">
        <f>'[2]РАСЧЕТ ИНП'!B12</f>
        <v>Байхорское </v>
      </c>
      <c r="I4" s="64" t="str">
        <f>'[2]РАСЧЕТ ИНП'!B13</f>
        <v>Большереченское</v>
      </c>
      <c r="J4" s="64" t="str">
        <f>'[2]РАСЧЕТ ИНП'!B14</f>
        <v>Верхнешергольджинское</v>
      </c>
      <c r="K4" s="64" t="str">
        <f>'[2]РАСЧЕТ ИНП'!B15</f>
        <v>Жиндойское </v>
      </c>
      <c r="L4" s="64" t="str">
        <f>'[2]РАСЧЕТ ИНП'!B16</f>
        <v>Захаровское</v>
      </c>
      <c r="M4" s="64" t="str">
        <f>'[2]РАСЧЕТ ИНП'!B17</f>
        <v>Красночикойское </v>
      </c>
      <c r="N4" s="64" t="str">
        <f>'[2]РАСЧЕТ ИНП'!B18</f>
        <v>Коротковское </v>
      </c>
      <c r="O4" s="64" t="str">
        <f>'[2]РАСЧЕТ ИНП'!B19</f>
        <v>Конкинское</v>
      </c>
      <c r="P4" s="64" t="str">
        <f>'[2]РАСЧЕТ ИНП'!B20</f>
        <v>Мензинское</v>
      </c>
      <c r="Q4" s="64" t="str">
        <f>'[2]РАСЧЕТ ИНП'!B21</f>
        <v>Малоархангельское</v>
      </c>
      <c r="R4" s="64" t="str">
        <f>'[2]РАСЧЕТ ИНП'!B22</f>
        <v>Урлукское </v>
      </c>
      <c r="S4" s="64" t="str">
        <f>'[2]РАСЧЕТ ИНП'!B23</f>
        <v>Черемховское </v>
      </c>
      <c r="T4" s="64" t="str">
        <f>'[2]РАСЧЕТ ИНП'!B24</f>
        <v>Шимбиликское</v>
      </c>
    </row>
    <row r="5" spans="1:20" s="12" customFormat="1" ht="33" customHeight="1">
      <c r="A5" s="65"/>
      <c r="B5" s="65"/>
      <c r="C5" s="65"/>
      <c r="D5" s="64" t="s">
        <v>20</v>
      </c>
      <c r="E5" s="66">
        <f>SUM(F5:T5)</f>
        <v>17699</v>
      </c>
      <c r="F5" s="67">
        <f>'[2]РАСЧЕТ ИНП'!C10</f>
        <v>457</v>
      </c>
      <c r="G5" s="67">
        <f>'[2]РАСЧЕТ ИНП'!C11</f>
        <v>653</v>
      </c>
      <c r="H5" s="67">
        <f>'[2]РАСЧЕТ ИНП'!C12</f>
        <v>577</v>
      </c>
      <c r="I5" s="67">
        <f>'[2]РАСЧЕТ ИНП'!C13</f>
        <v>641</v>
      </c>
      <c r="J5" s="67">
        <f>'[2]РАСЧЕТ ИНП'!C14</f>
        <v>504</v>
      </c>
      <c r="K5" s="67">
        <f>'[2]РАСЧЕТ ИНП'!C15</f>
        <v>722</v>
      </c>
      <c r="L5" s="67">
        <f>'[2]РАСЧЕТ ИНП'!C16</f>
        <v>1171</v>
      </c>
      <c r="M5" s="67">
        <f>'[2]РАСЧЕТ ИНП'!C17</f>
        <v>7030</v>
      </c>
      <c r="N5" s="67">
        <f>'[2]РАСЧЕТ ИНП'!C18</f>
        <v>1300</v>
      </c>
      <c r="O5" s="67">
        <f>'[2]РАСЧЕТ ИНП'!C19</f>
        <v>209</v>
      </c>
      <c r="P5" s="67">
        <f>'[2]РАСЧЕТ ИНП'!C20</f>
        <v>605</v>
      </c>
      <c r="Q5" s="67">
        <f>'[2]РАСЧЕТ ИНП'!C21</f>
        <v>948</v>
      </c>
      <c r="R5" s="67">
        <f>'[2]РАСЧЕТ ИНП'!C22</f>
        <v>1258</v>
      </c>
      <c r="S5" s="67">
        <f>'[2]РАСЧЕТ ИНП'!C23</f>
        <v>1138</v>
      </c>
      <c r="T5" s="67">
        <f>'[2]РАСЧЕТ ИНП'!C24</f>
        <v>486</v>
      </c>
    </row>
    <row r="6" spans="1:20" s="12" customFormat="1" ht="59.25" customHeight="1">
      <c r="A6" s="65" t="s">
        <v>22</v>
      </c>
      <c r="B6" s="157" t="s">
        <v>21</v>
      </c>
      <c r="C6" s="159" t="s">
        <v>42</v>
      </c>
      <c r="D6" s="24" t="s">
        <v>43</v>
      </c>
      <c r="E6" s="63"/>
      <c r="F6" s="68">
        <f>1+F7</f>
        <v>1.25</v>
      </c>
      <c r="G6" s="68">
        <f aca="true" t="shared" si="0" ref="G6:T6">1+G7</f>
        <v>1.25</v>
      </c>
      <c r="H6" s="68">
        <f t="shared" si="0"/>
        <v>1.25</v>
      </c>
      <c r="I6" s="68">
        <f t="shared" si="0"/>
        <v>1.25</v>
      </c>
      <c r="J6" s="68">
        <f t="shared" si="0"/>
        <v>1.25</v>
      </c>
      <c r="K6" s="68">
        <f t="shared" si="0"/>
        <v>1.25</v>
      </c>
      <c r="L6" s="68">
        <f t="shared" si="0"/>
        <v>1.25</v>
      </c>
      <c r="M6" s="68">
        <f t="shared" si="0"/>
        <v>1.25</v>
      </c>
      <c r="N6" s="68">
        <f t="shared" si="0"/>
        <v>1.25</v>
      </c>
      <c r="O6" s="68">
        <f t="shared" si="0"/>
        <v>1.25</v>
      </c>
      <c r="P6" s="68">
        <f t="shared" si="0"/>
        <v>1.25</v>
      </c>
      <c r="Q6" s="68">
        <f t="shared" si="0"/>
        <v>1.25</v>
      </c>
      <c r="R6" s="68">
        <f t="shared" si="0"/>
        <v>1.25</v>
      </c>
      <c r="S6" s="68">
        <f t="shared" si="0"/>
        <v>1.25</v>
      </c>
      <c r="T6" s="68">
        <f t="shared" si="0"/>
        <v>1.25</v>
      </c>
    </row>
    <row r="7" spans="1:20" s="12" customFormat="1" ht="66.75" customHeight="1">
      <c r="A7" s="69"/>
      <c r="B7" s="158"/>
      <c r="C7" s="160"/>
      <c r="D7" s="70" t="s">
        <v>98</v>
      </c>
      <c r="E7" s="71"/>
      <c r="F7" s="72">
        <v>0.25</v>
      </c>
      <c r="G7" s="72">
        <v>0.25</v>
      </c>
      <c r="H7" s="72">
        <v>0.25</v>
      </c>
      <c r="I7" s="72">
        <v>0.25</v>
      </c>
      <c r="J7" s="72">
        <v>0.25</v>
      </c>
      <c r="K7" s="72">
        <v>0.25</v>
      </c>
      <c r="L7" s="72">
        <v>0.25</v>
      </c>
      <c r="M7" s="72">
        <v>0.25</v>
      </c>
      <c r="N7" s="72">
        <v>0.25</v>
      </c>
      <c r="O7" s="72">
        <v>0.25</v>
      </c>
      <c r="P7" s="72">
        <v>0.25</v>
      </c>
      <c r="Q7" s="72">
        <v>0.25</v>
      </c>
      <c r="R7" s="72">
        <v>0.25</v>
      </c>
      <c r="S7" s="72">
        <v>0.25</v>
      </c>
      <c r="T7" s="72">
        <v>0.25</v>
      </c>
    </row>
    <row r="8" spans="1:20" ht="60" customHeight="1">
      <c r="A8" s="69"/>
      <c r="B8" s="155" t="s">
        <v>23</v>
      </c>
      <c r="C8" s="65" t="s">
        <v>78</v>
      </c>
      <c r="D8" s="24" t="s">
        <v>23</v>
      </c>
      <c r="E8" s="73"/>
      <c r="F8" s="42">
        <f>(F9*F12*F15*F18)/($E$9*$E$12*$E$15*$E$18)</f>
        <v>1.183</v>
      </c>
      <c r="G8" s="42">
        <f aca="true" t="shared" si="1" ref="G8:T8">(G9*G12*G15*G18)/($E$9*$E$12*$E$15*$E$18)</f>
        <v>0.416</v>
      </c>
      <c r="H8" s="42">
        <f t="shared" si="1"/>
        <v>0.891</v>
      </c>
      <c r="I8" s="42">
        <f t="shared" si="1"/>
        <v>0.608</v>
      </c>
      <c r="J8" s="42">
        <f t="shared" si="1"/>
        <v>1.076</v>
      </c>
      <c r="K8" s="42">
        <f t="shared" si="1"/>
        <v>1.592</v>
      </c>
      <c r="L8" s="42">
        <f t="shared" si="1"/>
        <v>0.834</v>
      </c>
      <c r="M8" s="42">
        <f t="shared" si="1"/>
        <v>0.306</v>
      </c>
      <c r="N8" s="42">
        <f t="shared" si="1"/>
        <v>0.821</v>
      </c>
      <c r="O8" s="42">
        <f t="shared" si="1"/>
        <v>1.71</v>
      </c>
      <c r="P8" s="42">
        <f t="shared" si="1"/>
        <v>2.575</v>
      </c>
      <c r="Q8" s="42">
        <f t="shared" si="1"/>
        <v>0.338</v>
      </c>
      <c r="R8" s="42">
        <f t="shared" si="1"/>
        <v>0.798</v>
      </c>
      <c r="S8" s="42">
        <f t="shared" si="1"/>
        <v>1.26</v>
      </c>
      <c r="T8" s="42">
        <f t="shared" si="1"/>
        <v>1.225</v>
      </c>
    </row>
    <row r="9" spans="1:20" ht="60" customHeight="1">
      <c r="A9" s="69"/>
      <c r="B9" s="155"/>
      <c r="C9" s="69"/>
      <c r="D9" s="24" t="s">
        <v>44</v>
      </c>
      <c r="E9" s="74">
        <f>(SUM(F9:T9))/15</f>
        <v>1</v>
      </c>
      <c r="F9" s="41">
        <f>(0.6*F10+0.4*F11)/F10</f>
        <v>1</v>
      </c>
      <c r="G9" s="41">
        <f aca="true" t="shared" si="2" ref="G9:T9">(0.6*G10+0.4*G11)/G10</f>
        <v>1</v>
      </c>
      <c r="H9" s="41">
        <f t="shared" si="2"/>
        <v>1</v>
      </c>
      <c r="I9" s="41">
        <f t="shared" si="2"/>
        <v>1</v>
      </c>
      <c r="J9" s="41">
        <f t="shared" si="2"/>
        <v>1</v>
      </c>
      <c r="K9" s="41">
        <f t="shared" si="2"/>
        <v>1</v>
      </c>
      <c r="L9" s="41">
        <f t="shared" si="2"/>
        <v>1</v>
      </c>
      <c r="M9" s="41">
        <f t="shared" si="2"/>
        <v>1</v>
      </c>
      <c r="N9" s="41">
        <f t="shared" si="2"/>
        <v>1</v>
      </c>
      <c r="O9" s="41">
        <f t="shared" si="2"/>
        <v>1</v>
      </c>
      <c r="P9" s="41">
        <f t="shared" si="2"/>
        <v>1</v>
      </c>
      <c r="Q9" s="41">
        <f t="shared" si="2"/>
        <v>1</v>
      </c>
      <c r="R9" s="41">
        <f t="shared" si="2"/>
        <v>1</v>
      </c>
      <c r="S9" s="41">
        <f t="shared" si="2"/>
        <v>1</v>
      </c>
      <c r="T9" s="41">
        <f t="shared" si="2"/>
        <v>1</v>
      </c>
    </row>
    <row r="10" spans="1:20" ht="60" customHeight="1">
      <c r="A10" s="69"/>
      <c r="B10" s="155"/>
      <c r="C10" s="69"/>
      <c r="D10" s="25" t="s">
        <v>45</v>
      </c>
      <c r="E10" s="73"/>
      <c r="F10" s="38">
        <f aca="true" t="shared" si="3" ref="F10:T10">F5</f>
        <v>457</v>
      </c>
      <c r="G10" s="38">
        <f t="shared" si="3"/>
        <v>653</v>
      </c>
      <c r="H10" s="38">
        <f t="shared" si="3"/>
        <v>577</v>
      </c>
      <c r="I10" s="38">
        <f t="shared" si="3"/>
        <v>641</v>
      </c>
      <c r="J10" s="38">
        <f t="shared" si="3"/>
        <v>504</v>
      </c>
      <c r="K10" s="38">
        <f t="shared" si="3"/>
        <v>722</v>
      </c>
      <c r="L10" s="38">
        <f t="shared" si="3"/>
        <v>1171</v>
      </c>
      <c r="M10" s="38">
        <f t="shared" si="3"/>
        <v>7030</v>
      </c>
      <c r="N10" s="38">
        <f t="shared" si="3"/>
        <v>1300</v>
      </c>
      <c r="O10" s="38">
        <f t="shared" si="3"/>
        <v>209</v>
      </c>
      <c r="P10" s="38">
        <f t="shared" si="3"/>
        <v>605</v>
      </c>
      <c r="Q10" s="38">
        <f t="shared" si="3"/>
        <v>948</v>
      </c>
      <c r="R10" s="38">
        <f t="shared" si="3"/>
        <v>1258</v>
      </c>
      <c r="S10" s="38">
        <f t="shared" si="3"/>
        <v>1138</v>
      </c>
      <c r="T10" s="38">
        <f t="shared" si="3"/>
        <v>486</v>
      </c>
    </row>
    <row r="11" spans="1:20" ht="60" customHeight="1">
      <c r="A11" s="69"/>
      <c r="B11" s="155"/>
      <c r="C11" s="69"/>
      <c r="D11" s="25" t="s">
        <v>46</v>
      </c>
      <c r="E11" s="73"/>
      <c r="F11" s="40">
        <v>457</v>
      </c>
      <c r="G11" s="40">
        <v>653</v>
      </c>
      <c r="H11" s="40">
        <v>577</v>
      </c>
      <c r="I11" s="40">
        <v>641</v>
      </c>
      <c r="J11" s="40">
        <v>504</v>
      </c>
      <c r="K11" s="40">
        <v>722</v>
      </c>
      <c r="L11" s="40">
        <v>1171</v>
      </c>
      <c r="M11" s="40">
        <v>7030</v>
      </c>
      <c r="N11" s="40">
        <v>1300</v>
      </c>
      <c r="O11" s="40">
        <v>209</v>
      </c>
      <c r="P11" s="40">
        <v>605</v>
      </c>
      <c r="Q11" s="40">
        <v>948</v>
      </c>
      <c r="R11" s="40">
        <v>1258</v>
      </c>
      <c r="S11" s="40">
        <v>1138</v>
      </c>
      <c r="T11" s="40">
        <v>486</v>
      </c>
    </row>
    <row r="12" spans="1:20" ht="60" customHeight="1">
      <c r="A12" s="69"/>
      <c r="B12" s="155"/>
      <c r="C12" s="69"/>
      <c r="D12" s="24" t="s">
        <v>47</v>
      </c>
      <c r="E12" s="74">
        <f>(SUM(F12:T12))/15</f>
        <v>1.61553333333333</v>
      </c>
      <c r="F12" s="42">
        <f>1+F13</f>
        <v>2</v>
      </c>
      <c r="G12" s="42">
        <f aca="true" t="shared" si="4" ref="G12:T12">1+G13</f>
        <v>1.173</v>
      </c>
      <c r="H12" s="42">
        <f t="shared" si="4"/>
        <v>2</v>
      </c>
      <c r="I12" s="42">
        <f t="shared" si="4"/>
        <v>1.003</v>
      </c>
      <c r="J12" s="42">
        <f t="shared" si="4"/>
        <v>2</v>
      </c>
      <c r="K12" s="42">
        <f t="shared" si="4"/>
        <v>2</v>
      </c>
      <c r="L12" s="42">
        <f t="shared" si="4"/>
        <v>1.486</v>
      </c>
      <c r="M12" s="42">
        <f t="shared" si="4"/>
        <v>1</v>
      </c>
      <c r="N12" s="42">
        <f t="shared" si="4"/>
        <v>2</v>
      </c>
      <c r="O12" s="42">
        <f t="shared" si="4"/>
        <v>2</v>
      </c>
      <c r="P12" s="42">
        <f t="shared" si="4"/>
        <v>2</v>
      </c>
      <c r="Q12" s="42">
        <f t="shared" si="4"/>
        <v>1</v>
      </c>
      <c r="R12" s="42">
        <f t="shared" si="4"/>
        <v>1.104</v>
      </c>
      <c r="S12" s="42">
        <f t="shared" si="4"/>
        <v>1.467</v>
      </c>
      <c r="T12" s="42">
        <f t="shared" si="4"/>
        <v>2</v>
      </c>
    </row>
    <row r="13" spans="1:20" ht="102.75" customHeight="1">
      <c r="A13" s="69"/>
      <c r="B13" s="155"/>
      <c r="C13" s="69"/>
      <c r="D13" s="25" t="s">
        <v>48</v>
      </c>
      <c r="E13" s="73"/>
      <c r="F13" s="39">
        <f>F14/F5</f>
        <v>1</v>
      </c>
      <c r="G13" s="39">
        <f aca="true" t="shared" si="5" ref="G13:T13">G14/G5</f>
        <v>0.173047473200613</v>
      </c>
      <c r="H13" s="39">
        <f t="shared" si="5"/>
        <v>1</v>
      </c>
      <c r="I13" s="39">
        <f t="shared" si="5"/>
        <v>0.0031201248049922</v>
      </c>
      <c r="J13" s="39">
        <f t="shared" si="5"/>
        <v>1</v>
      </c>
      <c r="K13" s="39">
        <f t="shared" si="5"/>
        <v>1</v>
      </c>
      <c r="L13" s="39">
        <f t="shared" si="5"/>
        <v>0.485909479077711</v>
      </c>
      <c r="M13" s="39">
        <f t="shared" si="5"/>
        <v>0</v>
      </c>
      <c r="N13" s="39">
        <f t="shared" si="5"/>
        <v>1</v>
      </c>
      <c r="O13" s="39">
        <f t="shared" si="5"/>
        <v>1</v>
      </c>
      <c r="P13" s="39">
        <f t="shared" si="5"/>
        <v>1</v>
      </c>
      <c r="Q13" s="39">
        <f t="shared" si="5"/>
        <v>0</v>
      </c>
      <c r="R13" s="39">
        <f t="shared" si="5"/>
        <v>0.104133545310016</v>
      </c>
      <c r="S13" s="39">
        <f t="shared" si="5"/>
        <v>0.467486818980668</v>
      </c>
      <c r="T13" s="39">
        <f t="shared" si="5"/>
        <v>1</v>
      </c>
    </row>
    <row r="14" spans="1:20" ht="100.5" customHeight="1">
      <c r="A14" s="69"/>
      <c r="B14" s="155"/>
      <c r="C14" s="69"/>
      <c r="D14" s="25" t="s">
        <v>49</v>
      </c>
      <c r="E14" s="73"/>
      <c r="F14" s="40">
        <v>457</v>
      </c>
      <c r="G14" s="40">
        <v>113</v>
      </c>
      <c r="H14" s="40">
        <v>577</v>
      </c>
      <c r="I14" s="40">
        <v>2</v>
      </c>
      <c r="J14" s="40">
        <v>504</v>
      </c>
      <c r="K14" s="40">
        <v>722</v>
      </c>
      <c r="L14" s="40">
        <v>569</v>
      </c>
      <c r="M14" s="46"/>
      <c r="N14" s="40">
        <v>1300</v>
      </c>
      <c r="O14" s="40">
        <v>209</v>
      </c>
      <c r="P14" s="40">
        <v>605</v>
      </c>
      <c r="Q14" s="40"/>
      <c r="R14" s="40">
        <v>131</v>
      </c>
      <c r="S14" s="40">
        <v>532</v>
      </c>
      <c r="T14" s="40">
        <v>486</v>
      </c>
    </row>
    <row r="15" spans="1:20" ht="74.25" customHeight="1">
      <c r="A15" s="69"/>
      <c r="B15" s="155"/>
      <c r="C15" s="69"/>
      <c r="D15" s="24" t="s">
        <v>74</v>
      </c>
      <c r="E15" s="74">
        <f>(SUM(F15:T15))/15</f>
        <v>1</v>
      </c>
      <c r="F15" s="42">
        <f>1+F16</f>
        <v>1</v>
      </c>
      <c r="G15" s="42">
        <f aca="true" t="shared" si="6" ref="G15:T15">1+G16</f>
        <v>1</v>
      </c>
      <c r="H15" s="42">
        <f t="shared" si="6"/>
        <v>1</v>
      </c>
      <c r="I15" s="42">
        <f t="shared" si="6"/>
        <v>1</v>
      </c>
      <c r="J15" s="42">
        <f t="shared" si="6"/>
        <v>1</v>
      </c>
      <c r="K15" s="42">
        <f t="shared" si="6"/>
        <v>1</v>
      </c>
      <c r="L15" s="42">
        <f t="shared" si="6"/>
        <v>1</v>
      </c>
      <c r="M15" s="42">
        <f t="shared" si="6"/>
        <v>1</v>
      </c>
      <c r="N15" s="42">
        <f t="shared" si="6"/>
        <v>1</v>
      </c>
      <c r="O15" s="42">
        <f t="shared" si="6"/>
        <v>1</v>
      </c>
      <c r="P15" s="42">
        <f t="shared" si="6"/>
        <v>1</v>
      </c>
      <c r="Q15" s="42">
        <f t="shared" si="6"/>
        <v>1</v>
      </c>
      <c r="R15" s="42">
        <f t="shared" si="6"/>
        <v>1</v>
      </c>
      <c r="S15" s="42">
        <f t="shared" si="6"/>
        <v>1</v>
      </c>
      <c r="T15" s="42">
        <f t="shared" si="6"/>
        <v>1</v>
      </c>
    </row>
    <row r="16" spans="1:20" ht="74.25" customHeight="1">
      <c r="A16" s="69"/>
      <c r="B16" s="155"/>
      <c r="C16" s="69"/>
      <c r="D16" s="25" t="s">
        <v>75</v>
      </c>
      <c r="E16" s="73"/>
      <c r="F16" s="39">
        <f>F17/F5</f>
        <v>0</v>
      </c>
      <c r="G16" s="39">
        <f aca="true" t="shared" si="7" ref="G16:T16">G17/G5</f>
        <v>0</v>
      </c>
      <c r="H16" s="39">
        <f t="shared" si="7"/>
        <v>0</v>
      </c>
      <c r="I16" s="39">
        <f t="shared" si="7"/>
        <v>0</v>
      </c>
      <c r="J16" s="39">
        <f t="shared" si="7"/>
        <v>0</v>
      </c>
      <c r="K16" s="39">
        <f t="shared" si="7"/>
        <v>0</v>
      </c>
      <c r="L16" s="39">
        <f t="shared" si="7"/>
        <v>0</v>
      </c>
      <c r="M16" s="39">
        <f t="shared" si="7"/>
        <v>0</v>
      </c>
      <c r="N16" s="39">
        <f t="shared" si="7"/>
        <v>0</v>
      </c>
      <c r="O16" s="39">
        <f t="shared" si="7"/>
        <v>0</v>
      </c>
      <c r="P16" s="39">
        <f t="shared" si="7"/>
        <v>0</v>
      </c>
      <c r="Q16" s="39">
        <f t="shared" si="7"/>
        <v>0</v>
      </c>
      <c r="R16" s="39">
        <f t="shared" si="7"/>
        <v>0</v>
      </c>
      <c r="S16" s="39">
        <f t="shared" si="7"/>
        <v>0</v>
      </c>
      <c r="T16" s="39">
        <f t="shared" si="7"/>
        <v>0</v>
      </c>
    </row>
    <row r="17" spans="1:20" ht="74.25" customHeight="1">
      <c r="A17" s="69"/>
      <c r="B17" s="155"/>
      <c r="C17" s="69"/>
      <c r="D17" s="25" t="s">
        <v>76</v>
      </c>
      <c r="E17" s="73"/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</row>
    <row r="18" spans="1:20" ht="100.5" customHeight="1">
      <c r="A18" s="69"/>
      <c r="B18" s="155"/>
      <c r="C18" s="69"/>
      <c r="D18" s="24" t="s">
        <v>51</v>
      </c>
      <c r="E18" s="74">
        <f>(SUM(F18:T18))/15</f>
        <v>2.06526666666667</v>
      </c>
      <c r="F18" s="42">
        <f>1+F19/$E$20+F21/$E$22</f>
        <v>1.973</v>
      </c>
      <c r="G18" s="42">
        <f aca="true" t="shared" si="8" ref="G18:T18">1+G19/$E$20+G21/$E$22</f>
        <v>1.182</v>
      </c>
      <c r="H18" s="42">
        <f t="shared" si="8"/>
        <v>1.487</v>
      </c>
      <c r="I18" s="42">
        <f t="shared" si="8"/>
        <v>2.022</v>
      </c>
      <c r="J18" s="42">
        <f t="shared" si="8"/>
        <v>1.795</v>
      </c>
      <c r="K18" s="42">
        <f t="shared" si="8"/>
        <v>2.656</v>
      </c>
      <c r="L18" s="42">
        <f t="shared" si="8"/>
        <v>1.872</v>
      </c>
      <c r="M18" s="42">
        <f t="shared" si="8"/>
        <v>1.022</v>
      </c>
      <c r="N18" s="42">
        <f t="shared" si="8"/>
        <v>1.37</v>
      </c>
      <c r="O18" s="42">
        <f t="shared" si="8"/>
        <v>2.853</v>
      </c>
      <c r="P18" s="42">
        <f t="shared" si="8"/>
        <v>4.296</v>
      </c>
      <c r="Q18" s="42">
        <f t="shared" si="8"/>
        <v>1.129</v>
      </c>
      <c r="R18" s="42">
        <f t="shared" si="8"/>
        <v>2.413</v>
      </c>
      <c r="S18" s="42">
        <f t="shared" si="8"/>
        <v>2.866</v>
      </c>
      <c r="T18" s="42">
        <f t="shared" si="8"/>
        <v>2.043</v>
      </c>
    </row>
    <row r="19" spans="1:20" ht="100.5" customHeight="1">
      <c r="A19" s="69"/>
      <c r="B19" s="155"/>
      <c r="C19" s="69"/>
      <c r="D19" s="25" t="s">
        <v>50</v>
      </c>
      <c r="E19" s="73"/>
      <c r="F19" s="40">
        <v>59</v>
      </c>
      <c r="G19" s="40">
        <v>9</v>
      </c>
      <c r="H19" s="40">
        <v>26</v>
      </c>
      <c r="I19" s="40">
        <v>65</v>
      </c>
      <c r="J19" s="40">
        <v>46</v>
      </c>
      <c r="K19" s="40">
        <v>102</v>
      </c>
      <c r="L19" s="40">
        <v>51</v>
      </c>
      <c r="M19" s="40"/>
      <c r="N19" s="40">
        <v>17</v>
      </c>
      <c r="O19" s="40">
        <v>119</v>
      </c>
      <c r="P19" s="40">
        <v>210</v>
      </c>
      <c r="Q19" s="40">
        <v>7</v>
      </c>
      <c r="R19" s="40">
        <v>89</v>
      </c>
      <c r="S19" s="40">
        <v>110</v>
      </c>
      <c r="T19" s="40">
        <v>65</v>
      </c>
    </row>
    <row r="20" spans="1:20" ht="100.5" customHeight="1">
      <c r="A20" s="69"/>
      <c r="B20" s="155"/>
      <c r="C20" s="69"/>
      <c r="D20" s="25" t="s">
        <v>52</v>
      </c>
      <c r="E20" s="72">
        <v>65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</row>
    <row r="21" spans="1:20" ht="50.25" customHeight="1">
      <c r="A21" s="69"/>
      <c r="B21" s="155"/>
      <c r="C21" s="69"/>
      <c r="D21" s="25" t="s">
        <v>77</v>
      </c>
      <c r="E21" s="73"/>
      <c r="F21" s="40">
        <v>3</v>
      </c>
      <c r="G21" s="40">
        <v>2</v>
      </c>
      <c r="H21" s="40">
        <v>4</v>
      </c>
      <c r="I21" s="40">
        <v>1</v>
      </c>
      <c r="J21" s="40">
        <v>4</v>
      </c>
      <c r="K21" s="40">
        <v>4</v>
      </c>
      <c r="L21" s="40">
        <v>4</v>
      </c>
      <c r="M21" s="40">
        <v>1</v>
      </c>
      <c r="N21" s="40">
        <v>5</v>
      </c>
      <c r="O21" s="40">
        <v>1</v>
      </c>
      <c r="P21" s="40">
        <v>3</v>
      </c>
      <c r="Q21" s="40">
        <v>1</v>
      </c>
      <c r="R21" s="40">
        <v>2</v>
      </c>
      <c r="S21" s="40">
        <v>8</v>
      </c>
      <c r="T21" s="40">
        <v>2</v>
      </c>
    </row>
    <row r="22" spans="1:20" ht="60.75" customHeight="1">
      <c r="A22" s="69"/>
      <c r="B22" s="155"/>
      <c r="C22" s="69"/>
      <c r="D22" s="25" t="s">
        <v>53</v>
      </c>
      <c r="E22" s="72">
        <v>46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ht="9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1:20" ht="75">
      <c r="A24" s="75"/>
      <c r="B24" s="75"/>
      <c r="C24" s="75"/>
      <c r="D24" s="76" t="s">
        <v>40</v>
      </c>
      <c r="E24" s="72">
        <v>0.3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0" ht="33.75" customHeight="1">
      <c r="A25" s="75"/>
      <c r="B25" s="75"/>
      <c r="C25" s="75"/>
      <c r="D25" s="76" t="s">
        <v>41</v>
      </c>
      <c r="E25" s="72">
        <v>0.7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</row>
    <row r="26" spans="1:20" ht="18" customHeight="1">
      <c r="A26" s="75"/>
      <c r="B26" s="75"/>
      <c r="C26" s="75"/>
      <c r="D26" s="75"/>
      <c r="E26" s="77" t="s">
        <v>24</v>
      </c>
      <c r="F26" s="78">
        <f>F6*$E$24+F8*$E$25</f>
        <v>1.203</v>
      </c>
      <c r="G26" s="78">
        <f aca="true" t="shared" si="9" ref="G26:T26">G6*$E$24+G8*$E$25</f>
        <v>0.666</v>
      </c>
      <c r="H26" s="78">
        <f t="shared" si="9"/>
        <v>0.999</v>
      </c>
      <c r="I26" s="78">
        <f t="shared" si="9"/>
        <v>0.801</v>
      </c>
      <c r="J26" s="78">
        <f t="shared" si="9"/>
        <v>1.128</v>
      </c>
      <c r="K26" s="78">
        <f t="shared" si="9"/>
        <v>1.489</v>
      </c>
      <c r="L26" s="78">
        <f t="shared" si="9"/>
        <v>0.959</v>
      </c>
      <c r="M26" s="78">
        <f t="shared" si="9"/>
        <v>0.589</v>
      </c>
      <c r="N26" s="78">
        <f t="shared" si="9"/>
        <v>0.95</v>
      </c>
      <c r="O26" s="78">
        <f t="shared" si="9"/>
        <v>1.572</v>
      </c>
      <c r="P26" s="78">
        <f t="shared" si="9"/>
        <v>2.178</v>
      </c>
      <c r="Q26" s="78">
        <f t="shared" si="9"/>
        <v>0.612</v>
      </c>
      <c r="R26" s="78">
        <f t="shared" si="9"/>
        <v>0.934</v>
      </c>
      <c r="S26" s="78">
        <f t="shared" si="9"/>
        <v>1.257</v>
      </c>
      <c r="T26" s="78">
        <f t="shared" si="9"/>
        <v>1.233</v>
      </c>
    </row>
    <row r="27" spans="1:20" ht="18.75" customHeight="1">
      <c r="A27" s="75"/>
      <c r="B27" s="75"/>
      <c r="C27" s="75"/>
      <c r="D27" s="75"/>
      <c r="E27" s="77" t="s">
        <v>12</v>
      </c>
      <c r="F27" s="78">
        <f>'[2]РАСЧЕТ ИНП'!Q10</f>
        <v>0.759</v>
      </c>
      <c r="G27" s="78">
        <f>'[2]РАСЧЕТ ИНП'!Q11</f>
        <v>0.139</v>
      </c>
      <c r="H27" s="78">
        <f>'[2]РАСЧЕТ ИНП'!Q12</f>
        <v>0.399</v>
      </c>
      <c r="I27" s="78">
        <f>'[2]РАСЧЕТ ИНП'!Q13</f>
        <v>0.271</v>
      </c>
      <c r="J27" s="78">
        <f>'[2]РАСЧЕТ ИНП'!Q14</f>
        <v>0.391</v>
      </c>
      <c r="K27" s="78">
        <f>'[2]РАСЧЕТ ИНП'!Q15</f>
        <v>1.239</v>
      </c>
      <c r="L27" s="78">
        <f>'[2]РАСЧЕТ ИНП'!Q16</f>
        <v>0.73</v>
      </c>
      <c r="M27" s="78">
        <f>'[2]РАСЧЕТ ИНП'!Q17</f>
        <v>1.324</v>
      </c>
      <c r="N27" s="78">
        <f>'[2]РАСЧЕТ ИНП'!Q18</f>
        <v>0.982</v>
      </c>
      <c r="O27" s="78">
        <f>'[2]РАСЧЕТ ИНП'!Q19</f>
        <v>0.184</v>
      </c>
      <c r="P27" s="78">
        <f>'[2]РАСЧЕТ ИНП'!Q20</f>
        <v>2.445</v>
      </c>
      <c r="Q27" s="78">
        <f>'[2]РАСЧЕТ ИНП'!Q21</f>
        <v>0.433</v>
      </c>
      <c r="R27" s="78">
        <f>'[2]РАСЧЕТ ИНП'!Q22</f>
        <v>0.748</v>
      </c>
      <c r="S27" s="78">
        <f>'[2]РАСЧЕТ ИНП'!Q23</f>
        <v>1.194</v>
      </c>
      <c r="T27" s="78">
        <f>'[2]РАСЧЕТ ИНП'!Q24</f>
        <v>0.21</v>
      </c>
    </row>
    <row r="28" spans="1:20" ht="19.5" customHeight="1">
      <c r="A28" s="75"/>
      <c r="B28" s="75"/>
      <c r="C28" s="75"/>
      <c r="D28" s="75"/>
      <c r="E28" s="77" t="s">
        <v>25</v>
      </c>
      <c r="F28" s="78">
        <f>F27/F26</f>
        <v>0.631</v>
      </c>
      <c r="G28" s="78">
        <f aca="true" t="shared" si="10" ref="G28:R28">G27/G26</f>
        <v>0.209</v>
      </c>
      <c r="H28" s="78">
        <f t="shared" si="10"/>
        <v>0.399</v>
      </c>
      <c r="I28" s="78">
        <f t="shared" si="10"/>
        <v>0.338</v>
      </c>
      <c r="J28" s="78">
        <f t="shared" si="10"/>
        <v>0.347</v>
      </c>
      <c r="K28" s="78">
        <f t="shared" si="10"/>
        <v>0.832</v>
      </c>
      <c r="L28" s="78">
        <f t="shared" si="10"/>
        <v>0.761</v>
      </c>
      <c r="M28" s="78">
        <f t="shared" si="10"/>
        <v>2.248</v>
      </c>
      <c r="N28" s="78">
        <f t="shared" si="10"/>
        <v>1.034</v>
      </c>
      <c r="O28" s="78">
        <f t="shared" si="10"/>
        <v>0.117</v>
      </c>
      <c r="P28" s="78">
        <f t="shared" si="10"/>
        <v>1.123</v>
      </c>
      <c r="Q28" s="78">
        <f t="shared" si="10"/>
        <v>0.708</v>
      </c>
      <c r="R28" s="78">
        <f t="shared" si="10"/>
        <v>0.801</v>
      </c>
      <c r="S28" s="78">
        <f>S27/S26</f>
        <v>0.95</v>
      </c>
      <c r="T28" s="78">
        <f>T27/T26</f>
        <v>0.17</v>
      </c>
    </row>
    <row r="29" spans="1:20" ht="15.75" customHeight="1">
      <c r="A29" s="75"/>
      <c r="B29" s="75"/>
      <c r="C29" s="75"/>
      <c r="D29" s="75"/>
      <c r="E29" s="75"/>
      <c r="F29" s="64">
        <v>1</v>
      </c>
      <c r="G29" s="64">
        <v>2</v>
      </c>
      <c r="H29" s="64">
        <v>3</v>
      </c>
      <c r="I29" s="64">
        <v>4</v>
      </c>
      <c r="J29" s="64">
        <v>5</v>
      </c>
      <c r="K29" s="64">
        <v>6</v>
      </c>
      <c r="L29" s="64">
        <v>7</v>
      </c>
      <c r="M29" s="64">
        <v>8</v>
      </c>
      <c r="N29" s="64">
        <v>9</v>
      </c>
      <c r="O29" s="64">
        <v>10</v>
      </c>
      <c r="P29" s="64">
        <v>11</v>
      </c>
      <c r="Q29" s="64">
        <v>12</v>
      </c>
      <c r="R29" s="64">
        <v>13</v>
      </c>
      <c r="S29" s="64">
        <v>14</v>
      </c>
      <c r="T29" s="64">
        <v>15</v>
      </c>
    </row>
    <row r="30" spans="1:20" ht="18.7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</row>
    <row r="31" ht="20.25">
      <c r="C31" s="43" t="s">
        <v>79</v>
      </c>
    </row>
  </sheetData>
  <sheetProtection/>
  <printOptions/>
  <pageMargins left="0.1968503937007874" right="0.2362204724409449" top="0.31496062992125984" bottom="0.1968503937007874" header="0.5118110236220472" footer="0.5118110236220472"/>
  <pageSetup fitToWidth="2" horizontalDpi="600" verticalDpi="600" orientation="landscape" paperSize="8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2:L36"/>
  <sheetViews>
    <sheetView tabSelected="1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2" sqref="I12"/>
    </sheetView>
  </sheetViews>
  <sheetFormatPr defaultColWidth="9.00390625" defaultRowHeight="12.75"/>
  <cols>
    <col min="1" max="1" width="31.25390625" style="0" customWidth="1"/>
    <col min="2" max="2" width="21.375" style="0" customWidth="1"/>
    <col min="3" max="3" width="18.00390625" style="0" customWidth="1"/>
    <col min="4" max="4" width="15.625" style="0" customWidth="1"/>
    <col min="5" max="5" width="11.25390625" style="0" customWidth="1"/>
    <col min="6" max="6" width="16.00390625" style="0" customWidth="1"/>
    <col min="7" max="7" width="16.125" style="0" customWidth="1"/>
    <col min="8" max="8" width="15.375" style="0" customWidth="1"/>
    <col min="9" max="9" width="17.375" style="21" customWidth="1"/>
    <col min="10" max="10" width="17.375" style="0" customWidth="1"/>
    <col min="11" max="11" width="20.125" style="0" customWidth="1"/>
    <col min="12" max="12" width="12.25390625" style="0" customWidth="1"/>
  </cols>
  <sheetData>
    <row r="2" spans="1:11" ht="51.75" customHeight="1">
      <c r="A2" s="181"/>
      <c r="B2" s="182" t="s">
        <v>132</v>
      </c>
      <c r="C2" s="161"/>
      <c r="D2" s="161"/>
      <c r="E2" s="161"/>
      <c r="F2" s="161"/>
      <c r="G2" s="161"/>
      <c r="H2" s="161"/>
      <c r="I2" s="161"/>
      <c r="J2" s="161"/>
      <c r="K2" s="161"/>
    </row>
    <row r="4" spans="1:12" ht="12.75" customHeight="1">
      <c r="A4" s="187" t="s">
        <v>11</v>
      </c>
      <c r="B4" s="187" t="s">
        <v>28</v>
      </c>
      <c r="C4" s="187"/>
      <c r="D4" s="188" t="s">
        <v>26</v>
      </c>
      <c r="E4" s="188"/>
      <c r="F4" s="188"/>
      <c r="G4" s="188"/>
      <c r="H4" s="188"/>
      <c r="I4" s="188"/>
      <c r="J4" s="189" t="s">
        <v>27</v>
      </c>
      <c r="K4" s="187" t="s">
        <v>63</v>
      </c>
      <c r="L4" s="85"/>
    </row>
    <row r="5" spans="1:12" ht="12.75" customHeight="1">
      <c r="A5" s="187"/>
      <c r="B5" s="187"/>
      <c r="C5" s="187" t="s">
        <v>34</v>
      </c>
      <c r="D5" s="187" t="s">
        <v>13</v>
      </c>
      <c r="E5" s="187" t="s">
        <v>29</v>
      </c>
      <c r="F5" s="187" t="s">
        <v>30</v>
      </c>
      <c r="G5" s="187" t="s">
        <v>24</v>
      </c>
      <c r="H5" s="187" t="s">
        <v>31</v>
      </c>
      <c r="I5" s="187" t="s">
        <v>55</v>
      </c>
      <c r="J5" s="187" t="s">
        <v>56</v>
      </c>
      <c r="K5" s="187"/>
      <c r="L5" s="85"/>
    </row>
    <row r="6" spans="1:12" ht="36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85"/>
    </row>
    <row r="7" spans="1:12" ht="15.75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85"/>
    </row>
    <row r="8" spans="1:12" ht="15.75">
      <c r="A8" s="187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85"/>
    </row>
    <row r="9" spans="1:12" ht="15.75">
      <c r="A9" s="190">
        <v>1</v>
      </c>
      <c r="B9" s="190">
        <v>2</v>
      </c>
      <c r="C9" s="190">
        <v>2</v>
      </c>
      <c r="D9" s="190">
        <v>3</v>
      </c>
      <c r="E9" s="226">
        <v>5</v>
      </c>
      <c r="F9" s="190">
        <v>6</v>
      </c>
      <c r="G9" s="190">
        <v>7</v>
      </c>
      <c r="H9" s="190">
        <v>8</v>
      </c>
      <c r="I9" s="190">
        <v>9</v>
      </c>
      <c r="J9" s="190">
        <v>10</v>
      </c>
      <c r="K9" s="190">
        <v>11</v>
      </c>
      <c r="L9" s="85"/>
    </row>
    <row r="10" spans="1:12" ht="15.75">
      <c r="A10" s="191">
        <v>1</v>
      </c>
      <c r="B10" s="192" t="str">
        <f>'[2]РАСЧЕТ ИНП'!B10</f>
        <v>Альбитуйское </v>
      </c>
      <c r="C10" s="193">
        <v>1036.3</v>
      </c>
      <c r="D10" s="223">
        <f>'[2]РАСЧЕТ ИНП'!C10</f>
        <v>457</v>
      </c>
      <c r="E10" s="227">
        <v>1.79</v>
      </c>
      <c r="F10" s="225">
        <f>'[2]РАСЧЕТ ИБР'!F28</f>
        <v>0.631</v>
      </c>
      <c r="G10" s="194">
        <f>'[2]РАСЧЕТ ИБР'!F26</f>
        <v>1.203</v>
      </c>
      <c r="H10" s="195">
        <f aca="true" t="shared" si="0" ref="H10:H24">($C$25/$D$25)*($E$10-F10)*G10*D10</f>
        <v>535</v>
      </c>
      <c r="I10" s="248">
        <v>2233</v>
      </c>
      <c r="J10" s="249">
        <v>66</v>
      </c>
      <c r="K10" s="196">
        <f>I10+J10</f>
        <v>2299</v>
      </c>
      <c r="L10" s="197"/>
    </row>
    <row r="11" spans="1:12" ht="15.75">
      <c r="A11" s="191">
        <v>2</v>
      </c>
      <c r="B11" s="192" t="str">
        <f>'[2]РАСЧЕТ ИНП'!B11</f>
        <v>Архангельское</v>
      </c>
      <c r="C11" s="193">
        <v>237.6</v>
      </c>
      <c r="D11" s="223">
        <f>'[2]РАСЧЕТ ИНП'!C11</f>
        <v>653</v>
      </c>
      <c r="E11" s="227"/>
      <c r="F11" s="225">
        <f>'[2]РАСЧЕТ ИБР'!G28</f>
        <v>0.209</v>
      </c>
      <c r="G11" s="194">
        <f>'[2]РАСЧЕТ ИБР'!G26</f>
        <v>0.666</v>
      </c>
      <c r="H11" s="195">
        <f t="shared" si="0"/>
        <v>577</v>
      </c>
      <c r="I11" s="195">
        <v>3704</v>
      </c>
      <c r="J11" s="196">
        <f aca="true" t="shared" si="1" ref="J11:J24">$J$25/$D$25*D11</f>
        <v>94.2</v>
      </c>
      <c r="K11" s="196">
        <f aca="true" t="shared" si="2" ref="K11:K24">I11+J11</f>
        <v>3798.2</v>
      </c>
      <c r="L11" s="197"/>
    </row>
    <row r="12" spans="1:12" ht="15.75">
      <c r="A12" s="191">
        <v>3</v>
      </c>
      <c r="B12" s="192" t="str">
        <f>'[2]РАСЧЕТ ИНП'!B12</f>
        <v>Байхорское </v>
      </c>
      <c r="C12" s="193">
        <v>185</v>
      </c>
      <c r="D12" s="223">
        <f>'[2]РАСЧЕТ ИНП'!C12</f>
        <v>577</v>
      </c>
      <c r="E12" s="227"/>
      <c r="F12" s="225">
        <f>'[2]РАСЧЕТ ИБР'!H28</f>
        <v>0.399</v>
      </c>
      <c r="G12" s="194">
        <f>'[2]РАСЧЕТ ИБР'!H26</f>
        <v>0.999</v>
      </c>
      <c r="H12" s="195">
        <f t="shared" si="0"/>
        <v>673</v>
      </c>
      <c r="I12" s="195">
        <v>2594</v>
      </c>
      <c r="J12" s="196">
        <f t="shared" si="1"/>
        <v>83.2</v>
      </c>
      <c r="K12" s="196">
        <f t="shared" si="2"/>
        <v>2677.2</v>
      </c>
      <c r="L12" s="197"/>
    </row>
    <row r="13" spans="1:12" ht="15.75">
      <c r="A13" s="191">
        <v>4</v>
      </c>
      <c r="B13" s="192" t="str">
        <f>'[2]РАСЧЕТ ИНП'!B13</f>
        <v>Большереченское</v>
      </c>
      <c r="C13" s="193">
        <v>207</v>
      </c>
      <c r="D13" s="223">
        <f>'[2]РАСЧЕТ ИНП'!C13</f>
        <v>641</v>
      </c>
      <c r="E13" s="227"/>
      <c r="F13" s="225">
        <f>'[2]РАСЧЕТ ИБР'!I28</f>
        <v>0.338</v>
      </c>
      <c r="G13" s="194">
        <f>'[2]РАСЧЕТ ИБР'!I26</f>
        <v>0.801</v>
      </c>
      <c r="H13" s="195">
        <f t="shared" si="0"/>
        <v>626</v>
      </c>
      <c r="I13" s="195">
        <v>2521</v>
      </c>
      <c r="J13" s="196">
        <f t="shared" si="1"/>
        <v>92.4</v>
      </c>
      <c r="K13" s="196">
        <f t="shared" si="2"/>
        <v>2613.4</v>
      </c>
      <c r="L13" s="197"/>
    </row>
    <row r="14" spans="1:12" ht="15.75">
      <c r="A14" s="191">
        <v>5</v>
      </c>
      <c r="B14" s="192" t="str">
        <f>'[2]РАСЧЕТ ИНП'!B14</f>
        <v>Верхнешергольджинское</v>
      </c>
      <c r="C14" s="193">
        <v>359</v>
      </c>
      <c r="D14" s="223">
        <f>'[2]РАСЧЕТ ИНП'!C14</f>
        <v>504</v>
      </c>
      <c r="E14" s="227"/>
      <c r="F14" s="225">
        <f>'[2]РАСЧЕТ ИБР'!J28</f>
        <v>0.347</v>
      </c>
      <c r="G14" s="194">
        <f>'[2]РАСЧЕТ ИБР'!J26</f>
        <v>1.128</v>
      </c>
      <c r="H14" s="195">
        <f t="shared" si="0"/>
        <v>689</v>
      </c>
      <c r="I14" s="195">
        <v>2314</v>
      </c>
      <c r="J14" s="196">
        <f t="shared" si="1"/>
        <v>72.7</v>
      </c>
      <c r="K14" s="196">
        <f t="shared" si="2"/>
        <v>2386.7</v>
      </c>
      <c r="L14" s="197"/>
    </row>
    <row r="15" spans="1:12" ht="15.75">
      <c r="A15" s="191">
        <v>6</v>
      </c>
      <c r="B15" s="192" t="str">
        <f>'[2]РАСЧЕТ ИНП'!B15</f>
        <v>Жиндойское </v>
      </c>
      <c r="C15" s="193">
        <v>511</v>
      </c>
      <c r="D15" s="223">
        <f>'[2]РАСЧЕТ ИНП'!C15</f>
        <v>722</v>
      </c>
      <c r="E15" s="227"/>
      <c r="F15" s="225">
        <f>'[2]РАСЧЕТ ИБР'!K28</f>
        <v>0.832</v>
      </c>
      <c r="G15" s="194">
        <f>'[2]РАСЧЕТ ИБР'!K26</f>
        <v>1.489</v>
      </c>
      <c r="H15" s="195">
        <f t="shared" si="0"/>
        <v>865</v>
      </c>
      <c r="I15" s="195">
        <v>2606</v>
      </c>
      <c r="J15" s="196">
        <f t="shared" si="1"/>
        <v>104.1</v>
      </c>
      <c r="K15" s="196">
        <f t="shared" si="2"/>
        <v>2710.1</v>
      </c>
      <c r="L15" s="197"/>
    </row>
    <row r="16" spans="1:12" ht="15.75">
      <c r="A16" s="191">
        <v>7</v>
      </c>
      <c r="B16" s="192" t="str">
        <f>'[2]РАСЧЕТ ИНП'!B16</f>
        <v>Захаровское</v>
      </c>
      <c r="C16" s="193">
        <v>395</v>
      </c>
      <c r="D16" s="223">
        <f>'[2]РАСЧЕТ ИНП'!C16</f>
        <v>1171</v>
      </c>
      <c r="E16" s="227"/>
      <c r="F16" s="225">
        <f>'[2]РАСЧЕТ ИБР'!L28</f>
        <v>0.761</v>
      </c>
      <c r="G16" s="194">
        <f>'[2]РАСЧЕТ ИБР'!L26</f>
        <v>0.959</v>
      </c>
      <c r="H16" s="195">
        <f t="shared" si="0"/>
        <v>970</v>
      </c>
      <c r="I16" s="195">
        <v>3095</v>
      </c>
      <c r="J16" s="196">
        <f t="shared" si="1"/>
        <v>168.8</v>
      </c>
      <c r="K16" s="196">
        <f t="shared" si="2"/>
        <v>3263.8</v>
      </c>
      <c r="L16" s="197"/>
    </row>
    <row r="17" spans="1:12" ht="15.75">
      <c r="A17" s="191">
        <v>8</v>
      </c>
      <c r="B17" s="192" t="str">
        <f>'[2]РАСЧЕТ ИНП'!B17</f>
        <v>Красночикойское </v>
      </c>
      <c r="C17" s="193">
        <v>8346</v>
      </c>
      <c r="D17" s="223">
        <f>'[2]РАСЧЕТ ИНП'!C17</f>
        <v>7030</v>
      </c>
      <c r="E17" s="227"/>
      <c r="F17" s="225">
        <f>'[2]РАСЧЕТ ИБР'!M28</f>
        <v>2.248</v>
      </c>
      <c r="G17" s="194">
        <f>'[2]РАСЧЕТ ИБР'!M26</f>
        <v>0.589</v>
      </c>
      <c r="H17" s="195"/>
      <c r="I17" s="195">
        <f>$C$27*H17/$H$25</f>
        <v>0</v>
      </c>
      <c r="J17" s="196">
        <f t="shared" si="1"/>
        <v>1013.6</v>
      </c>
      <c r="K17" s="196">
        <f t="shared" si="2"/>
        <v>1013.6</v>
      </c>
      <c r="L17" s="197"/>
    </row>
    <row r="18" spans="1:12" ht="15.75">
      <c r="A18" s="191">
        <v>9</v>
      </c>
      <c r="B18" s="192" t="str">
        <f>'[2]РАСЧЕТ ИНП'!B18</f>
        <v>Коротковское </v>
      </c>
      <c r="C18" s="193">
        <v>616</v>
      </c>
      <c r="D18" s="223">
        <f>'[2]РАСЧЕТ ИНП'!C18</f>
        <v>1300</v>
      </c>
      <c r="E18" s="227"/>
      <c r="F18" s="225">
        <f>'[2]РАСЧЕТ ИБР'!N28</f>
        <v>1.034</v>
      </c>
      <c r="G18" s="194">
        <f>'[2]РАСЧЕТ ИБР'!N26</f>
        <v>0.95</v>
      </c>
      <c r="H18" s="195">
        <f t="shared" si="0"/>
        <v>784</v>
      </c>
      <c r="I18" s="195">
        <v>1755</v>
      </c>
      <c r="J18" s="196">
        <f t="shared" si="1"/>
        <v>187.4</v>
      </c>
      <c r="K18" s="196">
        <f t="shared" si="2"/>
        <v>1942.4</v>
      </c>
      <c r="L18" s="197"/>
    </row>
    <row r="19" spans="1:12" ht="15.75">
      <c r="A19" s="191">
        <v>10</v>
      </c>
      <c r="B19" s="192" t="str">
        <f>'[2]РАСЧЕТ ИНП'!B19</f>
        <v>Конкинское</v>
      </c>
      <c r="C19" s="193">
        <v>50</v>
      </c>
      <c r="D19" s="223">
        <f>'[2]РАСЧЕТ ИНП'!C19</f>
        <v>209</v>
      </c>
      <c r="E19" s="227"/>
      <c r="F19" s="225">
        <f>'[2]РАСЧЕТ ИБР'!O28</f>
        <v>0.117</v>
      </c>
      <c r="G19" s="194">
        <f>'[2]РАСЧЕТ ИБР'!O26</f>
        <v>1.572</v>
      </c>
      <c r="H19" s="195">
        <f t="shared" si="0"/>
        <v>462</v>
      </c>
      <c r="I19" s="195">
        <v>1786</v>
      </c>
      <c r="J19" s="196">
        <f t="shared" si="1"/>
        <v>30.1</v>
      </c>
      <c r="K19" s="196">
        <f t="shared" si="2"/>
        <v>1816.1</v>
      </c>
      <c r="L19" s="197"/>
    </row>
    <row r="20" spans="1:12" ht="15.75">
      <c r="A20" s="191">
        <v>11</v>
      </c>
      <c r="B20" s="192" t="str">
        <f>'[2]РАСЧЕТ ИНП'!B20</f>
        <v>Мензинское</v>
      </c>
      <c r="C20" s="193">
        <v>272</v>
      </c>
      <c r="D20" s="223">
        <f>'[2]РАСЧЕТ ИНП'!C20</f>
        <v>605</v>
      </c>
      <c r="E20" s="227"/>
      <c r="F20" s="225">
        <f>'[2]РАСЧЕТ ИБР'!P28</f>
        <v>1.123</v>
      </c>
      <c r="G20" s="194">
        <f>'[2]РАСЧЕТ ИБР'!P26</f>
        <v>2.178</v>
      </c>
      <c r="H20" s="195">
        <f t="shared" si="0"/>
        <v>738</v>
      </c>
      <c r="I20" s="195">
        <v>2935</v>
      </c>
      <c r="J20" s="196">
        <f t="shared" si="1"/>
        <v>87.2</v>
      </c>
      <c r="K20" s="196">
        <f t="shared" si="2"/>
        <v>3022.2</v>
      </c>
      <c r="L20" s="197"/>
    </row>
    <row r="21" spans="1:12" ht="15.75">
      <c r="A21" s="191">
        <v>12</v>
      </c>
      <c r="B21" s="192" t="str">
        <f>'[2]РАСЧЕТ ИНП'!B21</f>
        <v>Малоархангельское</v>
      </c>
      <c r="C21" s="193">
        <v>1077</v>
      </c>
      <c r="D21" s="223">
        <f>'[2]РАСЧЕТ ИНП'!C21</f>
        <v>948</v>
      </c>
      <c r="E21" s="227"/>
      <c r="F21" s="225">
        <f>'[2]РАСЧЕТ ИБР'!Q28</f>
        <v>0.708</v>
      </c>
      <c r="G21" s="194">
        <f>'[2]РАСЧЕТ ИБР'!Q26</f>
        <v>0.612</v>
      </c>
      <c r="H21" s="195">
        <f t="shared" si="0"/>
        <v>527</v>
      </c>
      <c r="I21" s="195">
        <v>2153</v>
      </c>
      <c r="J21" s="196">
        <f t="shared" si="1"/>
        <v>136.7</v>
      </c>
      <c r="K21" s="196">
        <f t="shared" si="2"/>
        <v>2289.7</v>
      </c>
      <c r="L21" s="197"/>
    </row>
    <row r="22" spans="1:12" ht="15.75">
      <c r="A22" s="191">
        <v>13</v>
      </c>
      <c r="B22" s="192" t="str">
        <f>'[2]РАСЧЕТ ИНП'!B22</f>
        <v>Урлукское </v>
      </c>
      <c r="C22" s="193">
        <v>781</v>
      </c>
      <c r="D22" s="223">
        <f>'[2]РАСЧЕТ ИНП'!C22</f>
        <v>1258</v>
      </c>
      <c r="E22" s="227"/>
      <c r="F22" s="225">
        <f>'[2]РАСЧЕТ ИБР'!R28</f>
        <v>0.801</v>
      </c>
      <c r="G22" s="194">
        <f>'[2]РАСЧЕТ ИБР'!R26</f>
        <v>0.934</v>
      </c>
      <c r="H22" s="195">
        <f t="shared" si="0"/>
        <v>976</v>
      </c>
      <c r="I22" s="195">
        <f>$C$27*H22/$H$25</f>
        <v>3617</v>
      </c>
      <c r="J22" s="196">
        <f t="shared" si="1"/>
        <v>181.4</v>
      </c>
      <c r="K22" s="196">
        <f t="shared" si="2"/>
        <v>3798.4</v>
      </c>
      <c r="L22" s="197"/>
    </row>
    <row r="23" spans="1:12" ht="15.75">
      <c r="A23" s="191">
        <v>14</v>
      </c>
      <c r="B23" s="192" t="str">
        <f>'[2]РАСЧЕТ ИНП'!B23</f>
        <v>Черемховское </v>
      </c>
      <c r="C23" s="193">
        <v>597</v>
      </c>
      <c r="D23" s="223">
        <f>'[2]РАСЧЕТ ИНП'!C23</f>
        <v>1138</v>
      </c>
      <c r="E23" s="227"/>
      <c r="F23" s="225">
        <f>'[2]РАСЧЕТ ИБР'!S28</f>
        <v>0.95</v>
      </c>
      <c r="G23" s="194">
        <f>'[2]РАСЧЕТ ИБР'!S26</f>
        <v>1.257</v>
      </c>
      <c r="H23" s="195">
        <f t="shared" si="0"/>
        <v>1009</v>
      </c>
      <c r="I23" s="195">
        <f>$C$27*H23/$H$25</f>
        <v>3740</v>
      </c>
      <c r="J23" s="196">
        <f t="shared" si="1"/>
        <v>164.1</v>
      </c>
      <c r="K23" s="196">
        <f t="shared" si="2"/>
        <v>3904.1</v>
      </c>
      <c r="L23" s="197"/>
    </row>
    <row r="24" spans="1:12" ht="15.75">
      <c r="A24" s="191">
        <v>15</v>
      </c>
      <c r="B24" s="192" t="str">
        <f>'[2]РАСЧЕТ ИНП'!B24</f>
        <v>Шимбиликское</v>
      </c>
      <c r="C24" s="193">
        <v>192</v>
      </c>
      <c r="D24" s="223">
        <f>'[2]РАСЧЕТ ИНП'!C24</f>
        <v>486</v>
      </c>
      <c r="E24" s="227"/>
      <c r="F24" s="225">
        <f>'[2]РАСЧЕТ ИБР'!T28</f>
        <v>0.17</v>
      </c>
      <c r="G24" s="194">
        <f>'[2]РАСЧЕТ ИБР'!R26</f>
        <v>0.934</v>
      </c>
      <c r="H24" s="195">
        <f t="shared" si="0"/>
        <v>617</v>
      </c>
      <c r="I24" s="195">
        <v>2187</v>
      </c>
      <c r="J24" s="196">
        <f t="shared" si="1"/>
        <v>70.1</v>
      </c>
      <c r="K24" s="196">
        <f t="shared" si="2"/>
        <v>2257.1</v>
      </c>
      <c r="L24" s="197"/>
    </row>
    <row r="25" spans="1:12" ht="15.75">
      <c r="A25" s="191"/>
      <c r="B25" s="192" t="s">
        <v>54</v>
      </c>
      <c r="C25" s="192">
        <f>SUM(C10:C24)</f>
        <v>14861.9</v>
      </c>
      <c r="D25" s="224">
        <f>SUM(D10:D24)</f>
        <v>17699</v>
      </c>
      <c r="E25" s="227"/>
      <c r="F25" s="225"/>
      <c r="G25" s="194"/>
      <c r="H25" s="195">
        <f>SUM(H10:H24)</f>
        <v>10048</v>
      </c>
      <c r="I25" s="195">
        <f>SUM(I10:I24)</f>
        <v>37240</v>
      </c>
      <c r="J25" s="186">
        <f>C31</f>
        <v>2552</v>
      </c>
      <c r="K25" s="196">
        <f>I25+J25</f>
        <v>39792</v>
      </c>
      <c r="L25" s="197"/>
    </row>
    <row r="26" spans="1:12" ht="23.25" customHeight="1">
      <c r="A26" s="85" t="s">
        <v>32</v>
      </c>
      <c r="B26" s="85"/>
      <c r="C26" s="85"/>
      <c r="D26" s="85"/>
      <c r="E26" s="85"/>
      <c r="F26" s="198"/>
      <c r="G26" s="85"/>
      <c r="H26" s="85"/>
      <c r="I26" s="199"/>
      <c r="J26" s="197"/>
      <c r="K26" s="85"/>
      <c r="L26" s="85"/>
    </row>
    <row r="27" spans="1:12" ht="54" customHeight="1">
      <c r="A27" s="200" t="s">
        <v>57</v>
      </c>
      <c r="B27" s="200"/>
      <c r="C27" s="201">
        <f>C28*C29-C30</f>
        <v>37240</v>
      </c>
      <c r="D27" s="85"/>
      <c r="E27" s="202"/>
      <c r="F27" s="198"/>
      <c r="G27" s="203"/>
      <c r="H27" s="204"/>
      <c r="I27" s="205"/>
      <c r="J27" s="85"/>
      <c r="K27" s="85"/>
      <c r="L27" s="85"/>
    </row>
    <row r="28" spans="1:12" ht="54.75" customHeight="1">
      <c r="A28" s="206" t="s">
        <v>58</v>
      </c>
      <c r="B28" s="206"/>
      <c r="C28" s="207">
        <v>260511</v>
      </c>
      <c r="D28" s="208"/>
      <c r="E28" s="209"/>
      <c r="F28" s="198"/>
      <c r="G28" s="203"/>
      <c r="H28" s="204"/>
      <c r="I28" s="205"/>
      <c r="J28" s="85"/>
      <c r="K28" s="85"/>
      <c r="L28" s="85"/>
    </row>
    <row r="29" spans="1:12" ht="98.25" customHeight="1">
      <c r="A29" s="206" t="s">
        <v>59</v>
      </c>
      <c r="B29" s="206"/>
      <c r="C29" s="210">
        <v>0.2</v>
      </c>
      <c r="D29" s="85"/>
      <c r="E29" s="203"/>
      <c r="F29" s="198"/>
      <c r="G29" s="203"/>
      <c r="H29" s="204"/>
      <c r="I29" s="205"/>
      <c r="J29" s="85"/>
      <c r="K29" s="85"/>
      <c r="L29" s="85"/>
    </row>
    <row r="30" spans="1:12" ht="69.75" customHeight="1">
      <c r="A30" s="206" t="s">
        <v>60</v>
      </c>
      <c r="B30" s="206"/>
      <c r="C30" s="211">
        <f>C25</f>
        <v>14862</v>
      </c>
      <c r="D30" s="85"/>
      <c r="E30" s="212"/>
      <c r="F30" s="85"/>
      <c r="G30" s="85"/>
      <c r="H30" s="213">
        <f>H29+H28+H27</f>
        <v>0</v>
      </c>
      <c r="I30" s="205"/>
      <c r="J30" s="85"/>
      <c r="K30" s="85"/>
      <c r="L30" s="85"/>
    </row>
    <row r="31" spans="1:12" ht="15.75">
      <c r="A31" s="214" t="s">
        <v>61</v>
      </c>
      <c r="B31" s="214"/>
      <c r="C31" s="215">
        <v>2552</v>
      </c>
      <c r="D31" s="85"/>
      <c r="E31" s="212"/>
      <c r="F31" s="85"/>
      <c r="G31" s="85"/>
      <c r="H31" s="85"/>
      <c r="I31" s="205"/>
      <c r="J31" s="85"/>
      <c r="K31" s="85"/>
      <c r="L31" s="85"/>
    </row>
    <row r="32" spans="1:12" ht="15.75">
      <c r="A32" s="216" t="s">
        <v>62</v>
      </c>
      <c r="B32" s="217"/>
      <c r="C32" s="218">
        <f>C31+C27</f>
        <v>39792</v>
      </c>
      <c r="D32" s="85"/>
      <c r="E32" s="85"/>
      <c r="F32" s="85"/>
      <c r="G32" s="85"/>
      <c r="H32" s="85"/>
      <c r="I32" s="205"/>
      <c r="J32" s="85"/>
      <c r="K32" s="85"/>
      <c r="L32" s="85"/>
    </row>
    <row r="33" spans="1:12" ht="15">
      <c r="A33" s="85"/>
      <c r="B33" s="85"/>
      <c r="C33" s="85"/>
      <c r="D33" s="85"/>
      <c r="E33" s="85"/>
      <c r="F33" s="85"/>
      <c r="G33" s="85"/>
      <c r="H33" s="85"/>
      <c r="I33" s="205"/>
      <c r="J33" s="85"/>
      <c r="K33" s="85"/>
      <c r="L33" s="85"/>
    </row>
    <row r="34" spans="1:12" ht="15.75">
      <c r="A34" s="85"/>
      <c r="B34" s="219" t="s">
        <v>79</v>
      </c>
      <c r="C34" s="220"/>
      <c r="D34" s="220"/>
      <c r="E34" s="220"/>
      <c r="F34" s="220"/>
      <c r="G34" s="220"/>
      <c r="H34" s="220"/>
      <c r="I34" s="205"/>
      <c r="J34" s="85"/>
      <c r="K34" s="85"/>
      <c r="L34" s="85"/>
    </row>
    <row r="35" spans="1:12" ht="15">
      <c r="A35" s="85"/>
      <c r="B35" s="85"/>
      <c r="C35" s="85"/>
      <c r="D35" s="85"/>
      <c r="E35" s="85"/>
      <c r="F35" s="85"/>
      <c r="G35" s="85"/>
      <c r="H35" s="85"/>
      <c r="I35" s="205"/>
      <c r="J35" s="85"/>
      <c r="K35" s="85"/>
      <c r="L35" s="85"/>
    </row>
    <row r="36" spans="1:12" ht="15">
      <c r="A36" s="85"/>
      <c r="B36" s="85"/>
      <c r="C36" s="85"/>
      <c r="D36" s="85"/>
      <c r="E36" s="85"/>
      <c r="F36" s="85"/>
      <c r="G36" s="85"/>
      <c r="H36" s="85"/>
      <c r="I36" s="205"/>
      <c r="J36" s="85"/>
      <c r="K36" s="85"/>
      <c r="L36" s="85"/>
    </row>
  </sheetData>
  <sheetProtection/>
  <printOptions/>
  <pageMargins left="0.31496062992125984" right="0.1968503937007874" top="0.4724409448818898" bottom="0.35433070866141736" header="0.5118110236220472" footer="0.5118110236220472"/>
  <pageSetup fitToWidth="2" horizontalDpi="600" verticalDpi="600" orientation="landscape" paperSize="9" scale="66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L50"/>
  <sheetViews>
    <sheetView zoomScaleSheetLayoutView="100" zoomScalePageLayoutView="0" workbookViewId="0" topLeftCell="A22">
      <pane xSplit="1" topLeftCell="B1" activePane="topRight" state="frozen"/>
      <selection pane="topLeft" activeCell="A19" sqref="A19"/>
      <selection pane="topRight" activeCell="D43" sqref="D43"/>
    </sheetView>
  </sheetViews>
  <sheetFormatPr defaultColWidth="9.00390625" defaultRowHeight="12.75"/>
  <cols>
    <col min="1" max="1" width="7.00390625" style="82" customWidth="1"/>
    <col min="2" max="2" width="23.25390625" style="82" customWidth="1"/>
    <col min="3" max="5" width="15.75390625" style="82" customWidth="1"/>
    <col min="6" max="6" width="14.25390625" style="82" customWidth="1"/>
    <col min="7" max="7" width="14.00390625" style="82" customWidth="1"/>
    <col min="8" max="8" width="13.625" style="85" customWidth="1"/>
    <col min="9" max="9" width="14.00390625" style="82" customWidth="1"/>
    <col min="10" max="10" width="15.375" style="82" customWidth="1"/>
    <col min="11" max="11" width="12.875" style="82" customWidth="1"/>
    <col min="12" max="12" width="23.625" style="82" customWidth="1"/>
    <col min="13" max="16384" width="9.125" style="82" customWidth="1"/>
  </cols>
  <sheetData>
    <row r="1" spans="1:10" ht="44.25" customHeight="1">
      <c r="A1" s="177" t="s">
        <v>122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7" ht="15.75" customHeight="1">
      <c r="A2" s="83"/>
      <c r="B2" s="84">
        <v>2021</v>
      </c>
      <c r="C2" s="83"/>
      <c r="D2" s="83"/>
      <c r="E2" s="83"/>
      <c r="F2" s="83"/>
      <c r="G2" s="83"/>
    </row>
    <row r="3" spans="1:7" ht="10.5" customHeight="1">
      <c r="A3" s="83"/>
      <c r="B3" s="83"/>
      <c r="C3" s="83"/>
      <c r="D3" s="83"/>
      <c r="E3" s="83"/>
      <c r="F3" s="83"/>
      <c r="G3" s="83"/>
    </row>
    <row r="4" spans="1:11" ht="28.5" customHeight="1">
      <c r="A4" s="162" t="s">
        <v>5</v>
      </c>
      <c r="B4" s="168" t="s">
        <v>64</v>
      </c>
      <c r="C4" s="165" t="s">
        <v>110</v>
      </c>
      <c r="D4" s="171" t="s">
        <v>65</v>
      </c>
      <c r="E4" s="172"/>
      <c r="F4" s="165" t="s">
        <v>118</v>
      </c>
      <c r="G4" s="86" t="s">
        <v>117</v>
      </c>
      <c r="H4" s="174" t="s">
        <v>115</v>
      </c>
      <c r="I4" s="174" t="s">
        <v>116</v>
      </c>
      <c r="J4" s="174" t="s">
        <v>66</v>
      </c>
      <c r="K4" s="173" t="s">
        <v>96</v>
      </c>
    </row>
    <row r="5" spans="1:11" ht="44.25" customHeight="1">
      <c r="A5" s="163"/>
      <c r="B5" s="169"/>
      <c r="C5" s="166"/>
      <c r="D5" s="86" t="s">
        <v>68</v>
      </c>
      <c r="E5" s="86" t="s">
        <v>69</v>
      </c>
      <c r="F5" s="166"/>
      <c r="G5" s="86"/>
      <c r="H5" s="175"/>
      <c r="I5" s="175"/>
      <c r="J5" s="175"/>
      <c r="K5" s="173"/>
    </row>
    <row r="6" spans="1:11" s="87" customFormat="1" ht="39" customHeight="1">
      <c r="A6" s="164"/>
      <c r="B6" s="170"/>
      <c r="C6" s="167"/>
      <c r="D6" s="86"/>
      <c r="E6" s="86"/>
      <c r="F6" s="167"/>
      <c r="G6" s="86"/>
      <c r="H6" s="176"/>
      <c r="I6" s="176"/>
      <c r="J6" s="176"/>
      <c r="K6" s="173"/>
    </row>
    <row r="7" spans="1:11" s="87" customFormat="1" ht="15.75">
      <c r="A7" s="88"/>
      <c r="C7" s="89">
        <v>1</v>
      </c>
      <c r="D7" s="89" t="s">
        <v>35</v>
      </c>
      <c r="E7" s="89" t="s">
        <v>70</v>
      </c>
      <c r="F7" s="86">
        <v>2</v>
      </c>
      <c r="G7" s="86" t="s">
        <v>71</v>
      </c>
      <c r="H7" s="90">
        <v>4</v>
      </c>
      <c r="I7" s="90">
        <v>5</v>
      </c>
      <c r="J7" s="90" t="s">
        <v>72</v>
      </c>
      <c r="K7" s="90">
        <v>7</v>
      </c>
    </row>
    <row r="8" spans="1:11" ht="18.75">
      <c r="A8" s="91">
        <f>'[1]Данные'!A5</f>
        <v>1</v>
      </c>
      <c r="B8" s="92" t="str">
        <f>'[2]РАСЧЕТ ИНП'!B10</f>
        <v>Альбитуйское </v>
      </c>
      <c r="C8" s="101">
        <f>D8+E8</f>
        <v>1622700</v>
      </c>
      <c r="D8" s="233">
        <v>1556000</v>
      </c>
      <c r="E8" s="230">
        <v>66700</v>
      </c>
      <c r="F8" s="81">
        <v>179</v>
      </c>
      <c r="G8" s="116">
        <f>C8+F8</f>
        <v>1622879</v>
      </c>
      <c r="H8" s="94">
        <v>1988.9</v>
      </c>
      <c r="I8" s="95">
        <v>1059</v>
      </c>
      <c r="J8" s="117">
        <f>G8-H8-I8</f>
        <v>1619831.1</v>
      </c>
      <c r="K8" s="123">
        <v>447.8</v>
      </c>
    </row>
    <row r="9" spans="1:11" ht="18.75">
      <c r="A9" s="91">
        <f>'[1]Данные'!A6</f>
        <v>2</v>
      </c>
      <c r="B9" s="92" t="str">
        <f>'[2]РАСЧЕТ ИНП'!B11</f>
        <v>Архангельское</v>
      </c>
      <c r="C9" s="101">
        <f aca="true" t="shared" si="0" ref="C9:C22">D9+E9</f>
        <v>1772300</v>
      </c>
      <c r="D9" s="233">
        <v>1677000</v>
      </c>
      <c r="E9" s="230">
        <v>95300</v>
      </c>
      <c r="F9" s="81">
        <v>162.2</v>
      </c>
      <c r="G9" s="116">
        <f aca="true" t="shared" si="1" ref="G9:G22">C9+F9</f>
        <v>1772462.2</v>
      </c>
      <c r="H9" s="94">
        <v>2043.8</v>
      </c>
      <c r="I9" s="95">
        <v>2762</v>
      </c>
      <c r="J9" s="117">
        <f aca="true" t="shared" si="2" ref="J9:J22">G9-H9-I9</f>
        <v>1767656.4</v>
      </c>
      <c r="K9" s="123">
        <v>2422.6</v>
      </c>
    </row>
    <row r="10" spans="1:11" ht="18.75">
      <c r="A10" s="91">
        <f>'[1]Данные'!A7</f>
        <v>3</v>
      </c>
      <c r="B10" s="92" t="str">
        <f>'[2]РАСЧЕТ ИНП'!B12</f>
        <v>Байхорское </v>
      </c>
      <c r="C10" s="101">
        <f t="shared" si="0"/>
        <v>2038200</v>
      </c>
      <c r="D10" s="233">
        <v>1954000</v>
      </c>
      <c r="E10" s="230">
        <v>84200</v>
      </c>
      <c r="F10" s="81">
        <v>131</v>
      </c>
      <c r="G10" s="116">
        <f t="shared" si="1"/>
        <v>2038331</v>
      </c>
      <c r="H10" s="94">
        <v>1867.2</v>
      </c>
      <c r="I10" s="95">
        <v>81</v>
      </c>
      <c r="J10" s="117">
        <f t="shared" si="2"/>
        <v>2036382.8</v>
      </c>
      <c r="K10" s="123">
        <v>569.3</v>
      </c>
    </row>
    <row r="11" spans="1:11" ht="18.75">
      <c r="A11" s="91">
        <f>'[1]Данные'!A8</f>
        <v>4</v>
      </c>
      <c r="B11" s="92" t="str">
        <f>'[2]РАСЧЕТ ИНП'!B13</f>
        <v>Большереченское</v>
      </c>
      <c r="C11" s="101">
        <f t="shared" si="0"/>
        <v>1910600</v>
      </c>
      <c r="D11" s="233">
        <v>1817000</v>
      </c>
      <c r="E11" s="230">
        <v>93600</v>
      </c>
      <c r="F11" s="81">
        <v>144</v>
      </c>
      <c r="G11" s="116">
        <f t="shared" si="1"/>
        <v>1910744</v>
      </c>
      <c r="H11" s="94">
        <v>2309.8</v>
      </c>
      <c r="I11" s="95">
        <v>1510</v>
      </c>
      <c r="J11" s="117">
        <f t="shared" si="2"/>
        <v>1906924.2</v>
      </c>
      <c r="K11" s="123">
        <v>1121.1</v>
      </c>
    </row>
    <row r="12" spans="1:11" ht="18.75">
      <c r="A12" s="91">
        <f>'[1]Данные'!A9</f>
        <v>5</v>
      </c>
      <c r="B12" s="92" t="str">
        <f>'[2]РАСЧЕТ ИНП'!B14</f>
        <v>Верхнешергольджинское</v>
      </c>
      <c r="C12" s="101">
        <f t="shared" si="0"/>
        <v>2075600</v>
      </c>
      <c r="D12" s="233">
        <v>2002000</v>
      </c>
      <c r="E12" s="230">
        <v>73600</v>
      </c>
      <c r="F12" s="81">
        <v>155.2</v>
      </c>
      <c r="G12" s="116">
        <f t="shared" si="1"/>
        <v>2075755.2</v>
      </c>
      <c r="H12" s="94">
        <v>2042.8</v>
      </c>
      <c r="I12" s="95">
        <v>209</v>
      </c>
      <c r="J12" s="117">
        <f t="shared" si="2"/>
        <v>2073503.4</v>
      </c>
      <c r="K12" s="123">
        <v>735.2</v>
      </c>
    </row>
    <row r="13" spans="1:11" ht="18.75">
      <c r="A13" s="91">
        <f>'[1]Данные'!A10</f>
        <v>6</v>
      </c>
      <c r="B13" s="92" t="str">
        <f>'[2]РАСЧЕТ ИНП'!B15</f>
        <v>Жиндойское </v>
      </c>
      <c r="C13" s="101">
        <f t="shared" si="0"/>
        <v>2617400</v>
      </c>
      <c r="D13" s="233">
        <v>2512000</v>
      </c>
      <c r="E13" s="230">
        <v>105400</v>
      </c>
      <c r="F13" s="81">
        <v>210.5</v>
      </c>
      <c r="G13" s="116">
        <f t="shared" si="1"/>
        <v>2617610.5</v>
      </c>
      <c r="H13" s="94">
        <v>1921.1</v>
      </c>
      <c r="I13" s="95">
        <v>756</v>
      </c>
      <c r="J13" s="117">
        <f t="shared" si="2"/>
        <v>2614933.4</v>
      </c>
      <c r="K13" s="123">
        <v>490.2</v>
      </c>
    </row>
    <row r="14" spans="1:11" ht="18.75">
      <c r="A14" s="91">
        <f>'[1]Данные'!A11</f>
        <v>7</v>
      </c>
      <c r="B14" s="92" t="str">
        <f>'[2]РАСЧЕТ ИНП'!B16</f>
        <v>Захаровское</v>
      </c>
      <c r="C14" s="101">
        <f t="shared" si="0"/>
        <v>2989000</v>
      </c>
      <c r="D14" s="233">
        <v>2818000</v>
      </c>
      <c r="E14" s="230">
        <v>171000</v>
      </c>
      <c r="F14" s="81">
        <v>299.5</v>
      </c>
      <c r="G14" s="116">
        <f t="shared" si="1"/>
        <v>2989299.5</v>
      </c>
      <c r="H14" s="94">
        <v>2010.1</v>
      </c>
      <c r="I14" s="95">
        <v>1378</v>
      </c>
      <c r="J14" s="117">
        <f t="shared" si="2"/>
        <v>2985911.4</v>
      </c>
      <c r="K14" s="123">
        <v>177.3</v>
      </c>
    </row>
    <row r="15" spans="1:11" ht="18.75">
      <c r="A15" s="91">
        <f>'[1]Данные'!A12</f>
        <v>8</v>
      </c>
      <c r="B15" s="92" t="str">
        <f>'[2]РАСЧЕТ ИНП'!B17</f>
        <v>Красночикойское </v>
      </c>
      <c r="C15" s="101">
        <f t="shared" si="0"/>
        <v>1026400</v>
      </c>
      <c r="D15" s="233">
        <v>0</v>
      </c>
      <c r="E15" s="230">
        <v>1026400</v>
      </c>
      <c r="F15" s="81">
        <v>5241</v>
      </c>
      <c r="G15" s="116">
        <f t="shared" si="1"/>
        <v>1031641</v>
      </c>
      <c r="H15" s="94">
        <v>1679</v>
      </c>
      <c r="I15" s="95">
        <v>166</v>
      </c>
      <c r="J15" s="117">
        <f t="shared" si="2"/>
        <v>1029796</v>
      </c>
      <c r="K15" s="123">
        <v>0</v>
      </c>
    </row>
    <row r="16" spans="1:11" ht="18.75">
      <c r="A16" s="91">
        <f>'[1]Данные'!A13</f>
        <v>9</v>
      </c>
      <c r="B16" s="92" t="s">
        <v>95</v>
      </c>
      <c r="C16" s="101">
        <f t="shared" si="0"/>
        <v>2465800</v>
      </c>
      <c r="D16" s="233">
        <v>2276000</v>
      </c>
      <c r="E16" s="230">
        <v>189800</v>
      </c>
      <c r="F16" s="81">
        <v>383</v>
      </c>
      <c r="G16" s="116">
        <f t="shared" si="1"/>
        <v>2466183</v>
      </c>
      <c r="H16" s="94">
        <v>2182.7</v>
      </c>
      <c r="I16" s="95">
        <v>145</v>
      </c>
      <c r="J16" s="117">
        <f t="shared" si="2"/>
        <v>2463855.3</v>
      </c>
      <c r="K16" s="123">
        <v>74.6</v>
      </c>
    </row>
    <row r="17" spans="1:11" ht="18.75">
      <c r="A17" s="91">
        <v>10</v>
      </c>
      <c r="B17" s="92" t="str">
        <f>'[2]РАСЧЕТ ИНП'!B19</f>
        <v>Конкинское</v>
      </c>
      <c r="C17" s="101">
        <f t="shared" si="0"/>
        <v>1372500</v>
      </c>
      <c r="D17" s="233">
        <v>1342000</v>
      </c>
      <c r="E17" s="230">
        <v>30500</v>
      </c>
      <c r="F17" s="81">
        <v>26.5</v>
      </c>
      <c r="G17" s="116">
        <f t="shared" si="1"/>
        <v>1372526.5</v>
      </c>
      <c r="H17" s="94">
        <v>5011.9</v>
      </c>
      <c r="I17" s="95">
        <v>1151</v>
      </c>
      <c r="J17" s="117">
        <f t="shared" si="2"/>
        <v>1366363.6</v>
      </c>
      <c r="K17" s="123">
        <v>920</v>
      </c>
    </row>
    <row r="18" spans="1:11" ht="18.75">
      <c r="A18" s="91">
        <v>11</v>
      </c>
      <c r="B18" s="92" t="str">
        <f>'[2]РАСЧЕТ ИНП'!B20</f>
        <v>Мензинское</v>
      </c>
      <c r="C18" s="101">
        <f t="shared" si="0"/>
        <v>2230300</v>
      </c>
      <c r="D18" s="233">
        <v>2142000</v>
      </c>
      <c r="E18" s="230">
        <v>88300</v>
      </c>
      <c r="F18" s="81">
        <v>219.4</v>
      </c>
      <c r="G18" s="116">
        <f t="shared" si="1"/>
        <v>2230519.4</v>
      </c>
      <c r="H18" s="94">
        <v>2379.1</v>
      </c>
      <c r="I18" s="95">
        <v>246</v>
      </c>
      <c r="J18" s="117">
        <f t="shared" si="2"/>
        <v>2227894.3</v>
      </c>
      <c r="K18" s="123">
        <v>179.5</v>
      </c>
    </row>
    <row r="19" spans="1:11" ht="18.75">
      <c r="A19" s="91">
        <v>12</v>
      </c>
      <c r="B19" s="92" t="str">
        <f>'[2]РАСЧЕТ ИНП'!B21</f>
        <v>Малоархангельское</v>
      </c>
      <c r="C19" s="101">
        <f t="shared" si="0"/>
        <v>1668400</v>
      </c>
      <c r="D19" s="233">
        <v>1530000</v>
      </c>
      <c r="E19" s="230">
        <v>138400</v>
      </c>
      <c r="F19" s="81">
        <v>895</v>
      </c>
      <c r="G19" s="116">
        <f t="shared" si="1"/>
        <v>1669295</v>
      </c>
      <c r="H19" s="94">
        <v>1939.1</v>
      </c>
      <c r="I19" s="95">
        <v>1198</v>
      </c>
      <c r="J19" s="117">
        <f t="shared" si="2"/>
        <v>1666157.9</v>
      </c>
      <c r="K19" s="123">
        <v>1199</v>
      </c>
    </row>
    <row r="20" spans="1:11" ht="18.75">
      <c r="A20" s="91">
        <v>13</v>
      </c>
      <c r="B20" s="92" t="str">
        <f>'[2]РАСЧЕТ ИНП'!B22</f>
        <v>Урлукское </v>
      </c>
      <c r="C20" s="101">
        <f t="shared" si="0"/>
        <v>3017700</v>
      </c>
      <c r="D20" s="233">
        <v>2834000</v>
      </c>
      <c r="E20" s="230">
        <v>183700</v>
      </c>
      <c r="F20" s="81">
        <v>458</v>
      </c>
      <c r="G20" s="116">
        <f t="shared" si="1"/>
        <v>3018158</v>
      </c>
      <c r="H20" s="94">
        <v>2496.7</v>
      </c>
      <c r="I20" s="95">
        <v>875</v>
      </c>
      <c r="J20" s="117">
        <f t="shared" si="2"/>
        <v>3014786.3</v>
      </c>
      <c r="K20" s="123">
        <v>810.6</v>
      </c>
    </row>
    <row r="21" spans="1:11" ht="18.75">
      <c r="A21" s="91">
        <v>14</v>
      </c>
      <c r="B21" s="92" t="str">
        <f>'[2]РАСЧЕТ ИНП'!B23</f>
        <v>Черемховское </v>
      </c>
      <c r="C21" s="101">
        <f t="shared" si="0"/>
        <v>3096100</v>
      </c>
      <c r="D21" s="233">
        <v>2930000</v>
      </c>
      <c r="E21" s="230">
        <v>166100</v>
      </c>
      <c r="F21" s="81">
        <v>595.2</v>
      </c>
      <c r="G21" s="116">
        <f t="shared" si="1"/>
        <v>3096695.2</v>
      </c>
      <c r="H21" s="94">
        <v>2373.4</v>
      </c>
      <c r="I21" s="95">
        <v>541</v>
      </c>
      <c r="J21" s="117">
        <f t="shared" si="2"/>
        <v>3093780.8</v>
      </c>
      <c r="K21" s="123">
        <v>429.9</v>
      </c>
    </row>
    <row r="22" spans="1:11" ht="18.75">
      <c r="A22" s="91">
        <v>15</v>
      </c>
      <c r="B22" s="92" t="str">
        <f>'[2]РАСЧЕТ ИНП'!B24</f>
        <v>Шимбиликское</v>
      </c>
      <c r="C22" s="101">
        <f t="shared" si="0"/>
        <v>1867000</v>
      </c>
      <c r="D22" s="233">
        <v>1796000</v>
      </c>
      <c r="E22" s="230">
        <v>71000</v>
      </c>
      <c r="F22" s="81">
        <v>134</v>
      </c>
      <c r="G22" s="116">
        <f t="shared" si="1"/>
        <v>1867134</v>
      </c>
      <c r="H22" s="94">
        <v>1873.8</v>
      </c>
      <c r="I22" s="95">
        <v>100</v>
      </c>
      <c r="J22" s="117">
        <f t="shared" si="2"/>
        <v>1865160.2</v>
      </c>
      <c r="K22" s="123">
        <v>674.7</v>
      </c>
    </row>
    <row r="23" spans="1:11" ht="18.75">
      <c r="A23" s="91"/>
      <c r="B23" s="96" t="s">
        <v>67</v>
      </c>
      <c r="C23" s="101">
        <f aca="true" t="shared" si="3" ref="C23:J23">SUM(C8:C22)</f>
        <v>31770000</v>
      </c>
      <c r="D23" s="101">
        <f>SUM(D8:D22)</f>
        <v>29186000</v>
      </c>
      <c r="E23" s="93">
        <f t="shared" si="3"/>
        <v>2584000</v>
      </c>
      <c r="F23" s="80">
        <f>SUM(F8:F22)</f>
        <v>9233.5</v>
      </c>
      <c r="G23" s="93">
        <f t="shared" si="3"/>
        <v>31779234</v>
      </c>
      <c r="H23" s="93">
        <f>SUM(H8:H22)</f>
        <v>34119</v>
      </c>
      <c r="I23" s="93">
        <f>SUM(I8:I22)</f>
        <v>12177</v>
      </c>
      <c r="J23" s="93">
        <f t="shared" si="3"/>
        <v>31732937</v>
      </c>
      <c r="K23" s="124">
        <f>SUM(K8:K22)</f>
        <v>10251.8</v>
      </c>
    </row>
    <row r="24" ht="15.75">
      <c r="E24" s="82" t="s">
        <v>99</v>
      </c>
    </row>
    <row r="25" spans="1:7" ht="15.75">
      <c r="A25" s="83"/>
      <c r="B25" s="84">
        <v>2022</v>
      </c>
      <c r="C25" s="83"/>
      <c r="D25" s="83"/>
      <c r="E25" s="83"/>
      <c r="F25" s="83"/>
      <c r="G25" s="83"/>
    </row>
    <row r="26" spans="1:7" ht="15.75">
      <c r="A26" s="83"/>
      <c r="B26" s="83"/>
      <c r="C26" s="83"/>
      <c r="D26" s="83"/>
      <c r="E26" s="83"/>
      <c r="F26" s="83"/>
      <c r="G26" s="83"/>
    </row>
    <row r="27" spans="1:11" ht="12.75" customHeight="1">
      <c r="A27" s="162" t="s">
        <v>5</v>
      </c>
      <c r="B27" s="168" t="s">
        <v>64</v>
      </c>
      <c r="C27" s="165" t="s">
        <v>73</v>
      </c>
      <c r="D27" s="171" t="s">
        <v>65</v>
      </c>
      <c r="E27" s="172"/>
      <c r="F27" s="165" t="s">
        <v>124</v>
      </c>
      <c r="G27" s="86" t="s">
        <v>109</v>
      </c>
      <c r="H27" s="174" t="s">
        <v>125</v>
      </c>
      <c r="I27" s="174" t="s">
        <v>126</v>
      </c>
      <c r="J27" s="174" t="s">
        <v>66</v>
      </c>
      <c r="K27" s="173" t="s">
        <v>97</v>
      </c>
    </row>
    <row r="28" spans="1:11" ht="12.75" customHeight="1">
      <c r="A28" s="163"/>
      <c r="B28" s="169"/>
      <c r="C28" s="166"/>
      <c r="D28" s="86" t="s">
        <v>68</v>
      </c>
      <c r="E28" s="86" t="s">
        <v>69</v>
      </c>
      <c r="F28" s="166"/>
      <c r="G28" s="86"/>
      <c r="H28" s="175"/>
      <c r="I28" s="175"/>
      <c r="J28" s="175"/>
      <c r="K28" s="173"/>
    </row>
    <row r="29" spans="1:11" ht="36" customHeight="1">
      <c r="A29" s="164"/>
      <c r="B29" s="170"/>
      <c r="C29" s="167"/>
      <c r="D29" s="86"/>
      <c r="E29" s="86"/>
      <c r="F29" s="167"/>
      <c r="G29" s="86"/>
      <c r="H29" s="176"/>
      <c r="I29" s="176"/>
      <c r="J29" s="176"/>
      <c r="K29" s="173"/>
    </row>
    <row r="30" spans="1:11" ht="15.75">
      <c r="A30" s="88"/>
      <c r="B30" s="87"/>
      <c r="C30" s="89">
        <v>1</v>
      </c>
      <c r="D30" s="89" t="s">
        <v>35</v>
      </c>
      <c r="E30" s="89" t="s">
        <v>70</v>
      </c>
      <c r="F30" s="86">
        <v>2</v>
      </c>
      <c r="G30" s="86" t="s">
        <v>71</v>
      </c>
      <c r="H30" s="90">
        <v>4</v>
      </c>
      <c r="I30" s="90">
        <v>5</v>
      </c>
      <c r="J30" s="90" t="s">
        <v>72</v>
      </c>
      <c r="K30" s="97"/>
    </row>
    <row r="31" spans="1:12" ht="15.75">
      <c r="A31" s="91">
        <v>1</v>
      </c>
      <c r="B31" s="61" t="s">
        <v>80</v>
      </c>
      <c r="C31" s="102">
        <f>SUM(D31:E31)</f>
        <v>2299</v>
      </c>
      <c r="D31" s="232">
        <v>2233</v>
      </c>
      <c r="E31" s="231">
        <v>66</v>
      </c>
      <c r="F31" s="193">
        <v>1036</v>
      </c>
      <c r="G31" s="102">
        <f>C31+F31</f>
        <v>3335</v>
      </c>
      <c r="H31" s="179">
        <v>2727</v>
      </c>
      <c r="I31" s="95">
        <v>1162</v>
      </c>
      <c r="J31" s="115">
        <f>G31-H31-I31</f>
        <v>-554</v>
      </c>
      <c r="K31" s="104"/>
      <c r="L31" s="237">
        <f>SUM(G31-I31)</f>
        <v>2173</v>
      </c>
    </row>
    <row r="32" spans="1:12" ht="15.75">
      <c r="A32" s="91">
        <v>2</v>
      </c>
      <c r="B32" s="61" t="s">
        <v>81</v>
      </c>
      <c r="C32" s="102">
        <f aca="true" t="shared" si="4" ref="C32:C46">SUM(D32:E32)</f>
        <v>3798.2</v>
      </c>
      <c r="D32" s="232">
        <v>3704</v>
      </c>
      <c r="E32" s="231">
        <v>94.2</v>
      </c>
      <c r="F32" s="193">
        <v>238</v>
      </c>
      <c r="G32" s="102">
        <f aca="true" t="shared" si="5" ref="G32:G45">C32+F32</f>
        <v>4036.2</v>
      </c>
      <c r="H32" s="179">
        <v>2275</v>
      </c>
      <c r="I32" s="95">
        <v>2032</v>
      </c>
      <c r="J32" s="115">
        <f aca="true" t="shared" si="6" ref="J32:J45">G32-H32-I32</f>
        <v>-270.8</v>
      </c>
      <c r="K32" s="104"/>
      <c r="L32" s="237">
        <f aca="true" t="shared" si="7" ref="L32:L45">SUM(G32-I32)</f>
        <v>2004.2</v>
      </c>
    </row>
    <row r="33" spans="1:12" ht="15.75">
      <c r="A33" s="91">
        <v>3</v>
      </c>
      <c r="B33" s="61" t="s">
        <v>82</v>
      </c>
      <c r="C33" s="102">
        <f t="shared" si="4"/>
        <v>2677.2</v>
      </c>
      <c r="D33" s="232">
        <v>2594</v>
      </c>
      <c r="E33" s="231">
        <v>83.2</v>
      </c>
      <c r="F33" s="193">
        <v>185</v>
      </c>
      <c r="G33" s="102">
        <f t="shared" si="5"/>
        <v>2862.2</v>
      </c>
      <c r="H33" s="179">
        <v>3389</v>
      </c>
      <c r="I33" s="95">
        <v>348</v>
      </c>
      <c r="J33" s="115">
        <f t="shared" si="6"/>
        <v>-874.8</v>
      </c>
      <c r="K33" s="104"/>
      <c r="L33" s="237">
        <f t="shared" si="7"/>
        <v>2514.2</v>
      </c>
    </row>
    <row r="34" spans="1:12" ht="15.75">
      <c r="A34" s="91">
        <v>4</v>
      </c>
      <c r="B34" s="61" t="s">
        <v>83</v>
      </c>
      <c r="C34" s="102">
        <f t="shared" si="4"/>
        <v>2613.4</v>
      </c>
      <c r="D34" s="232">
        <v>2521</v>
      </c>
      <c r="E34" s="231">
        <v>92.4</v>
      </c>
      <c r="F34" s="193">
        <v>207</v>
      </c>
      <c r="G34" s="102">
        <f t="shared" si="5"/>
        <v>2820.4</v>
      </c>
      <c r="H34" s="179">
        <v>2650</v>
      </c>
      <c r="I34" s="95">
        <v>930</v>
      </c>
      <c r="J34" s="115">
        <f t="shared" si="6"/>
        <v>-759.6</v>
      </c>
      <c r="K34" s="104"/>
      <c r="L34" s="237">
        <f t="shared" si="7"/>
        <v>1890.4</v>
      </c>
    </row>
    <row r="35" spans="1:12" ht="15.75">
      <c r="A35" s="91">
        <v>5</v>
      </c>
      <c r="B35" s="61" t="s">
        <v>84</v>
      </c>
      <c r="C35" s="102">
        <f t="shared" si="4"/>
        <v>2386.7</v>
      </c>
      <c r="D35" s="232">
        <v>2314</v>
      </c>
      <c r="E35" s="231">
        <v>72.7</v>
      </c>
      <c r="F35" s="193">
        <v>359</v>
      </c>
      <c r="G35" s="102">
        <f t="shared" si="5"/>
        <v>2745.7</v>
      </c>
      <c r="H35" s="179">
        <v>3241</v>
      </c>
      <c r="I35" s="95">
        <v>385</v>
      </c>
      <c r="J35" s="115">
        <f t="shared" si="6"/>
        <v>-880.3</v>
      </c>
      <c r="K35" s="104"/>
      <c r="L35" s="237">
        <f t="shared" si="7"/>
        <v>2360.7</v>
      </c>
    </row>
    <row r="36" spans="1:12" ht="15.75">
      <c r="A36" s="91">
        <v>6</v>
      </c>
      <c r="B36" s="61" t="s">
        <v>85</v>
      </c>
      <c r="C36" s="102">
        <f t="shared" si="4"/>
        <v>2710.1</v>
      </c>
      <c r="D36" s="232">
        <v>2606</v>
      </c>
      <c r="E36" s="231">
        <v>104.1</v>
      </c>
      <c r="F36" s="193">
        <v>511</v>
      </c>
      <c r="G36" s="102">
        <f t="shared" si="5"/>
        <v>3221.1</v>
      </c>
      <c r="H36" s="179">
        <v>3342</v>
      </c>
      <c r="I36" s="95">
        <v>576</v>
      </c>
      <c r="J36" s="115">
        <f t="shared" si="6"/>
        <v>-696.9</v>
      </c>
      <c r="K36" s="104"/>
      <c r="L36" s="237">
        <f t="shared" si="7"/>
        <v>2645.1</v>
      </c>
    </row>
    <row r="37" spans="1:12" ht="15.75">
      <c r="A37" s="91">
        <v>7</v>
      </c>
      <c r="B37" s="61" t="s">
        <v>86</v>
      </c>
      <c r="C37" s="102">
        <f t="shared" si="4"/>
        <v>3263.8</v>
      </c>
      <c r="D37" s="232">
        <v>3095</v>
      </c>
      <c r="E37" s="231">
        <v>168.8</v>
      </c>
      <c r="F37" s="193">
        <v>395</v>
      </c>
      <c r="G37" s="102">
        <f t="shared" si="5"/>
        <v>3658.8</v>
      </c>
      <c r="H37" s="179">
        <v>3090</v>
      </c>
      <c r="I37" s="95">
        <v>1509</v>
      </c>
      <c r="J37" s="115">
        <f t="shared" si="6"/>
        <v>-940.2</v>
      </c>
      <c r="K37" s="104"/>
      <c r="L37" s="237">
        <f t="shared" si="7"/>
        <v>2149.8</v>
      </c>
    </row>
    <row r="38" spans="1:12" ht="15.75">
      <c r="A38" s="91">
        <v>8</v>
      </c>
      <c r="B38" s="61" t="s">
        <v>87</v>
      </c>
      <c r="C38" s="102">
        <f t="shared" si="4"/>
        <v>1013.6</v>
      </c>
      <c r="D38" s="232">
        <v>0</v>
      </c>
      <c r="E38" s="231">
        <v>1013.6</v>
      </c>
      <c r="F38" s="193">
        <v>8346</v>
      </c>
      <c r="G38" s="102">
        <f t="shared" si="5"/>
        <v>9359.6</v>
      </c>
      <c r="H38" s="179">
        <v>4964</v>
      </c>
      <c r="I38" s="95">
        <v>169</v>
      </c>
      <c r="J38" s="115">
        <f>G38-H38-I38</f>
        <v>4226.6</v>
      </c>
      <c r="K38" s="104">
        <v>0</v>
      </c>
      <c r="L38" s="237">
        <f t="shared" si="7"/>
        <v>9190.6</v>
      </c>
    </row>
    <row r="39" spans="1:12" ht="15.75">
      <c r="A39" s="91">
        <v>9</v>
      </c>
      <c r="B39" s="61" t="s">
        <v>88</v>
      </c>
      <c r="C39" s="102">
        <f t="shared" si="4"/>
        <v>1942.4</v>
      </c>
      <c r="D39" s="232">
        <v>1755</v>
      </c>
      <c r="E39" s="231">
        <v>187.4</v>
      </c>
      <c r="F39" s="193">
        <v>616</v>
      </c>
      <c r="G39" s="102">
        <f t="shared" si="5"/>
        <v>2558.4</v>
      </c>
      <c r="H39" s="179">
        <v>2768</v>
      </c>
      <c r="I39" s="95">
        <v>364</v>
      </c>
      <c r="J39" s="115">
        <f t="shared" si="6"/>
        <v>-573.6</v>
      </c>
      <c r="K39" s="104"/>
      <c r="L39" s="237">
        <f t="shared" si="7"/>
        <v>2194.4</v>
      </c>
    </row>
    <row r="40" spans="1:12" ht="15.75">
      <c r="A40" s="91">
        <v>10</v>
      </c>
      <c r="B40" s="61" t="s">
        <v>89</v>
      </c>
      <c r="C40" s="102">
        <f t="shared" si="4"/>
        <v>1816.1</v>
      </c>
      <c r="D40" s="232">
        <v>1786</v>
      </c>
      <c r="E40" s="231">
        <v>30.1</v>
      </c>
      <c r="F40" s="193">
        <v>50</v>
      </c>
      <c r="G40" s="102">
        <f t="shared" si="5"/>
        <v>1866.1</v>
      </c>
      <c r="H40" s="179">
        <v>1981</v>
      </c>
      <c r="I40" s="95">
        <v>620</v>
      </c>
      <c r="J40" s="115">
        <f t="shared" si="6"/>
        <v>-734.9</v>
      </c>
      <c r="K40" s="104"/>
      <c r="L40" s="237">
        <f t="shared" si="7"/>
        <v>1246.1</v>
      </c>
    </row>
    <row r="41" spans="1:12" ht="15.75">
      <c r="A41" s="91">
        <v>11</v>
      </c>
      <c r="B41" s="61" t="s">
        <v>90</v>
      </c>
      <c r="C41" s="102">
        <f t="shared" si="4"/>
        <v>3022.2</v>
      </c>
      <c r="D41" s="232">
        <v>2935</v>
      </c>
      <c r="E41" s="231">
        <v>87.2</v>
      </c>
      <c r="F41" s="193">
        <v>272</v>
      </c>
      <c r="G41" s="102">
        <f t="shared" si="5"/>
        <v>3294.2</v>
      </c>
      <c r="H41" s="179">
        <v>3830</v>
      </c>
      <c r="I41" s="95">
        <v>400</v>
      </c>
      <c r="J41" s="115">
        <f t="shared" si="6"/>
        <v>-935.8</v>
      </c>
      <c r="K41" s="104"/>
      <c r="L41" s="237">
        <f t="shared" si="7"/>
        <v>2894.2</v>
      </c>
    </row>
    <row r="42" spans="1:12" ht="19.5" customHeight="1">
      <c r="A42" s="91">
        <v>12</v>
      </c>
      <c r="B42" s="62" t="s">
        <v>91</v>
      </c>
      <c r="C42" s="102">
        <f t="shared" si="4"/>
        <v>2289.7</v>
      </c>
      <c r="D42" s="232">
        <v>2153</v>
      </c>
      <c r="E42" s="231">
        <v>136.7</v>
      </c>
      <c r="F42" s="193">
        <v>1077</v>
      </c>
      <c r="G42" s="102">
        <f t="shared" si="5"/>
        <v>3366.7</v>
      </c>
      <c r="H42" s="179">
        <v>2790</v>
      </c>
      <c r="I42" s="95">
        <v>1234</v>
      </c>
      <c r="J42" s="115">
        <f t="shared" si="6"/>
        <v>-657.3</v>
      </c>
      <c r="K42" s="104"/>
      <c r="L42" s="237">
        <f t="shared" si="7"/>
        <v>2132.7</v>
      </c>
    </row>
    <row r="43" spans="1:12" ht="15.75">
      <c r="A43" s="91">
        <v>13</v>
      </c>
      <c r="B43" s="61" t="s">
        <v>92</v>
      </c>
      <c r="C43" s="102">
        <f t="shared" si="4"/>
        <v>3798.4</v>
      </c>
      <c r="D43" s="232">
        <v>3617</v>
      </c>
      <c r="E43" s="231">
        <v>181.4</v>
      </c>
      <c r="F43" s="193">
        <v>781</v>
      </c>
      <c r="G43" s="102">
        <f t="shared" si="5"/>
        <v>4579.4</v>
      </c>
      <c r="H43" s="179">
        <v>5284</v>
      </c>
      <c r="I43" s="95">
        <v>517</v>
      </c>
      <c r="J43" s="115">
        <f t="shared" si="6"/>
        <v>-1221.6</v>
      </c>
      <c r="K43" s="104"/>
      <c r="L43" s="237">
        <f t="shared" si="7"/>
        <v>4062.4</v>
      </c>
    </row>
    <row r="44" spans="1:12" ht="19.5" customHeight="1">
      <c r="A44" s="91">
        <v>14</v>
      </c>
      <c r="B44" s="61" t="s">
        <v>93</v>
      </c>
      <c r="C44" s="102">
        <f t="shared" si="4"/>
        <v>3904.1</v>
      </c>
      <c r="D44" s="232">
        <v>3740</v>
      </c>
      <c r="E44" s="231">
        <v>164.1</v>
      </c>
      <c r="F44" s="193">
        <v>597</v>
      </c>
      <c r="G44" s="102">
        <f t="shared" si="5"/>
        <v>4501.1</v>
      </c>
      <c r="H44" s="179">
        <v>4918</v>
      </c>
      <c r="I44" s="95">
        <v>576</v>
      </c>
      <c r="J44" s="115">
        <f t="shared" si="6"/>
        <v>-992.9</v>
      </c>
      <c r="K44" s="104"/>
      <c r="L44" s="237">
        <f t="shared" si="7"/>
        <v>3925.1</v>
      </c>
    </row>
    <row r="45" spans="1:12" ht="18.75" customHeight="1">
      <c r="A45" s="91">
        <v>15</v>
      </c>
      <c r="B45" s="129" t="s">
        <v>94</v>
      </c>
      <c r="C45" s="102">
        <f t="shared" si="4"/>
        <v>2257.1</v>
      </c>
      <c r="D45" s="232">
        <v>2187</v>
      </c>
      <c r="E45" s="231">
        <v>70.1</v>
      </c>
      <c r="F45" s="193">
        <v>192</v>
      </c>
      <c r="G45" s="102">
        <f t="shared" si="5"/>
        <v>2449.1</v>
      </c>
      <c r="H45" s="179">
        <v>2865</v>
      </c>
      <c r="I45" s="95">
        <v>202</v>
      </c>
      <c r="J45" s="115">
        <f t="shared" si="6"/>
        <v>-617.9</v>
      </c>
      <c r="K45" s="104"/>
      <c r="L45" s="237">
        <f t="shared" si="7"/>
        <v>2247.1</v>
      </c>
    </row>
    <row r="46" spans="1:12" ht="15.75">
      <c r="A46" s="91"/>
      <c r="B46" s="96" t="s">
        <v>67</v>
      </c>
      <c r="C46" s="102">
        <f t="shared" si="4"/>
        <v>39792</v>
      </c>
      <c r="D46" s="186">
        <f>SUM(D31:D45)</f>
        <v>37240</v>
      </c>
      <c r="E46" s="186">
        <f>SUM(E31:E45)</f>
        <v>2552</v>
      </c>
      <c r="F46" s="102">
        <f aca="true" t="shared" si="8" ref="F46:K46">SUM(F31:F45)</f>
        <v>14862</v>
      </c>
      <c r="G46" s="102">
        <f t="shared" si="8"/>
        <v>54654</v>
      </c>
      <c r="H46" s="180">
        <f>SUM(H31:H45)</f>
        <v>50114</v>
      </c>
      <c r="I46" s="102">
        <f t="shared" si="8"/>
        <v>11024</v>
      </c>
      <c r="J46" s="102">
        <f t="shared" si="8"/>
        <v>-6484</v>
      </c>
      <c r="K46" s="105">
        <f t="shared" si="8"/>
        <v>0</v>
      </c>
      <c r="L46" s="237">
        <f>SUM(L31:L45)</f>
        <v>43630</v>
      </c>
    </row>
    <row r="48" ht="15.75">
      <c r="J48" s="98"/>
    </row>
    <row r="49" spans="3:10" ht="15.75">
      <c r="C49" s="99"/>
      <c r="J49" s="98"/>
    </row>
    <row r="50" ht="15.75">
      <c r="K50" s="9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N41"/>
  <sheetViews>
    <sheetView zoomScalePageLayoutView="0" workbookViewId="0" topLeftCell="A4">
      <pane xSplit="1" topLeftCell="D1" activePane="topRight" state="frozen"/>
      <selection pane="topLeft" activeCell="A4" sqref="A4"/>
      <selection pane="topRight" activeCell="A18" sqref="A18:IV18"/>
    </sheetView>
  </sheetViews>
  <sheetFormatPr defaultColWidth="9.00390625" defaultRowHeight="12.75"/>
  <cols>
    <col min="1" max="1" width="18.25390625" style="0" customWidth="1"/>
    <col min="2" max="2" width="10.125" style="0" customWidth="1"/>
    <col min="3" max="3" width="12.625" style="0" customWidth="1"/>
    <col min="4" max="4" width="16.625" style="0" customWidth="1"/>
    <col min="5" max="5" width="11.875" style="0" customWidth="1"/>
    <col min="6" max="6" width="10.00390625" style="0" customWidth="1"/>
    <col min="7" max="7" width="16.375" style="0" customWidth="1"/>
    <col min="8" max="8" width="13.25390625" style="0" customWidth="1"/>
    <col min="9" max="9" width="36.25390625" style="0" customWidth="1"/>
    <col min="11" max="11" width="11.125" style="0" customWidth="1"/>
    <col min="12" max="12" width="12.25390625" style="0" customWidth="1"/>
    <col min="13" max="13" width="15.00390625" style="0" customWidth="1"/>
  </cols>
  <sheetData>
    <row r="1" ht="9" customHeight="1"/>
    <row r="2" spans="1:13" ht="51" customHeight="1">
      <c r="A2" s="140" t="s">
        <v>134</v>
      </c>
      <c r="B2" s="140"/>
      <c r="C2" s="140"/>
      <c r="D2" s="140"/>
      <c r="E2" s="140"/>
      <c r="F2" s="140"/>
      <c r="G2" s="140"/>
      <c r="H2" s="140"/>
      <c r="I2" s="106"/>
      <c r="J2" s="106"/>
      <c r="K2" s="106"/>
      <c r="L2" s="106"/>
      <c r="M2" s="106"/>
    </row>
    <row r="3" spans="1:13" ht="401.25" customHeight="1">
      <c r="A3" s="107" t="s">
        <v>107</v>
      </c>
      <c r="B3" s="108" t="s">
        <v>130</v>
      </c>
      <c r="C3" s="110" t="s">
        <v>108</v>
      </c>
      <c r="D3" s="109" t="s">
        <v>101</v>
      </c>
      <c r="E3" s="109" t="s">
        <v>102</v>
      </c>
      <c r="F3" s="109" t="s">
        <v>113</v>
      </c>
      <c r="G3" s="109" t="s">
        <v>103</v>
      </c>
      <c r="H3" s="109" t="s">
        <v>104</v>
      </c>
      <c r="I3" s="109" t="s">
        <v>114</v>
      </c>
      <c r="J3" s="109" t="s">
        <v>105</v>
      </c>
      <c r="K3" s="109" t="s">
        <v>106</v>
      </c>
      <c r="L3" s="107" t="s">
        <v>112</v>
      </c>
      <c r="M3" s="107" t="s">
        <v>111</v>
      </c>
    </row>
    <row r="4" spans="1:14" ht="12.75">
      <c r="A4" s="111" t="s">
        <v>80</v>
      </c>
      <c r="B4" s="44">
        <v>446</v>
      </c>
      <c r="C4" s="114">
        <f>C21/B19*B4</f>
        <v>24794</v>
      </c>
      <c r="D4" s="114">
        <f>D21/B19*B4</f>
        <v>1382</v>
      </c>
      <c r="E4" s="114">
        <f>E21/B19*B4</f>
        <v>5924</v>
      </c>
      <c r="F4" s="114">
        <f>F21/B19*B4</f>
        <v>9567</v>
      </c>
      <c r="G4" s="114">
        <f>G21/B19*B4</f>
        <v>11567</v>
      </c>
      <c r="H4" s="114">
        <f>H21/B19*B4</f>
        <v>8180</v>
      </c>
      <c r="I4" s="114">
        <f>I21/B19*B4</f>
        <v>28917</v>
      </c>
      <c r="J4" s="114">
        <v>12791</v>
      </c>
      <c r="K4" s="114">
        <f>K21/B19*B4</f>
        <v>9950</v>
      </c>
      <c r="L4" s="243">
        <f>SUM(C4+D4+E4+F4+G4+H4+I4+J4+K4)</f>
        <v>113072</v>
      </c>
      <c r="M4" s="131">
        <v>113.1</v>
      </c>
      <c r="N4" s="244">
        <f>L4/12</f>
        <v>9423</v>
      </c>
    </row>
    <row r="5" spans="1:14" ht="12.75">
      <c r="A5" s="111" t="s">
        <v>81</v>
      </c>
      <c r="B5" s="44">
        <v>638</v>
      </c>
      <c r="C5" s="114">
        <f>C21/B19*B5</f>
        <v>35467</v>
      </c>
      <c r="D5" s="114">
        <f>D21/B19*B5</f>
        <v>1977</v>
      </c>
      <c r="E5" s="114">
        <f>E21/B19*B5</f>
        <v>8474</v>
      </c>
      <c r="F5" s="114">
        <f>F21/B19*B5</f>
        <v>13686</v>
      </c>
      <c r="G5" s="114">
        <f>G21/B19*B5</f>
        <v>16546</v>
      </c>
      <c r="H5" s="114">
        <f>H21/B19*B5</f>
        <v>11702</v>
      </c>
      <c r="I5" s="114">
        <f>I21/B19*B5</f>
        <v>41365</v>
      </c>
      <c r="J5" s="114">
        <f>J21/B19*B5</f>
        <v>18297</v>
      </c>
      <c r="K5" s="114">
        <f>K21/B19*B5</f>
        <v>14233</v>
      </c>
      <c r="L5" s="122">
        <f aca="true" t="shared" si="0" ref="L5:L18">SUM(C5+D5+E5+F5+G5+H5+I5+J5+K5)</f>
        <v>161747</v>
      </c>
      <c r="M5" s="131">
        <v>161.8</v>
      </c>
      <c r="N5" s="244">
        <f aca="true" t="shared" si="1" ref="N5:N18">L5/12</f>
        <v>13479</v>
      </c>
    </row>
    <row r="6" spans="1:14" ht="12.75">
      <c r="A6" s="111" t="s">
        <v>82</v>
      </c>
      <c r="B6" s="44">
        <v>555</v>
      </c>
      <c r="C6" s="114">
        <f>C21/B19*B6</f>
        <v>30853</v>
      </c>
      <c r="D6" s="114">
        <v>1719</v>
      </c>
      <c r="E6" s="114">
        <f>E21/B19*B6</f>
        <v>7371</v>
      </c>
      <c r="F6" s="114">
        <f>F21/B19*B6</f>
        <v>11906</v>
      </c>
      <c r="G6" s="114">
        <v>14394</v>
      </c>
      <c r="H6" s="114">
        <f>H21/B19*B6</f>
        <v>10180</v>
      </c>
      <c r="I6" s="114">
        <v>38984</v>
      </c>
      <c r="J6" s="114">
        <f>J21/B19*B6</f>
        <v>15917</v>
      </c>
      <c r="K6" s="114">
        <v>12382</v>
      </c>
      <c r="L6" s="122">
        <f t="shared" si="0"/>
        <v>143706</v>
      </c>
      <c r="M6" s="131">
        <v>143.7</v>
      </c>
      <c r="N6" s="244">
        <f t="shared" si="1"/>
        <v>11976</v>
      </c>
    </row>
    <row r="7" spans="1:14" ht="12.75">
      <c r="A7" s="111" t="s">
        <v>83</v>
      </c>
      <c r="B7" s="44">
        <v>636</v>
      </c>
      <c r="C7" s="114">
        <f>C21/B19*B7</f>
        <v>35356</v>
      </c>
      <c r="D7" s="114">
        <v>1970</v>
      </c>
      <c r="E7" s="114">
        <f>E21/B19*B7</f>
        <v>8447</v>
      </c>
      <c r="F7" s="114">
        <f>F21/B19*B7</f>
        <v>13643</v>
      </c>
      <c r="G7" s="114">
        <f>G21/B19*B7</f>
        <v>16494</v>
      </c>
      <c r="H7" s="114">
        <f>H21/B19*B7</f>
        <v>11665</v>
      </c>
      <c r="I7" s="114">
        <f>I21/B19*B7</f>
        <v>41235</v>
      </c>
      <c r="J7" s="114">
        <f>J21/B19*B7</f>
        <v>18240</v>
      </c>
      <c r="K7" s="114">
        <f>K21/B19*B7</f>
        <v>14189</v>
      </c>
      <c r="L7" s="122">
        <f t="shared" si="0"/>
        <v>161239</v>
      </c>
      <c r="M7" s="131">
        <v>161.3</v>
      </c>
      <c r="N7" s="244">
        <f t="shared" si="1"/>
        <v>13437</v>
      </c>
    </row>
    <row r="8" spans="1:14" ht="12.75">
      <c r="A8" s="111" t="s">
        <v>84</v>
      </c>
      <c r="B8" s="44">
        <v>487</v>
      </c>
      <c r="C8" s="114">
        <f>C21/B19*B8</f>
        <v>27073</v>
      </c>
      <c r="D8" s="114">
        <f>D21/B19*B8</f>
        <v>1509</v>
      </c>
      <c r="E8" s="114">
        <f>E21/B19*B8</f>
        <v>6468</v>
      </c>
      <c r="F8" s="114">
        <f>F21/B19*B8</f>
        <v>10447</v>
      </c>
      <c r="G8" s="114">
        <f>G21/B19*B8</f>
        <v>12630</v>
      </c>
      <c r="H8" s="114">
        <v>8933</v>
      </c>
      <c r="I8" s="114">
        <v>31575</v>
      </c>
      <c r="J8" s="114">
        <f>J21/B19*B8</f>
        <v>13966</v>
      </c>
      <c r="K8" s="114">
        <f>K21/B19*B8</f>
        <v>10865</v>
      </c>
      <c r="L8" s="122">
        <f t="shared" si="0"/>
        <v>123466</v>
      </c>
      <c r="M8" s="131">
        <v>123.5</v>
      </c>
      <c r="N8" s="244">
        <f t="shared" si="1"/>
        <v>10289</v>
      </c>
    </row>
    <row r="9" spans="1:14" ht="12.75">
      <c r="A9" s="111" t="s">
        <v>85</v>
      </c>
      <c r="B9" s="44">
        <v>711</v>
      </c>
      <c r="C9" s="114">
        <f>C21/B19*B9</f>
        <v>39526</v>
      </c>
      <c r="D9" s="114">
        <f>D21/B19*B9</f>
        <v>2203</v>
      </c>
      <c r="E9" s="114">
        <f>E21/B19*B9</f>
        <v>9443</v>
      </c>
      <c r="F9" s="114">
        <f>F21/B19*B9</f>
        <v>15252</v>
      </c>
      <c r="G9" s="114">
        <f>G21/B19*B9</f>
        <v>18439</v>
      </c>
      <c r="H9" s="114">
        <f>H21/B19*B9</f>
        <v>13041</v>
      </c>
      <c r="I9" s="114">
        <f>I21/B19*B9</f>
        <v>46098</v>
      </c>
      <c r="J9" s="114">
        <f>J21/B19*B9</f>
        <v>20390</v>
      </c>
      <c r="K9" s="114">
        <f>K21/B19*B9</f>
        <v>15862</v>
      </c>
      <c r="L9" s="122">
        <f t="shared" si="0"/>
        <v>180254</v>
      </c>
      <c r="M9" s="131">
        <v>180.3</v>
      </c>
      <c r="N9" s="244">
        <f t="shared" si="1"/>
        <v>15021</v>
      </c>
    </row>
    <row r="10" spans="1:14" ht="12.75">
      <c r="A10" s="111" t="s">
        <v>86</v>
      </c>
      <c r="B10" s="44">
        <v>1161</v>
      </c>
      <c r="C10" s="114">
        <f>C21/B19*B10</f>
        <v>64542</v>
      </c>
      <c r="D10" s="114">
        <f>D21/B19*B10</f>
        <v>3597</v>
      </c>
      <c r="E10" s="114">
        <f>E21/B19*B10</f>
        <v>15420</v>
      </c>
      <c r="F10" s="114">
        <f>F21/B19*B10</f>
        <v>24905</v>
      </c>
      <c r="G10" s="114">
        <f>G21/B19*B10</f>
        <v>30110</v>
      </c>
      <c r="H10" s="114">
        <f>H21/B19*B10</f>
        <v>21294</v>
      </c>
      <c r="I10" s="114">
        <f>I21/B19*B10</f>
        <v>75274</v>
      </c>
      <c r="J10" s="114">
        <v>33295</v>
      </c>
      <c r="K10" s="114">
        <v>25901</v>
      </c>
      <c r="L10" s="122">
        <f t="shared" si="0"/>
        <v>294338</v>
      </c>
      <c r="M10" s="131">
        <v>294.3</v>
      </c>
      <c r="N10" s="244">
        <f t="shared" si="1"/>
        <v>24528</v>
      </c>
    </row>
    <row r="11" spans="1:14" ht="12.75">
      <c r="A11" s="111" t="s">
        <v>87</v>
      </c>
      <c r="B11" s="44">
        <v>6999</v>
      </c>
      <c r="C11" s="114">
        <f>C21/B19*B11</f>
        <v>389085</v>
      </c>
      <c r="D11" s="114">
        <f>D21/B19*B11</f>
        <v>21685</v>
      </c>
      <c r="E11" s="114">
        <f>E21/B19*B11</f>
        <v>92959</v>
      </c>
      <c r="F11" s="114">
        <f>F21/B19*B11</f>
        <v>150140</v>
      </c>
      <c r="G11" s="114">
        <f>G21/B19*B11</f>
        <v>181514</v>
      </c>
      <c r="H11" s="114">
        <f>H21/B19*B11</f>
        <v>128372</v>
      </c>
      <c r="I11" s="114">
        <v>450780</v>
      </c>
      <c r="J11" s="114">
        <f>J21/B19*B11</f>
        <v>200721</v>
      </c>
      <c r="K11" s="114">
        <f>K21/B19*B11</f>
        <v>156143</v>
      </c>
      <c r="L11" s="122">
        <f t="shared" si="0"/>
        <v>1771399</v>
      </c>
      <c r="M11" s="131">
        <v>1771.4</v>
      </c>
      <c r="N11" s="244">
        <f t="shared" si="1"/>
        <v>147617</v>
      </c>
    </row>
    <row r="12" spans="1:14" ht="12.75">
      <c r="A12" s="111" t="s">
        <v>88</v>
      </c>
      <c r="B12" s="44">
        <v>1289</v>
      </c>
      <c r="C12" s="114">
        <f>C21/B19*B12</f>
        <v>71657</v>
      </c>
      <c r="D12" s="114">
        <f>D21/B19*B12</f>
        <v>3994</v>
      </c>
      <c r="E12" s="114">
        <f>E21/B19*B12</f>
        <v>17120</v>
      </c>
      <c r="F12" s="114">
        <f>F21/B19*B12</f>
        <v>27651</v>
      </c>
      <c r="G12" s="114">
        <f>G21/B19*B12</f>
        <v>33429</v>
      </c>
      <c r="H12" s="114">
        <f>H21/B19*B12</f>
        <v>23642</v>
      </c>
      <c r="I12" s="114">
        <v>83573</v>
      </c>
      <c r="J12" s="114">
        <f>J21/B19*B12</f>
        <v>36967</v>
      </c>
      <c r="K12" s="114">
        <f>K21/B19*B12</f>
        <v>28757</v>
      </c>
      <c r="L12" s="122">
        <f t="shared" si="0"/>
        <v>326790</v>
      </c>
      <c r="M12" s="131">
        <v>327</v>
      </c>
      <c r="N12" s="244">
        <f t="shared" si="1"/>
        <v>27233</v>
      </c>
    </row>
    <row r="13" spans="1:14" ht="12" customHeight="1">
      <c r="A13" s="111" t="s">
        <v>89</v>
      </c>
      <c r="B13" s="44">
        <v>208</v>
      </c>
      <c r="C13" s="114">
        <f>C21/B19*B13</f>
        <v>11563</v>
      </c>
      <c r="D13" s="114">
        <f>D21/B19*B13</f>
        <v>644</v>
      </c>
      <c r="E13" s="114">
        <f>E21/B19*B13</f>
        <v>2763</v>
      </c>
      <c r="F13" s="114">
        <f>F21/B19*B13</f>
        <v>4462</v>
      </c>
      <c r="G13" s="114">
        <f>G21/B19*B13</f>
        <v>5394</v>
      </c>
      <c r="H13" s="114">
        <f>H21/B19*B13</f>
        <v>3815</v>
      </c>
      <c r="I13" s="114">
        <f>I21/B19*B13</f>
        <v>13486</v>
      </c>
      <c r="J13" s="114">
        <v>5964</v>
      </c>
      <c r="K13" s="114">
        <f>K21/B19*B13</f>
        <v>4640</v>
      </c>
      <c r="L13" s="122">
        <f t="shared" si="0"/>
        <v>52731</v>
      </c>
      <c r="M13" s="131">
        <v>53</v>
      </c>
      <c r="N13" s="244">
        <f t="shared" si="1"/>
        <v>4394</v>
      </c>
    </row>
    <row r="14" spans="1:14" ht="12.75">
      <c r="A14" s="111" t="s">
        <v>90</v>
      </c>
      <c r="B14" s="44">
        <v>598</v>
      </c>
      <c r="C14" s="114">
        <f>C21/B19*B14</f>
        <v>33244</v>
      </c>
      <c r="D14" s="114">
        <f>D21/B19*B14</f>
        <v>1853</v>
      </c>
      <c r="E14" s="114">
        <f>E21/B19*B14</f>
        <v>7942</v>
      </c>
      <c r="F14" s="114">
        <f>F21/B19*B14</f>
        <v>12828</v>
      </c>
      <c r="G14" s="114">
        <f>G21/B19*B14</f>
        <v>15509</v>
      </c>
      <c r="H14" s="114">
        <f>H21/B19*B14</f>
        <v>10968</v>
      </c>
      <c r="I14" s="114">
        <f>I21/B19*B14</f>
        <v>38772</v>
      </c>
      <c r="J14" s="114">
        <f>J21/B19*B14</f>
        <v>17150</v>
      </c>
      <c r="K14" s="114">
        <f>K21/B19*B14</f>
        <v>13341</v>
      </c>
      <c r="L14" s="122">
        <f t="shared" si="0"/>
        <v>151607</v>
      </c>
      <c r="M14" s="131">
        <v>151.6</v>
      </c>
      <c r="N14" s="244">
        <f t="shared" si="1"/>
        <v>12634</v>
      </c>
    </row>
    <row r="15" spans="1:14" ht="12.75">
      <c r="A15" s="112" t="s">
        <v>91</v>
      </c>
      <c r="B15" s="44">
        <v>937</v>
      </c>
      <c r="C15" s="114">
        <f>C21/B19*B15</f>
        <v>52089</v>
      </c>
      <c r="D15" s="114">
        <f>D21/B19*B15</f>
        <v>2903</v>
      </c>
      <c r="E15" s="114">
        <f>E21/B19*B15</f>
        <v>12445</v>
      </c>
      <c r="F15" s="114">
        <f>F21/B19*B15</f>
        <v>20100</v>
      </c>
      <c r="G15" s="114">
        <f>G21/B19*B15</f>
        <v>24300</v>
      </c>
      <c r="H15" s="114">
        <f>H21/B19*B15</f>
        <v>17186</v>
      </c>
      <c r="I15" s="114">
        <f>I21/B19*B15</f>
        <v>60751</v>
      </c>
      <c r="J15" s="114">
        <f>J21/B19*B15</f>
        <v>26872</v>
      </c>
      <c r="K15" s="114">
        <f>K21/B19*B15</f>
        <v>20904</v>
      </c>
      <c r="L15" s="122">
        <f t="shared" si="0"/>
        <v>237550</v>
      </c>
      <c r="M15" s="131">
        <v>237.6</v>
      </c>
      <c r="N15" s="244">
        <f t="shared" si="1"/>
        <v>19796</v>
      </c>
    </row>
    <row r="16" spans="1:14" ht="12.75">
      <c r="A16" s="111" t="s">
        <v>92</v>
      </c>
      <c r="B16" s="44">
        <v>1230</v>
      </c>
      <c r="C16" s="114">
        <f>C21/B19*B16</f>
        <v>68377</v>
      </c>
      <c r="D16" s="114">
        <f>D21/B19*B16</f>
        <v>3811</v>
      </c>
      <c r="E16" s="114">
        <f>E21/B19*B16</f>
        <v>16337</v>
      </c>
      <c r="F16" s="114">
        <v>26386</v>
      </c>
      <c r="G16" s="114">
        <f>G21/B19*B16</f>
        <v>31899</v>
      </c>
      <c r="H16" s="114">
        <f>H21/B19*B16</f>
        <v>22560</v>
      </c>
      <c r="I16" s="114">
        <f>1133712/17486*1230</f>
        <v>79748</v>
      </c>
      <c r="J16" s="114">
        <f>J21/B19*B16</f>
        <v>35275</v>
      </c>
      <c r="K16" s="114">
        <f>K21/B19*B16</f>
        <v>27440</v>
      </c>
      <c r="L16" s="122">
        <f t="shared" si="0"/>
        <v>311833</v>
      </c>
      <c r="M16" s="131">
        <v>311.8</v>
      </c>
      <c r="N16" s="244">
        <f t="shared" si="1"/>
        <v>25986</v>
      </c>
    </row>
    <row r="17" spans="1:14" ht="12.75">
      <c r="A17" s="111" t="s">
        <v>93</v>
      </c>
      <c r="B17" s="44">
        <v>1116</v>
      </c>
      <c r="C17" s="114">
        <f>C21/B19*B17</f>
        <v>62040</v>
      </c>
      <c r="D17" s="114">
        <f>D21/B19*B17</f>
        <v>3458</v>
      </c>
      <c r="E17" s="114">
        <f>E21/B19*B17</f>
        <v>14822</v>
      </c>
      <c r="F17" s="114">
        <f>F21/B19*B17</f>
        <v>23940</v>
      </c>
      <c r="G17" s="114">
        <f>G21/B19*B17</f>
        <v>28943</v>
      </c>
      <c r="H17" s="114">
        <f>H21/B19*B17</f>
        <v>20469</v>
      </c>
      <c r="I17" s="114">
        <f>I21/B19*B17</f>
        <v>72356</v>
      </c>
      <c r="J17" s="114">
        <f>J21/B19*B17</f>
        <v>32005</v>
      </c>
      <c r="K17" s="114">
        <f>K21/B19*B17</f>
        <v>24897</v>
      </c>
      <c r="L17" s="122">
        <f t="shared" si="0"/>
        <v>282930</v>
      </c>
      <c r="M17" s="131">
        <v>282.3</v>
      </c>
      <c r="N17" s="244">
        <f t="shared" si="1"/>
        <v>23578</v>
      </c>
    </row>
    <row r="18" spans="1:14" ht="12.75">
      <c r="A18" s="113" t="s">
        <v>94</v>
      </c>
      <c r="B18" s="44">
        <v>475</v>
      </c>
      <c r="C18" s="114">
        <f>C21/B19*B18</f>
        <v>26406</v>
      </c>
      <c r="D18" s="114">
        <f>D21/B19*B18</f>
        <v>1472</v>
      </c>
      <c r="E18" s="114">
        <f>E21/B19*B18</f>
        <v>6309</v>
      </c>
      <c r="F18" s="114">
        <f>F21/B19*B18</f>
        <v>10190</v>
      </c>
      <c r="G18" s="114">
        <v>12320</v>
      </c>
      <c r="H18" s="114">
        <f>H21/B19*B18</f>
        <v>8712</v>
      </c>
      <c r="I18" s="114">
        <v>30798</v>
      </c>
      <c r="J18" s="114">
        <f>J21/B19*B18</f>
        <v>13622</v>
      </c>
      <c r="K18" s="114">
        <f>K21/B19*B18</f>
        <v>10597</v>
      </c>
      <c r="L18" s="122">
        <f t="shared" si="0"/>
        <v>120426</v>
      </c>
      <c r="M18" s="131">
        <v>120.4</v>
      </c>
      <c r="N18" s="244">
        <f t="shared" si="1"/>
        <v>10036</v>
      </c>
    </row>
    <row r="19" spans="1:14" ht="12.75">
      <c r="A19" s="120" t="s">
        <v>100</v>
      </c>
      <c r="B19" s="121">
        <f aca="true" t="shared" si="2" ref="B19:K19">SUM(B4:B18)</f>
        <v>17486</v>
      </c>
      <c r="C19" s="122">
        <f t="shared" si="2"/>
        <v>972072</v>
      </c>
      <c r="D19" s="122">
        <f t="shared" si="2"/>
        <v>54177</v>
      </c>
      <c r="E19" s="122">
        <f t="shared" si="2"/>
        <v>232244</v>
      </c>
      <c r="F19" s="122">
        <f t="shared" si="2"/>
        <v>375103</v>
      </c>
      <c r="G19" s="122">
        <f t="shared" si="2"/>
        <v>453488</v>
      </c>
      <c r="H19" s="122">
        <f t="shared" si="2"/>
        <v>320719</v>
      </c>
      <c r="I19" s="122">
        <f t="shared" si="2"/>
        <v>1133712</v>
      </c>
      <c r="J19" s="122">
        <f t="shared" si="2"/>
        <v>501472</v>
      </c>
      <c r="K19" s="122">
        <f t="shared" si="2"/>
        <v>390101</v>
      </c>
      <c r="L19" s="122">
        <f>SUM(C19+D19+E19+F19+G19+H19+I19+J19+K19)</f>
        <v>4433088</v>
      </c>
      <c r="M19" s="131">
        <f>SUM(M4:M18)</f>
        <v>4433.1</v>
      </c>
      <c r="N19" s="245">
        <f>SUM(N4:N18)</f>
        <v>369427</v>
      </c>
    </row>
    <row r="20" spans="1:14" ht="31.5" customHeight="1">
      <c r="A20" s="130" t="s">
        <v>129</v>
      </c>
      <c r="B20" s="118"/>
      <c r="C20" s="142"/>
      <c r="D20" s="142"/>
      <c r="E20" s="143"/>
      <c r="F20" s="143"/>
      <c r="G20" s="143"/>
      <c r="H20" s="143"/>
      <c r="I20" s="143"/>
      <c r="J20" s="143"/>
      <c r="K20" s="143"/>
      <c r="L20" s="144"/>
      <c r="M20" s="145"/>
      <c r="N20" s="183"/>
    </row>
    <row r="21" spans="3:12" s="103" customFormat="1" ht="36.75" customHeight="1">
      <c r="C21" s="141">
        <v>972072</v>
      </c>
      <c r="D21" s="103">
        <v>54177</v>
      </c>
      <c r="E21" s="103">
        <v>232244</v>
      </c>
      <c r="F21" s="221">
        <v>375103</v>
      </c>
      <c r="G21" s="221">
        <v>453488</v>
      </c>
      <c r="H21" s="221">
        <v>320719</v>
      </c>
      <c r="I21" s="221">
        <v>1133712</v>
      </c>
      <c r="J21" s="103">
        <v>501472</v>
      </c>
      <c r="K21" s="221">
        <v>390101</v>
      </c>
      <c r="L21" s="221">
        <v>4433088</v>
      </c>
    </row>
    <row r="22" spans="1:13" s="103" customFormat="1" ht="20.25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46"/>
      <c r="M22" s="141"/>
    </row>
    <row r="23" spans="1:12" ht="12.75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</row>
    <row r="24" spans="1:12" ht="12.75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222"/>
      <c r="L24" s="119"/>
    </row>
    <row r="25" spans="1:12" ht="12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</row>
    <row r="26" spans="1:12" ht="12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</row>
    <row r="27" spans="1:12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</row>
    <row r="28" spans="1:12" ht="12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</row>
    <row r="29" spans="1:12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</row>
    <row r="30" spans="1:12" ht="12.75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</row>
    <row r="31" spans="1:12" ht="12.75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</row>
    <row r="32" spans="1:12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</row>
    <row r="33" spans="1:14" ht="12.75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</row>
    <row r="34" spans="1:14" ht="12.75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</row>
    <row r="35" spans="1:14" ht="12.7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</row>
    <row r="36" spans="1:14" ht="12.75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</row>
    <row r="37" spans="1:14" ht="12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</row>
    <row r="38" spans="1:14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</row>
    <row r="39" spans="1:14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  <row r="40" spans="1:14" ht="12.75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1:14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</row>
  </sheetData>
  <sheetProtection/>
  <hyperlinks>
    <hyperlink ref="D3" r:id="rId1" display="garantf1://12038291.14/"/>
  </hyperlink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68" r:id="rId2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2:H28"/>
  <sheetViews>
    <sheetView zoomScalePageLayoutView="0" workbookViewId="0" topLeftCell="A9">
      <selection activeCell="D10" sqref="D10"/>
    </sheetView>
  </sheetViews>
  <sheetFormatPr defaultColWidth="9.00390625" defaultRowHeight="12.75"/>
  <cols>
    <col min="2" max="2" width="22.375" style="0" customWidth="1"/>
    <col min="3" max="3" width="25.375" style="0" customWidth="1"/>
    <col min="4" max="4" width="16.75390625" style="0" customWidth="1"/>
    <col min="5" max="5" width="18.375" style="0" customWidth="1"/>
    <col min="6" max="6" width="12.875" style="0" customWidth="1"/>
  </cols>
  <sheetData>
    <row r="2" ht="12.75">
      <c r="E2" t="s">
        <v>119</v>
      </c>
    </row>
    <row r="3" spans="2:6" ht="118.5" customHeight="1">
      <c r="B3" s="246" t="s">
        <v>133</v>
      </c>
      <c r="C3" s="246"/>
      <c r="D3" s="246"/>
      <c r="E3" s="246"/>
      <c r="F3" s="246"/>
    </row>
    <row r="4" ht="2.25" customHeight="1" hidden="1"/>
    <row r="5" ht="4.5" customHeight="1" hidden="1"/>
    <row r="6" ht="1.5" customHeight="1" hidden="1"/>
    <row r="7" ht="12.75" hidden="1"/>
    <row r="8" ht="12.75" hidden="1"/>
    <row r="9" spans="2:8" ht="42" customHeight="1">
      <c r="B9" s="79">
        <v>2</v>
      </c>
      <c r="C9" s="236" t="s">
        <v>120</v>
      </c>
      <c r="D9" s="133" t="s">
        <v>121</v>
      </c>
      <c r="E9" s="137" t="s">
        <v>131</v>
      </c>
      <c r="G9" s="184"/>
      <c r="H9" s="118"/>
    </row>
    <row r="10" spans="2:5" ht="18.75">
      <c r="B10" s="235" t="str">
        <f>'[2]РАСЧЕТ ИНП'!B10</f>
        <v>Альбитуйское </v>
      </c>
      <c r="C10" s="126">
        <v>9.2</v>
      </c>
      <c r="D10" s="242">
        <f>59.041*9200</f>
        <v>543177</v>
      </c>
      <c r="E10" s="136">
        <v>543.2</v>
      </c>
    </row>
    <row r="11" spans="2:5" ht="18.75">
      <c r="B11" s="235" t="str">
        <f>'[2]РАСЧЕТ ИНП'!B11</f>
        <v>Архангельское</v>
      </c>
      <c r="C11" s="126">
        <v>16</v>
      </c>
      <c r="D11" s="134">
        <f>59.041*16000</f>
        <v>944656</v>
      </c>
      <c r="E11" s="136">
        <v>944.6</v>
      </c>
    </row>
    <row r="12" spans="2:5" ht="18.75">
      <c r="B12" s="235" t="str">
        <f>'[2]РАСЧЕТ ИНП'!B12</f>
        <v>Байхорское </v>
      </c>
      <c r="C12" s="126">
        <v>10.3</v>
      </c>
      <c r="D12" s="134">
        <f>10300*59.041</f>
        <v>608122.3</v>
      </c>
      <c r="E12" s="136">
        <v>608.1</v>
      </c>
    </row>
    <row r="13" spans="2:5" ht="18.75">
      <c r="B13" s="235" t="str">
        <f>'[2]РАСЧЕТ ИНП'!B13</f>
        <v>Большереченское</v>
      </c>
      <c r="C13" s="126">
        <v>9.4</v>
      </c>
      <c r="D13" s="134">
        <f>9400*59.041</f>
        <v>554985.4</v>
      </c>
      <c r="E13" s="136">
        <v>555</v>
      </c>
    </row>
    <row r="14" spans="2:5" ht="15.75">
      <c r="B14" s="234" t="s">
        <v>84</v>
      </c>
      <c r="C14" s="126">
        <v>5.5</v>
      </c>
      <c r="D14" s="134">
        <f>5500*59.041</f>
        <v>324725.5</v>
      </c>
      <c r="E14" s="136">
        <v>324.7</v>
      </c>
    </row>
    <row r="15" spans="2:5" ht="18.75">
      <c r="B15" s="235" t="str">
        <f>'[2]РАСЧЕТ ИНП'!B15</f>
        <v>Жиндойское </v>
      </c>
      <c r="C15" s="126">
        <v>13</v>
      </c>
      <c r="D15" s="134">
        <f>59.041*13000</f>
        <v>767533</v>
      </c>
      <c r="E15" s="136">
        <v>767.5</v>
      </c>
    </row>
    <row r="16" spans="2:5" ht="18.75">
      <c r="B16" s="235" t="str">
        <f>'[2]РАСЧЕТ ИНП'!B16</f>
        <v>Захаровское</v>
      </c>
      <c r="C16" s="126">
        <v>23.6</v>
      </c>
      <c r="D16" s="134">
        <f>23600*59.041</f>
        <v>1393367.6</v>
      </c>
      <c r="E16" s="136">
        <v>1393.4</v>
      </c>
    </row>
    <row r="17" spans="2:5" ht="18.75">
      <c r="B17" s="235" t="str">
        <f>'[2]РАСЧЕТ ИНП'!B17</f>
        <v>Красночикойское </v>
      </c>
      <c r="C17" s="126">
        <v>82.3</v>
      </c>
      <c r="D17" s="134">
        <f>82300*59.041</f>
        <v>4859074.3</v>
      </c>
      <c r="E17" s="136">
        <v>4859.1</v>
      </c>
    </row>
    <row r="18" spans="2:5" ht="18.75">
      <c r="B18" s="235" t="str">
        <f>'[2]РАСЧЕТ ИНП'!B18</f>
        <v>Коротковское </v>
      </c>
      <c r="C18" s="126">
        <v>19.5</v>
      </c>
      <c r="D18" s="134">
        <f>59.041*19500</f>
        <v>1151299.5</v>
      </c>
      <c r="E18" s="136">
        <v>1151.3</v>
      </c>
    </row>
    <row r="19" spans="2:5" ht="18.75">
      <c r="B19" s="235" t="str">
        <f>'[2]РАСЧЕТ ИНП'!B19</f>
        <v>Конкинское</v>
      </c>
      <c r="C19" s="126">
        <v>4.2</v>
      </c>
      <c r="D19" s="134">
        <f>4200*59.041</f>
        <v>247972.2</v>
      </c>
      <c r="E19" s="136">
        <v>248</v>
      </c>
    </row>
    <row r="20" spans="2:5" ht="18.75">
      <c r="B20" s="235" t="str">
        <f>'[2]РАСЧЕТ ИНП'!B20</f>
        <v>Мензинское</v>
      </c>
      <c r="C20" s="126">
        <v>8.6</v>
      </c>
      <c r="D20" s="134">
        <f>8600*59.041</f>
        <v>507752.6</v>
      </c>
      <c r="E20" s="136">
        <v>507.8</v>
      </c>
    </row>
    <row r="21" spans="2:5" ht="18.75">
      <c r="B21" s="235" t="str">
        <f>'[2]РАСЧЕТ ИНП'!B21</f>
        <v>Малоархангельское</v>
      </c>
      <c r="C21" s="126">
        <v>19.4</v>
      </c>
      <c r="D21" s="134">
        <f>19400*59.041</f>
        <v>1145395.4</v>
      </c>
      <c r="E21" s="136">
        <v>1145.4</v>
      </c>
    </row>
    <row r="22" spans="2:5" ht="18.75">
      <c r="B22" s="235" t="str">
        <f>'[2]РАСЧЕТ ИНП'!B22</f>
        <v>Урлукское </v>
      </c>
      <c r="C22" s="126">
        <v>42.5</v>
      </c>
      <c r="D22" s="134">
        <f>59.041*42500</f>
        <v>2509242.5</v>
      </c>
      <c r="E22" s="136">
        <v>2509.2</v>
      </c>
    </row>
    <row r="23" spans="2:5" ht="18.75">
      <c r="B23" s="235" t="str">
        <f>'[2]РАСЧЕТ ИНП'!B23</f>
        <v>Черемховское </v>
      </c>
      <c r="C23" s="126">
        <v>18.4</v>
      </c>
      <c r="D23" s="134">
        <f>18400*59.041</f>
        <v>1086354.4</v>
      </c>
      <c r="E23" s="136">
        <v>1086.4</v>
      </c>
    </row>
    <row r="24" spans="2:5" ht="19.5" thickBot="1">
      <c r="B24" s="235" t="str">
        <f>'[2]РАСЧЕТ ИНП'!B24</f>
        <v>Шимбиликское</v>
      </c>
      <c r="C24" s="127">
        <v>6.8</v>
      </c>
      <c r="D24" s="135">
        <f>59.041*6800</f>
        <v>401478.8</v>
      </c>
      <c r="E24" s="136">
        <v>401.5</v>
      </c>
    </row>
    <row r="25" spans="2:5" ht="19.5" thickBot="1">
      <c r="B25" s="238" t="s">
        <v>54</v>
      </c>
      <c r="C25" s="239">
        <f>SUM(C10:C24)</f>
        <v>288.7</v>
      </c>
      <c r="D25" s="240">
        <f>SUM(D10:D24)</f>
        <v>17045137</v>
      </c>
      <c r="E25" s="241">
        <f>SUM(E10:E24)</f>
        <v>17045.2</v>
      </c>
    </row>
    <row r="26" spans="2:5" ht="12.75">
      <c r="B26" s="139">
        <v>0.04</v>
      </c>
      <c r="E26" s="132"/>
    </row>
    <row r="28" ht="12.75">
      <c r="E28" s="132"/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36.875" style="0" customWidth="1"/>
    <col min="3" max="3" width="27.875" style="0" customWidth="1"/>
    <col min="4" max="4" width="16.75390625" style="0" customWidth="1"/>
    <col min="5" max="5" width="14.625" style="0" customWidth="1"/>
    <col min="6" max="6" width="12.875" style="0" customWidth="1"/>
  </cols>
  <sheetData>
    <row r="2" ht="12.75">
      <c r="E2" t="s">
        <v>119</v>
      </c>
    </row>
    <row r="3" spans="2:6" ht="252" customHeight="1">
      <c r="B3" s="247" t="s">
        <v>133</v>
      </c>
      <c r="C3" s="247"/>
      <c r="D3" s="247"/>
      <c r="E3" s="247"/>
      <c r="F3" s="247"/>
    </row>
    <row r="4" ht="2.25" customHeight="1"/>
    <row r="5" ht="4.5" customHeight="1" hidden="1"/>
    <row r="6" ht="1.5" customHeight="1" hidden="1"/>
    <row r="7" ht="12.75" hidden="1"/>
    <row r="8" ht="12.75" hidden="1"/>
    <row r="9" spans="2:8" ht="66.75" customHeight="1">
      <c r="B9" s="79">
        <v>2</v>
      </c>
      <c r="C9" s="125" t="s">
        <v>120</v>
      </c>
      <c r="D9" s="133" t="s">
        <v>121</v>
      </c>
      <c r="E9" s="137" t="s">
        <v>131</v>
      </c>
      <c r="G9" s="184"/>
      <c r="H9" s="118"/>
    </row>
    <row r="10" spans="2:5" ht="18.75">
      <c r="B10" s="235" t="str">
        <f>'[2]РАСЧЕТ ИНП'!B10</f>
        <v>Альбитуйское </v>
      </c>
      <c r="C10" s="126">
        <v>9.2</v>
      </c>
      <c r="D10" s="228">
        <f>59.041*9200</f>
        <v>543177</v>
      </c>
      <c r="E10" s="136"/>
    </row>
    <row r="11" spans="2:5" ht="18.75">
      <c r="B11" s="235" t="str">
        <f>'[2]РАСЧЕТ ИНП'!B11</f>
        <v>Архангельское</v>
      </c>
      <c r="C11" s="126">
        <v>16</v>
      </c>
      <c r="D11" s="134">
        <f>59.041*16000</f>
        <v>944656</v>
      </c>
      <c r="E11" s="136"/>
    </row>
    <row r="12" spans="2:5" ht="18.75">
      <c r="B12" s="235" t="str">
        <f>'[2]РАСЧЕТ ИНП'!B12</f>
        <v>Байхорское </v>
      </c>
      <c r="C12" s="126">
        <v>10.3</v>
      </c>
      <c r="D12" s="134">
        <f>10300*59.041</f>
        <v>608122.3</v>
      </c>
      <c r="E12" s="136"/>
    </row>
    <row r="13" spans="2:5" ht="18.75">
      <c r="B13" s="235" t="str">
        <f>'[2]РАСЧЕТ ИНП'!B13</f>
        <v>Большереченское</v>
      </c>
      <c r="C13" s="126">
        <v>9.4</v>
      </c>
      <c r="D13" s="134">
        <f>9400*59.041</f>
        <v>554985.4</v>
      </c>
      <c r="E13" s="136"/>
    </row>
    <row r="14" spans="2:5" ht="15.75">
      <c r="B14" s="234" t="s">
        <v>84</v>
      </c>
      <c r="C14" s="126">
        <v>5.5</v>
      </c>
      <c r="D14" s="134">
        <f>5500*59.041</f>
        <v>324725.5</v>
      </c>
      <c r="E14" s="136"/>
    </row>
    <row r="15" spans="2:5" ht="18.75">
      <c r="B15" s="235" t="str">
        <f>'[2]РАСЧЕТ ИНП'!B15</f>
        <v>Жиндойское </v>
      </c>
      <c r="C15" s="126">
        <v>13</v>
      </c>
      <c r="D15" s="134">
        <f>59.041*13000</f>
        <v>767533</v>
      </c>
      <c r="E15" s="136"/>
    </row>
    <row r="16" spans="2:5" ht="18.75">
      <c r="B16" s="235" t="str">
        <f>'[2]РАСЧЕТ ИНП'!B16</f>
        <v>Захаровское</v>
      </c>
      <c r="C16" s="126">
        <v>23.6</v>
      </c>
      <c r="D16" s="134">
        <f>23600*59.041</f>
        <v>1393367.6</v>
      </c>
      <c r="E16" s="136"/>
    </row>
    <row r="17" spans="2:5" ht="18.75">
      <c r="B17" s="235" t="str">
        <f>'[2]РАСЧЕТ ИНП'!B17</f>
        <v>Красночикойское </v>
      </c>
      <c r="C17" s="126">
        <v>82.3</v>
      </c>
      <c r="D17" s="134">
        <f>82300*59.041</f>
        <v>4859074.3</v>
      </c>
      <c r="E17" s="136"/>
    </row>
    <row r="18" spans="2:5" ht="18.75">
      <c r="B18" s="235" t="str">
        <f>'[2]РАСЧЕТ ИНП'!B18</f>
        <v>Коротковское </v>
      </c>
      <c r="C18" s="126">
        <v>19.5</v>
      </c>
      <c r="D18" s="134">
        <f>59.041*19500</f>
        <v>1151299.5</v>
      </c>
      <c r="E18" s="136"/>
    </row>
    <row r="19" spans="2:5" ht="18.75">
      <c r="B19" s="235" t="str">
        <f>'[2]РАСЧЕТ ИНП'!B19</f>
        <v>Конкинское</v>
      </c>
      <c r="C19" s="126">
        <v>4.2</v>
      </c>
      <c r="D19" s="134">
        <f>4200*59.041</f>
        <v>247972.2</v>
      </c>
      <c r="E19" s="136"/>
    </row>
    <row r="20" spans="2:5" ht="18.75">
      <c r="B20" s="235" t="str">
        <f>'[2]РАСЧЕТ ИНП'!B20</f>
        <v>Мензинское</v>
      </c>
      <c r="C20" s="126">
        <v>8.6</v>
      </c>
      <c r="D20" s="134">
        <f>8600*59.041</f>
        <v>507752.6</v>
      </c>
      <c r="E20" s="136"/>
    </row>
    <row r="21" spans="2:5" ht="18.75">
      <c r="B21" s="235" t="str">
        <f>'[2]РАСЧЕТ ИНП'!B21</f>
        <v>Малоархангельское</v>
      </c>
      <c r="C21" s="126">
        <v>19.4</v>
      </c>
      <c r="D21" s="134">
        <f>19400*59.041</f>
        <v>1145395.4</v>
      </c>
      <c r="E21" s="136"/>
    </row>
    <row r="22" spans="2:5" ht="18.75">
      <c r="B22" s="235" t="str">
        <f>'[2]РАСЧЕТ ИНП'!B22</f>
        <v>Урлукское </v>
      </c>
      <c r="C22" s="126">
        <v>42.5</v>
      </c>
      <c r="D22" s="134">
        <f>59.041*42500</f>
        <v>2509242.5</v>
      </c>
      <c r="E22" s="136"/>
    </row>
    <row r="23" spans="2:5" ht="18.75">
      <c r="B23" s="235" t="str">
        <f>'[2]РАСЧЕТ ИНП'!B23</f>
        <v>Черемховское </v>
      </c>
      <c r="C23" s="126">
        <v>18.4</v>
      </c>
      <c r="D23" s="134">
        <f>18400*59.041</f>
        <v>1086354.4</v>
      </c>
      <c r="E23" s="136"/>
    </row>
    <row r="24" spans="2:5" ht="19.5" thickBot="1">
      <c r="B24" s="235" t="str">
        <f>'[2]РАСЧЕТ ИНП'!B24</f>
        <v>Шимбиликское</v>
      </c>
      <c r="C24" s="127">
        <v>6.8</v>
      </c>
      <c r="D24" s="135">
        <f>59.041*6800</f>
        <v>401478.8</v>
      </c>
      <c r="E24" s="136"/>
    </row>
    <row r="25" spans="2:5" ht="19.5" thickBot="1">
      <c r="B25" s="80" t="s">
        <v>54</v>
      </c>
      <c r="C25" s="128">
        <f>SUM(C10:C24)</f>
        <v>288.7</v>
      </c>
      <c r="D25" s="229">
        <f>SUM(D10:D24)</f>
        <v>17045137</v>
      </c>
      <c r="E25" s="138">
        <f>SUM(E10:E24)</f>
        <v>0</v>
      </c>
    </row>
    <row r="26" spans="2:5" ht="12.75">
      <c r="B26" s="139">
        <v>0.04</v>
      </c>
      <c r="E26" s="132"/>
    </row>
    <row r="28" ht="12.75">
      <c r="E28" s="132"/>
    </row>
  </sheetData>
  <sheetProtection/>
  <mergeCells count="1">
    <mergeCell ref="B3:F3"/>
  </mergeCells>
  <printOptions/>
  <pageMargins left="0.7086614173228347" right="0.7086614173228347" top="0.7480314960629921" bottom="0.7480314960629921" header="0.31496062992125984" footer="0.31496062992125984"/>
  <pageSetup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Главный специалист</cp:lastModifiedBy>
  <cp:lastPrinted>2021-11-01T05:49:37Z</cp:lastPrinted>
  <dcterms:created xsi:type="dcterms:W3CDTF">2005-08-24T23:16:42Z</dcterms:created>
  <dcterms:modified xsi:type="dcterms:W3CDTF">2022-01-25T07:40:56Z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