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'Лист1'!$A$1:$N$74</definedName>
  </definedNames>
  <calcPr fullCalcOnLoad="1"/>
</workbook>
</file>

<file path=xl/sharedStrings.xml><?xml version="1.0" encoding="utf-8"?>
<sst xmlns="http://schemas.openxmlformats.org/spreadsheetml/2006/main" count="148" uniqueCount="102">
  <si>
    <t>Показатели</t>
  </si>
  <si>
    <t>Единица измерения</t>
  </si>
  <si>
    <t>отчет 2017 год</t>
  </si>
  <si>
    <t>отчет 2018 год</t>
  </si>
  <si>
    <t>прогноз</t>
  </si>
  <si>
    <t>2020 год</t>
  </si>
  <si>
    <t>2025 год</t>
  </si>
  <si>
    <t>2030 год</t>
  </si>
  <si>
    <t>консервативный</t>
  </si>
  <si>
    <t>базовый</t>
  </si>
  <si>
    <t>целевой</t>
  </si>
  <si>
    <t>1. Население</t>
  </si>
  <si>
    <t>Численность населения (среднегодовая)</t>
  </si>
  <si>
    <t>Все население (среднегодовая)</t>
  </si>
  <si>
    <t>человек</t>
  </si>
  <si>
    <t>Городское население (среднегодовая)</t>
  </si>
  <si>
    <t>Сельское население (среднегодовая)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</si>
  <si>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</si>
  <si>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</si>
  <si>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</si>
  <si>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2. Производство товаров и услуг</t>
  </si>
  <si>
    <t>2.1. Промышленное производство (BCDE), всего</t>
  </si>
  <si>
    <t>млн. руб.</t>
  </si>
  <si>
    <t xml:space="preserve">Индекс промышленного производства </t>
  </si>
  <si>
    <t>% к предыдущему году в сопоставимых ценах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</si>
  <si>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</si>
  <si>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</si>
  <si>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</si>
  <si>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Добыча металлических руд</t>
  </si>
  <si>
    <t>Индекс производства -  Добыча металлических руд</t>
  </si>
  <si>
    <t>Объем отгруженных товаров собственного производства, выполненных работ и услуг собственными силами - Добыча прочих полезных ископаемых</t>
  </si>
  <si>
    <t>Индекс производства - Добыча прочих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</si>
  <si>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</si>
  <si>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</si>
  <si>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</si>
  <si>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 xml:space="preserve">% к предыдущему году в сопоставимых ценах </t>
  </si>
  <si>
    <t>Объем отгруженных товаров собственного производства, выполненных работ и услуг собственными силами - Производство пищевых продуктов</t>
  </si>
  <si>
    <t>Индекс производства -  Производство пищевых продуктов</t>
  </si>
  <si>
    <t>Объем отгруженных товаров собственного производства, выполненных работ и услуг собственными силами -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</si>
  <si>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</si>
  <si>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</si>
  <si>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</si>
  <si>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</si>
  <si>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</si>
  <si>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</si>
  <si>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</si>
  <si>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2.2. Сельское хозяйство</t>
  </si>
  <si>
    <t>Продукция сельского хозяйства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</si>
  <si>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</si>
  <si>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</si>
  <si>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</si>
  <si>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>млн.руб.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</si>
  <si>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</si>
  <si>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</si>
  <si>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</si>
  <si>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 xml:space="preserve">2.3. Транспорт 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</si>
  <si>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</si>
  <si>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</si>
  <si>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2.4. Строительство</t>
  </si>
  <si>
    <t xml:space="preserve">Объем работ, выполненных по виду экономической деятельности "Строительство" </t>
  </si>
  <si>
    <t>в ценах соответствующих лет; млн. руб.</t>
  </si>
  <si>
    <t xml:space="preserve">Индекс производства по виду деятельности "Строительство" </t>
  </si>
  <si>
    <t>3. Торговля и услуги населению</t>
  </si>
  <si>
    <t>Оборот розничной торговли</t>
  </si>
  <si>
    <t>Объем платных услуг населению</t>
  </si>
  <si>
    <t>4. Малое и среднее предпринимательство (включая микропредприятия)</t>
  </si>
  <si>
    <t>Число субъектов малого предпринимательства в расчете на 10000 человек населения</t>
  </si>
  <si>
    <t>единиц</t>
  </si>
  <si>
    <t>Доля занятых в малом бизнесе от занятых в экономике</t>
  </si>
  <si>
    <t>%</t>
  </si>
  <si>
    <t>5. Инвестиции</t>
  </si>
  <si>
    <t>Инвестиции в основной капитал</t>
  </si>
  <si>
    <t>Темп роста инвестиций в основной капитал</t>
  </si>
  <si>
    <t>% к предыдущему году в действующих ценах</t>
  </si>
  <si>
    <t>Индекс-дефлятор</t>
  </si>
  <si>
    <t>% к предыдущему году</t>
  </si>
  <si>
    <t>Индекс физического объема инвестиций в основной капитал</t>
  </si>
  <si>
    <t>6. Труд и занятость</t>
  </si>
  <si>
    <t>Среднесписочная численность работников организаций (без внешних совместителей)</t>
  </si>
  <si>
    <t>тыс. чел.</t>
  </si>
  <si>
    <t>Среднемесячная заработная плата одного работника</t>
  </si>
  <si>
    <t>руб.</t>
  </si>
  <si>
    <t>отчет 2019 год</t>
  </si>
  <si>
    <t>Число родившихся</t>
  </si>
  <si>
    <t>Число умерших</t>
  </si>
  <si>
    <t>Общий коэффициент рождаемости</t>
  </si>
  <si>
    <t xml:space="preserve"> число родившихся на 1000 человек населения</t>
  </si>
  <si>
    <t>Общий коэффициент смертности</t>
  </si>
  <si>
    <t>Число прибывших</t>
  </si>
  <si>
    <t>Число выбывших</t>
  </si>
  <si>
    <t>Индекс-дефлятор по виду деятельности "Строительство"</t>
  </si>
  <si>
    <t>% г/г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</si>
  <si>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</si>
  <si>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</si>
  <si>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платных услуг населению</t>
  </si>
  <si>
    <t>Индекс-дефлятор объема платных услуг населению</t>
  </si>
  <si>
    <t>Фонд начисленной заработной платы всех работников</t>
  </si>
  <si>
    <t xml:space="preserve">млн.руб. </t>
  </si>
  <si>
    <t>Объем отгруженных товаров собственного производства, выполненных работ и услуг собственными силами - Машиностроение и металлообработка</t>
  </si>
  <si>
    <t>Индекс производства -  Машиностроение и металлообработка</t>
  </si>
  <si>
    <t>-</t>
  </si>
  <si>
    <t xml:space="preserve">исправить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</si>
</sst>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164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43" fontId="2" fillId="0" borderId="11" xfId="58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4" fontId="2" fillId="0" borderId="2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pane ySplit="3" topLeftCell="A49" activePane="bottomLeft" state="frozen"/>
      <selection pane="topLeft" activeCell="A1" sqref="A1"/>
      <selection pane="bottomLeft" activeCell="A49" sqref="A49"/>
    </sheetView>
  </sheetViews>
  <sheetFormatPr defaultColWidth="9.140625" defaultRowHeight="15"/>
  <cols>
    <col min="1" max="1" width="36.7109375" style="11" customWidth="1"/>
    <col min="2" max="2" width="13.7109375" style="11" customWidth="1"/>
    <col min="3" max="14" width="9.7109375" style="7" customWidth="1"/>
    <col min="15" max="15" width="9.140625" style="7" customWidth="1"/>
    <col min="16" max="16" width="11.421875" style="7" bestFit="1" customWidth="1"/>
    <col min="17" max="16384" width="9.140625" style="7" customWidth="1"/>
  </cols>
  <sheetData>
    <row r="1" spans="1:14" ht="16.5" thickBot="1">
      <c r="A1" s="14" t="s">
        <v>0</v>
      </c>
      <c r="B1" s="14" t="s">
        <v>1</v>
      </c>
      <c r="C1" s="17" t="s">
        <v>2</v>
      </c>
      <c r="D1" s="17" t="s">
        <v>3</v>
      </c>
      <c r="E1" s="17" t="s">
        <v>82</v>
      </c>
      <c r="F1" s="20" t="s">
        <v>4</v>
      </c>
      <c r="G1" s="21"/>
      <c r="H1" s="21"/>
      <c r="I1" s="21"/>
      <c r="J1" s="21"/>
      <c r="K1" s="21"/>
      <c r="L1" s="21"/>
      <c r="M1" s="21"/>
      <c r="N1" s="22"/>
    </row>
    <row r="2" spans="1:14" ht="16.5" thickBot="1">
      <c r="A2" s="15"/>
      <c r="B2" s="15"/>
      <c r="C2" s="18"/>
      <c r="D2" s="18"/>
      <c r="E2" s="18"/>
      <c r="F2" s="20" t="s">
        <v>5</v>
      </c>
      <c r="G2" s="21"/>
      <c r="H2" s="22"/>
      <c r="I2" s="20" t="s">
        <v>6</v>
      </c>
      <c r="J2" s="21"/>
      <c r="K2" s="22"/>
      <c r="L2" s="20" t="s">
        <v>7</v>
      </c>
      <c r="M2" s="21"/>
      <c r="N2" s="22"/>
    </row>
    <row r="3" spans="1:14" ht="28.5" thickBot="1">
      <c r="A3" s="16"/>
      <c r="B3" s="16"/>
      <c r="C3" s="19"/>
      <c r="D3" s="19"/>
      <c r="E3" s="19"/>
      <c r="F3" s="8" t="s">
        <v>8</v>
      </c>
      <c r="G3" s="8" t="s">
        <v>9</v>
      </c>
      <c r="H3" s="8" t="s">
        <v>10</v>
      </c>
      <c r="I3" s="8" t="s">
        <v>8</v>
      </c>
      <c r="J3" s="8" t="s">
        <v>9</v>
      </c>
      <c r="K3" s="8" t="s">
        <v>10</v>
      </c>
      <c r="L3" s="8" t="s">
        <v>8</v>
      </c>
      <c r="M3" s="8" t="s">
        <v>9</v>
      </c>
      <c r="N3" s="8" t="s">
        <v>10</v>
      </c>
    </row>
    <row r="4" spans="1:14" ht="15.75" thickBot="1">
      <c r="A4" s="9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9.25" thickBot="1">
      <c r="A5" s="9" t="s">
        <v>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thickBot="1">
      <c r="A6" s="6" t="s">
        <v>13</v>
      </c>
      <c r="B6" s="3" t="s">
        <v>14</v>
      </c>
      <c r="C6" s="3">
        <v>65075</v>
      </c>
      <c r="D6" s="3">
        <v>65300</v>
      </c>
      <c r="E6" s="3">
        <v>65816</v>
      </c>
      <c r="F6" s="23">
        <f>G6</f>
        <v>66135</v>
      </c>
      <c r="G6" s="3">
        <v>66135</v>
      </c>
      <c r="H6" s="23">
        <f>G6</f>
        <v>66135</v>
      </c>
      <c r="I6" s="23">
        <f>J6*99%</f>
        <v>66521.2284</v>
      </c>
      <c r="J6" s="23">
        <f>G6*101.6%</f>
        <v>67193.16</v>
      </c>
      <c r="K6" s="23">
        <f>J6*101%</f>
        <v>67865.0916</v>
      </c>
      <c r="L6" s="23">
        <f>M6*99%</f>
        <v>67785.13173960001</v>
      </c>
      <c r="M6" s="23">
        <f>J6*101.9%</f>
        <v>68469.83004000002</v>
      </c>
      <c r="N6" s="23">
        <f>J6*101%</f>
        <v>67865.0916</v>
      </c>
    </row>
    <row r="7" spans="1:14" ht="15.75" thickBot="1">
      <c r="A7" s="6" t="s">
        <v>15</v>
      </c>
      <c r="B7" s="3" t="s">
        <v>14</v>
      </c>
      <c r="C7" s="3">
        <v>21122</v>
      </c>
      <c r="D7" s="3">
        <v>21063</v>
      </c>
      <c r="E7" s="3">
        <v>20763</v>
      </c>
      <c r="F7" s="23">
        <f>G7</f>
        <v>20808</v>
      </c>
      <c r="G7" s="3">
        <v>20808</v>
      </c>
      <c r="H7" s="23">
        <f>G7</f>
        <v>20808</v>
      </c>
      <c r="I7" s="23">
        <f>J7*99%</f>
        <v>20929.51872</v>
      </c>
      <c r="J7" s="23">
        <f>G7*101.6%</f>
        <v>21140.928</v>
      </c>
      <c r="K7" s="23">
        <f>J7*101%</f>
        <v>21352.33728</v>
      </c>
      <c r="L7" s="23">
        <f>M7*99%</f>
        <v>21327.179575680002</v>
      </c>
      <c r="M7" s="23">
        <f>J7*101.9%</f>
        <v>21542.605632000003</v>
      </c>
      <c r="N7" s="23">
        <f>J7*101%</f>
        <v>21352.33728</v>
      </c>
    </row>
    <row r="8" spans="1:14" ht="15.75" thickBot="1">
      <c r="A8" s="6" t="s">
        <v>16</v>
      </c>
      <c r="B8" s="3" t="s">
        <v>14</v>
      </c>
      <c r="C8" s="3">
        <v>43953</v>
      </c>
      <c r="D8" s="3">
        <v>44237</v>
      </c>
      <c r="E8" s="3">
        <v>45053</v>
      </c>
      <c r="F8" s="23">
        <f>G8</f>
        <v>45053</v>
      </c>
      <c r="G8" s="3">
        <v>45053</v>
      </c>
      <c r="H8" s="23">
        <f>G8</f>
        <v>45053</v>
      </c>
      <c r="I8" s="23">
        <f>J8*99%</f>
        <v>45316.10952</v>
      </c>
      <c r="J8" s="23">
        <f>G8*101.6%</f>
        <v>45773.848</v>
      </c>
      <c r="K8" s="23">
        <f>J8*101%</f>
        <v>46231.58648</v>
      </c>
      <c r="L8" s="23">
        <f>M8*99%</f>
        <v>46177.11560088</v>
      </c>
      <c r="M8" s="23">
        <f>J8*101.9%</f>
        <v>46643.551112</v>
      </c>
      <c r="N8" s="23">
        <f>J8*101%</f>
        <v>46231.58648</v>
      </c>
    </row>
    <row r="9" spans="1:14" ht="15.75" thickBot="1">
      <c r="A9" s="6" t="s">
        <v>83</v>
      </c>
      <c r="B9" s="3" t="s">
        <v>14</v>
      </c>
      <c r="C9" s="3">
        <v>880</v>
      </c>
      <c r="D9" s="3">
        <v>859</v>
      </c>
      <c r="E9" s="3">
        <v>791</v>
      </c>
      <c r="F9" s="23">
        <v>796</v>
      </c>
      <c r="G9" s="3">
        <v>796</v>
      </c>
      <c r="H9" s="23">
        <v>796</v>
      </c>
      <c r="I9" s="23">
        <f>J9*99%</f>
        <v>812.4692399999999</v>
      </c>
      <c r="J9" s="23">
        <f>G9*103.1%</f>
        <v>820.6759999999999</v>
      </c>
      <c r="K9" s="23">
        <f>J9*101%</f>
        <v>828.88276</v>
      </c>
      <c r="L9" s="23">
        <f>M9*99%</f>
        <v>820.5939324</v>
      </c>
      <c r="M9" s="23">
        <f>J9*101%</f>
        <v>828.88276</v>
      </c>
      <c r="N9" s="23">
        <f>J9*101%</f>
        <v>828.88276</v>
      </c>
    </row>
    <row r="10" spans="1:14" ht="15.75" thickBot="1">
      <c r="A10" s="6" t="s">
        <v>84</v>
      </c>
      <c r="B10" s="3" t="s">
        <v>14</v>
      </c>
      <c r="C10" s="3">
        <v>743</v>
      </c>
      <c r="D10" s="3">
        <v>774</v>
      </c>
      <c r="E10" s="3">
        <v>841</v>
      </c>
      <c r="F10" s="23">
        <v>833</v>
      </c>
      <c r="G10" s="3">
        <v>833</v>
      </c>
      <c r="H10" s="23">
        <v>833</v>
      </c>
      <c r="I10" s="23">
        <f>J10*99%</f>
        <v>805.70259</v>
      </c>
      <c r="J10" s="23">
        <f>G10*97.7%</f>
        <v>813.841</v>
      </c>
      <c r="K10" s="23">
        <f>J10*101%</f>
        <v>821.97941</v>
      </c>
      <c r="L10" s="23">
        <f>M10*99%</f>
        <v>789.5885381999999</v>
      </c>
      <c r="M10" s="23">
        <f>J10*98%</f>
        <v>797.56418</v>
      </c>
      <c r="N10" s="23">
        <f>J10*101%</f>
        <v>821.97941</v>
      </c>
    </row>
    <row r="11" spans="1:14" ht="75.75" thickBot="1">
      <c r="A11" s="6" t="s">
        <v>85</v>
      </c>
      <c r="B11" s="3" t="s">
        <v>86</v>
      </c>
      <c r="C11" s="4">
        <f>C9/C6*1000</f>
        <v>13.52285824049174</v>
      </c>
      <c r="D11" s="4">
        <f aca="true" t="shared" si="0" ref="D11:N11">D9/D6*1000</f>
        <v>13.154670750382849</v>
      </c>
      <c r="E11" s="4">
        <f t="shared" si="0"/>
        <v>12.018354199586726</v>
      </c>
      <c r="F11" s="4">
        <f t="shared" si="0"/>
        <v>12.035986996295456</v>
      </c>
      <c r="G11" s="4">
        <f t="shared" si="0"/>
        <v>12.035986996295456</v>
      </c>
      <c r="H11" s="4">
        <f>H9/H6*1000</f>
        <v>12.035986996295456</v>
      </c>
      <c r="I11" s="4">
        <f t="shared" si="0"/>
        <v>12.213683654705328</v>
      </c>
      <c r="J11" s="4">
        <f t="shared" si="0"/>
        <v>12.213683654705328</v>
      </c>
      <c r="K11" s="4">
        <f t="shared" si="0"/>
        <v>12.21368365470533</v>
      </c>
      <c r="L11" s="4">
        <f t="shared" si="0"/>
        <v>12.105810099364458</v>
      </c>
      <c r="M11" s="4">
        <f t="shared" si="0"/>
        <v>12.105810099364456</v>
      </c>
      <c r="N11" s="4">
        <f t="shared" si="0"/>
        <v>12.21368365470533</v>
      </c>
    </row>
    <row r="12" spans="1:14" ht="75.75" thickBot="1">
      <c r="A12" s="6" t="s">
        <v>87</v>
      </c>
      <c r="B12" s="3" t="s">
        <v>86</v>
      </c>
      <c r="C12" s="4">
        <f>C10/C6*1000</f>
        <v>11.417595082597003</v>
      </c>
      <c r="D12" s="4">
        <f aca="true" t="shared" si="1" ref="D12:N12">D10/D6*1000</f>
        <v>11.852986217457886</v>
      </c>
      <c r="E12" s="4">
        <f t="shared" si="1"/>
        <v>12.778047891090312</v>
      </c>
      <c r="F12" s="4">
        <f t="shared" si="1"/>
        <v>12.595448703409692</v>
      </c>
      <c r="G12" s="4">
        <f t="shared" si="1"/>
        <v>12.595448703409692</v>
      </c>
      <c r="H12" s="4">
        <f t="shared" si="1"/>
        <v>12.595448703409692</v>
      </c>
      <c r="I12" s="4">
        <f t="shared" si="1"/>
        <v>12.111961991369357</v>
      </c>
      <c r="J12" s="4">
        <f t="shared" si="1"/>
        <v>12.111961991369359</v>
      </c>
      <c r="K12" s="4">
        <f t="shared" si="1"/>
        <v>12.11196199136936</v>
      </c>
      <c r="L12" s="4">
        <f t="shared" si="1"/>
        <v>11.648403092779166</v>
      </c>
      <c r="M12" s="4">
        <f t="shared" si="1"/>
        <v>11.648403092779164</v>
      </c>
      <c r="N12" s="4">
        <f t="shared" si="1"/>
        <v>12.11196199136936</v>
      </c>
    </row>
    <row r="13" spans="1:14" ht="45.75" thickBot="1">
      <c r="A13" s="6" t="s">
        <v>17</v>
      </c>
      <c r="B13" s="3" t="s">
        <v>18</v>
      </c>
      <c r="C13" s="4">
        <f>C11-C12</f>
        <v>2.1052631578947363</v>
      </c>
      <c r="D13" s="4">
        <f aca="true" t="shared" si="2" ref="D13:N13">D11-D12</f>
        <v>1.3016845329249627</v>
      </c>
      <c r="E13" s="4">
        <f t="shared" si="2"/>
        <v>-0.7596936915035855</v>
      </c>
      <c r="F13" s="4">
        <f t="shared" si="2"/>
        <v>-0.5594617071142363</v>
      </c>
      <c r="G13" s="4">
        <f t="shared" si="2"/>
        <v>-0.5594617071142363</v>
      </c>
      <c r="H13" s="4">
        <f t="shared" si="2"/>
        <v>-0.5594617071142363</v>
      </c>
      <c r="I13" s="4">
        <f t="shared" si="2"/>
        <v>0.10172166333597055</v>
      </c>
      <c r="J13" s="4">
        <f t="shared" si="2"/>
        <v>0.10172166333596877</v>
      </c>
      <c r="K13" s="4">
        <f t="shared" si="2"/>
        <v>0.10172166333596877</v>
      </c>
      <c r="L13" s="4">
        <f t="shared" si="2"/>
        <v>0.4574070065852922</v>
      </c>
      <c r="M13" s="4">
        <f t="shared" si="2"/>
        <v>0.4574070065852922</v>
      </c>
      <c r="N13" s="4">
        <f t="shared" si="2"/>
        <v>0.10172166333596877</v>
      </c>
    </row>
    <row r="14" spans="1:14" ht="15.75" thickBot="1">
      <c r="A14" s="6" t="s">
        <v>88</v>
      </c>
      <c r="B14" s="3" t="s">
        <v>14</v>
      </c>
      <c r="C14" s="3">
        <v>1635</v>
      </c>
      <c r="D14" s="3">
        <v>2596</v>
      </c>
      <c r="E14" s="3">
        <v>2388</v>
      </c>
      <c r="F14" s="23">
        <v>2436</v>
      </c>
      <c r="G14" s="23">
        <v>2436</v>
      </c>
      <c r="H14" s="23">
        <v>2436</v>
      </c>
      <c r="I14" s="23">
        <f>F14*99%</f>
        <v>2411.64</v>
      </c>
      <c r="J14" s="23">
        <f>G14*100.3%</f>
        <v>2443.3079999999995</v>
      </c>
      <c r="K14" s="23">
        <f>H14*101%</f>
        <v>2460.36</v>
      </c>
      <c r="L14" s="23">
        <f>I14*99%</f>
        <v>2387.5236</v>
      </c>
      <c r="M14" s="23">
        <f>J14*100.3%</f>
        <v>2450.637923999999</v>
      </c>
      <c r="N14" s="23">
        <f>K14*101%</f>
        <v>2484.9636</v>
      </c>
    </row>
    <row r="15" spans="1:14" ht="15.75" thickBot="1">
      <c r="A15" s="6" t="s">
        <v>89</v>
      </c>
      <c r="B15" s="3" t="s">
        <v>14</v>
      </c>
      <c r="C15" s="3">
        <v>2077</v>
      </c>
      <c r="D15" s="3">
        <v>1928</v>
      </c>
      <c r="E15" s="3">
        <v>2078</v>
      </c>
      <c r="F15" s="23">
        <v>2036</v>
      </c>
      <c r="G15" s="23">
        <v>2036</v>
      </c>
      <c r="H15" s="23">
        <v>2036</v>
      </c>
      <c r="I15" s="23">
        <f>F15*99%</f>
        <v>2015.6399999999999</v>
      </c>
      <c r="J15" s="23">
        <f>G15*100.3%</f>
        <v>2042.1079999999997</v>
      </c>
      <c r="K15" s="23">
        <f>H15*101%</f>
        <v>2056.36</v>
      </c>
      <c r="L15" s="23">
        <f>I15*99%</f>
        <v>1995.4835999999998</v>
      </c>
      <c r="M15" s="23">
        <f>J15*100.3%</f>
        <v>2048.2343239999996</v>
      </c>
      <c r="N15" s="23">
        <f>K15*101%</f>
        <v>2076.9236</v>
      </c>
    </row>
    <row r="16" spans="1:14" ht="45.75" thickBot="1">
      <c r="A16" s="6" t="s">
        <v>19</v>
      </c>
      <c r="B16" s="3" t="s">
        <v>18</v>
      </c>
      <c r="C16" s="4">
        <f>(C14-C15)/C6*1000</f>
        <v>-6.792162888974261</v>
      </c>
      <c r="D16" s="4">
        <f aca="true" t="shared" si="3" ref="D16:N16">(D14-D15)/D6*1000</f>
        <v>10.229709035222053</v>
      </c>
      <c r="E16" s="4">
        <f t="shared" si="3"/>
        <v>4.710100887322231</v>
      </c>
      <c r="F16" s="4">
        <f t="shared" si="3"/>
        <v>6.048234671505255</v>
      </c>
      <c r="G16" s="4">
        <f t="shared" si="3"/>
        <v>6.048234671505255</v>
      </c>
      <c r="H16" s="4">
        <f t="shared" si="3"/>
        <v>6.048234671505255</v>
      </c>
      <c r="I16" s="4">
        <f t="shared" si="3"/>
        <v>5.952986881402809</v>
      </c>
      <c r="J16" s="4">
        <f t="shared" si="3"/>
        <v>5.970845842047015</v>
      </c>
      <c r="K16" s="4">
        <f t="shared" si="3"/>
        <v>5.9529868814028095</v>
      </c>
      <c r="L16" s="4">
        <f t="shared" si="3"/>
        <v>5.783569197830014</v>
      </c>
      <c r="M16" s="4">
        <f t="shared" si="3"/>
        <v>5.8770936011512775</v>
      </c>
      <c r="N16" s="4">
        <f t="shared" si="3"/>
        <v>6.012516750216838</v>
      </c>
    </row>
    <row r="17" spans="1:14" ht="15.75" thickBot="1">
      <c r="A17" s="9" t="s">
        <v>20</v>
      </c>
      <c r="B17" s="5"/>
      <c r="C17" s="5"/>
      <c r="D17" s="5"/>
      <c r="E17" s="5"/>
      <c r="F17" s="4"/>
      <c r="G17" s="5"/>
      <c r="H17" s="4"/>
      <c r="I17" s="3"/>
      <c r="J17" s="3"/>
      <c r="K17" s="3"/>
      <c r="L17" s="3"/>
      <c r="M17" s="3"/>
      <c r="N17" s="3"/>
    </row>
    <row r="18" spans="1:16" ht="29.25" thickBot="1">
      <c r="A18" s="9" t="s">
        <v>21</v>
      </c>
      <c r="B18" s="3" t="s">
        <v>22</v>
      </c>
      <c r="C18" s="4">
        <v>1201</v>
      </c>
      <c r="D18" s="3">
        <v>3448.1</v>
      </c>
      <c r="E18" s="3">
        <v>4028.5</v>
      </c>
      <c r="F18" s="4">
        <f aca="true" t="shared" si="4" ref="F18:F74">G18</f>
        <v>4461.999999999999</v>
      </c>
      <c r="G18" s="4">
        <f>G21+G28+G37+G40</f>
        <v>4461.999999999999</v>
      </c>
      <c r="H18" s="4">
        <f>G18</f>
        <v>4461.999999999999</v>
      </c>
      <c r="I18" s="4">
        <f aca="true" t="shared" si="5" ref="I18:N18">I21+I28+I37+I40</f>
        <v>5536.153259999999</v>
      </c>
      <c r="J18" s="4">
        <f t="shared" si="5"/>
        <v>5592.0740000000005</v>
      </c>
      <c r="K18" s="4">
        <f t="shared" si="5"/>
        <v>5647.99474</v>
      </c>
      <c r="L18" s="4">
        <f t="shared" si="5"/>
        <v>6469.013385449999</v>
      </c>
      <c r="M18" s="4">
        <f t="shared" si="5"/>
        <v>6565.82931</v>
      </c>
      <c r="N18" s="4">
        <f t="shared" si="5"/>
        <v>6631.4876031</v>
      </c>
      <c r="P18" s="10"/>
    </row>
    <row r="19" spans="1:14" ht="75.75" thickBot="1">
      <c r="A19" s="6" t="s">
        <v>23</v>
      </c>
      <c r="B19" s="3" t="s">
        <v>24</v>
      </c>
      <c r="C19" s="3">
        <v>148.5</v>
      </c>
      <c r="D19" s="3">
        <v>95.2</v>
      </c>
      <c r="E19" s="3">
        <v>108.4</v>
      </c>
      <c r="F19" s="4">
        <v>101.4</v>
      </c>
      <c r="G19" s="4">
        <v>101.4</v>
      </c>
      <c r="H19" s="4">
        <f aca="true" t="shared" si="6" ref="H19:H74">G19</f>
        <v>101.4</v>
      </c>
      <c r="I19" s="4">
        <v>101</v>
      </c>
      <c r="J19" s="4">
        <v>101.5</v>
      </c>
      <c r="K19" s="4">
        <v>101.7</v>
      </c>
      <c r="L19" s="4">
        <v>101</v>
      </c>
      <c r="M19" s="4">
        <v>101.2</v>
      </c>
      <c r="N19" s="4">
        <v>101.3</v>
      </c>
    </row>
    <row r="20" spans="1:14" ht="15.75" thickBot="1">
      <c r="A20" s="9" t="s">
        <v>25</v>
      </c>
      <c r="B20" s="5"/>
      <c r="C20" s="5"/>
      <c r="D20" s="5"/>
      <c r="E20" s="5"/>
      <c r="F20" s="4"/>
      <c r="G20" s="5"/>
      <c r="H20" s="4"/>
      <c r="I20" s="24"/>
      <c r="J20" s="24"/>
      <c r="K20" s="24"/>
      <c r="L20" s="24"/>
      <c r="M20" s="24"/>
      <c r="N20" s="24"/>
    </row>
    <row r="21" spans="1:14" ht="75.75" thickBot="1">
      <c r="A21" s="6" t="s">
        <v>26</v>
      </c>
      <c r="B21" s="3" t="s">
        <v>22</v>
      </c>
      <c r="C21" s="3">
        <v>703.2</v>
      </c>
      <c r="D21" s="3">
        <v>918.8</v>
      </c>
      <c r="E21" s="3">
        <v>702.9</v>
      </c>
      <c r="F21" s="4">
        <f t="shared" si="4"/>
        <v>1153.3</v>
      </c>
      <c r="G21" s="4">
        <v>1153.3</v>
      </c>
      <c r="H21" s="4">
        <f aca="true" t="shared" si="7" ref="H21:N21">H23+H25</f>
        <v>1153.3</v>
      </c>
      <c r="I21" s="4">
        <f t="shared" si="7"/>
        <v>1440.3410999999999</v>
      </c>
      <c r="J21" s="4">
        <f t="shared" si="7"/>
        <v>1454.8899999999999</v>
      </c>
      <c r="K21" s="4">
        <f t="shared" si="7"/>
        <v>1469.4389</v>
      </c>
      <c r="L21" s="4">
        <f t="shared" si="7"/>
        <v>1672.4674889999997</v>
      </c>
      <c r="M21" s="4">
        <f t="shared" si="7"/>
        <v>1689.3610999999999</v>
      </c>
      <c r="N21" s="4">
        <f t="shared" si="7"/>
        <v>1706.2547109999998</v>
      </c>
    </row>
    <row r="22" spans="1:14" ht="75.75" thickBot="1">
      <c r="A22" s="6" t="s">
        <v>27</v>
      </c>
      <c r="B22" s="3" t="s">
        <v>24</v>
      </c>
      <c r="C22" s="3">
        <v>195.7</v>
      </c>
      <c r="D22" s="3">
        <v>113.3</v>
      </c>
      <c r="E22" s="3">
        <v>65.2</v>
      </c>
      <c r="F22" s="4">
        <f t="shared" si="4"/>
        <v>131.5</v>
      </c>
      <c r="G22" s="4">
        <v>131.5</v>
      </c>
      <c r="H22" s="4">
        <f t="shared" si="6"/>
        <v>131.5</v>
      </c>
      <c r="I22" s="4">
        <v>101.44170567575608</v>
      </c>
      <c r="J22" s="4">
        <v>101.6</v>
      </c>
      <c r="K22" s="4">
        <v>101.75146941363231</v>
      </c>
      <c r="L22" s="4">
        <v>101.40343464212461</v>
      </c>
      <c r="M22" s="4">
        <v>101.6</v>
      </c>
      <c r="N22" s="4">
        <v>101.84366961013842</v>
      </c>
    </row>
    <row r="23" spans="1:14" ht="75.75" thickBot="1">
      <c r="A23" s="6" t="s">
        <v>28</v>
      </c>
      <c r="B23" s="3" t="s">
        <v>22</v>
      </c>
      <c r="C23" s="3">
        <v>669.2</v>
      </c>
      <c r="D23" s="3">
        <v>885</v>
      </c>
      <c r="E23" s="3">
        <v>663.4</v>
      </c>
      <c r="F23" s="4">
        <f t="shared" si="4"/>
        <v>1110</v>
      </c>
      <c r="G23" s="4">
        <v>1110</v>
      </c>
      <c r="H23" s="4">
        <f t="shared" si="6"/>
        <v>1110</v>
      </c>
      <c r="I23" s="4">
        <f>J23*99%</f>
        <v>1384.6139999999998</v>
      </c>
      <c r="J23" s="4">
        <f>G23*126%</f>
        <v>1398.6</v>
      </c>
      <c r="K23" s="4">
        <f>J23*101%</f>
        <v>1412.586</v>
      </c>
      <c r="L23" s="4">
        <f>M23*99%</f>
        <v>1606.1522399999997</v>
      </c>
      <c r="M23" s="4">
        <f>J23*116%</f>
        <v>1622.3759999999997</v>
      </c>
      <c r="N23" s="4">
        <f>M23*101%</f>
        <v>1638.5997599999998</v>
      </c>
    </row>
    <row r="24" spans="1:14" ht="75.75" thickBot="1">
      <c r="A24" s="6" t="s">
        <v>29</v>
      </c>
      <c r="B24" s="3" t="s">
        <v>24</v>
      </c>
      <c r="C24" s="3">
        <v>193.6</v>
      </c>
      <c r="D24" s="3">
        <v>127.2</v>
      </c>
      <c r="E24" s="3">
        <v>63.6</v>
      </c>
      <c r="F24" s="4">
        <f t="shared" si="4"/>
        <v>133.3</v>
      </c>
      <c r="G24" s="4">
        <v>133.3</v>
      </c>
      <c r="H24" s="4">
        <f t="shared" si="6"/>
        <v>133.3</v>
      </c>
      <c r="I24" s="4">
        <v>101.23856294844829</v>
      </c>
      <c r="J24" s="4">
        <v>101.4</v>
      </c>
      <c r="K24" s="4">
        <v>101.5488727199378</v>
      </c>
      <c r="L24" s="4">
        <v>100.80504495867766</v>
      </c>
      <c r="M24" s="4">
        <v>101</v>
      </c>
      <c r="N24" s="4">
        <v>101.2395494628099</v>
      </c>
    </row>
    <row r="25" spans="1:14" ht="75.75" thickBot="1">
      <c r="A25" s="6" t="s">
        <v>30</v>
      </c>
      <c r="B25" s="3" t="s">
        <v>22</v>
      </c>
      <c r="C25" s="4">
        <v>34</v>
      </c>
      <c r="D25" s="3">
        <v>33.8</v>
      </c>
      <c r="E25" s="3">
        <v>39.5</v>
      </c>
      <c r="F25" s="4">
        <f t="shared" si="4"/>
        <v>43.3</v>
      </c>
      <c r="G25" s="4">
        <v>43.3</v>
      </c>
      <c r="H25" s="4">
        <f t="shared" si="6"/>
        <v>43.3</v>
      </c>
      <c r="I25" s="4">
        <f>J25*99%</f>
        <v>55.7271</v>
      </c>
      <c r="J25" s="4">
        <f>G25*130%</f>
        <v>56.29</v>
      </c>
      <c r="K25" s="4">
        <f>J25*101%</f>
        <v>56.8529</v>
      </c>
      <c r="L25" s="4">
        <f>M25*99%</f>
        <v>66.31524900000001</v>
      </c>
      <c r="M25" s="4">
        <f>J25*119%</f>
        <v>66.9851</v>
      </c>
      <c r="N25" s="4">
        <f>M25*101%</f>
        <v>67.654951</v>
      </c>
    </row>
    <row r="26" spans="1:14" ht="75.75" thickBot="1">
      <c r="A26" s="6" t="s">
        <v>31</v>
      </c>
      <c r="B26" s="3" t="s">
        <v>24</v>
      </c>
      <c r="C26" s="3">
        <v>248.3</v>
      </c>
      <c r="D26" s="3">
        <v>86</v>
      </c>
      <c r="E26" s="3">
        <v>108.8</v>
      </c>
      <c r="F26" s="4">
        <f t="shared" si="4"/>
        <v>100.4</v>
      </c>
      <c r="G26" s="4">
        <v>100.4</v>
      </c>
      <c r="H26" s="4">
        <f t="shared" si="6"/>
        <v>100.4</v>
      </c>
      <c r="I26" s="4">
        <v>101.9987262427746</v>
      </c>
      <c r="J26" s="4">
        <v>102.1</v>
      </c>
      <c r="K26" s="4">
        <v>102.29806219653182</v>
      </c>
      <c r="L26" s="4">
        <v>102.78205797101447</v>
      </c>
      <c r="M26" s="4">
        <v>103</v>
      </c>
      <c r="N26" s="4">
        <v>103.29855072463768</v>
      </c>
    </row>
    <row r="27" spans="1:14" ht="15.75" thickBot="1">
      <c r="A27" s="9" t="s">
        <v>32</v>
      </c>
      <c r="B27" s="5"/>
      <c r="C27" s="5"/>
      <c r="D27" s="5"/>
      <c r="E27" s="5"/>
      <c r="F27" s="4"/>
      <c r="G27" s="5"/>
      <c r="H27" s="4"/>
      <c r="I27" s="3"/>
      <c r="J27" s="3"/>
      <c r="K27" s="3"/>
      <c r="L27" s="3"/>
      <c r="M27" s="3"/>
      <c r="N27" s="3"/>
    </row>
    <row r="28" spans="1:14" ht="75.75" thickBot="1">
      <c r="A28" s="6" t="s">
        <v>33</v>
      </c>
      <c r="B28" s="3" t="s">
        <v>22</v>
      </c>
      <c r="C28" s="3">
        <v>2230.2</v>
      </c>
      <c r="D28" s="3">
        <v>2323.1</v>
      </c>
      <c r="E28" s="4">
        <v>3134</v>
      </c>
      <c r="F28" s="4">
        <f t="shared" si="4"/>
        <v>3115.6</v>
      </c>
      <c r="G28" s="4">
        <f aca="true" t="shared" si="8" ref="G28:N28">G30+G32+G34</f>
        <v>3115.6</v>
      </c>
      <c r="H28" s="4">
        <f t="shared" si="8"/>
        <v>3115.6</v>
      </c>
      <c r="I28" s="4">
        <f t="shared" si="8"/>
        <v>3855.389175</v>
      </c>
      <c r="J28" s="4">
        <f t="shared" si="8"/>
        <v>3894.3325</v>
      </c>
      <c r="K28" s="4">
        <f t="shared" si="8"/>
        <v>3933.275825</v>
      </c>
      <c r="L28" s="4">
        <f t="shared" si="8"/>
        <v>4548.6985797</v>
      </c>
      <c r="M28" s="4">
        <f t="shared" si="8"/>
        <v>4594.64503</v>
      </c>
      <c r="N28" s="4">
        <f t="shared" si="8"/>
        <v>4640.5914803000005</v>
      </c>
    </row>
    <row r="29" spans="1:14" ht="75.75" thickBot="1">
      <c r="A29" s="6" t="s">
        <v>34</v>
      </c>
      <c r="B29" s="3" t="s">
        <v>35</v>
      </c>
      <c r="C29" s="3">
        <v>94.1</v>
      </c>
      <c r="D29" s="3">
        <v>103.5</v>
      </c>
      <c r="E29" s="3">
        <v>127.4</v>
      </c>
      <c r="F29" s="4">
        <f t="shared" si="4"/>
        <v>94.9</v>
      </c>
      <c r="G29" s="4">
        <v>94.9</v>
      </c>
      <c r="H29" s="4">
        <f t="shared" si="6"/>
        <v>94.9</v>
      </c>
      <c r="I29" s="4">
        <v>101.31358825031091</v>
      </c>
      <c r="J29" s="4">
        <v>101.5</v>
      </c>
      <c r="K29" s="4">
        <v>101.62741058325928</v>
      </c>
      <c r="L29" s="4">
        <v>100.83005683653474</v>
      </c>
      <c r="M29" s="4">
        <v>101</v>
      </c>
      <c r="N29" s="4">
        <v>101.18300074627531</v>
      </c>
    </row>
    <row r="30" spans="1:14" ht="75.75" thickBot="1">
      <c r="A30" s="6" t="s">
        <v>36</v>
      </c>
      <c r="B30" s="3" t="s">
        <v>22</v>
      </c>
      <c r="C30" s="3">
        <v>193.6</v>
      </c>
      <c r="D30" s="3">
        <v>198.3</v>
      </c>
      <c r="E30" s="3">
        <v>180.6</v>
      </c>
      <c r="F30" s="4">
        <f t="shared" si="4"/>
        <v>182.6</v>
      </c>
      <c r="G30" s="4">
        <v>182.6</v>
      </c>
      <c r="H30" s="4">
        <f t="shared" si="6"/>
        <v>182.6</v>
      </c>
      <c r="I30" s="25">
        <f>J30*99%</f>
        <v>225.9675</v>
      </c>
      <c r="J30" s="25">
        <f>G30*125%</f>
        <v>228.25</v>
      </c>
      <c r="K30" s="25">
        <f>J30*101%</f>
        <v>230.5325</v>
      </c>
      <c r="L30" s="25">
        <f>M30*99%</f>
        <v>266.64164999999997</v>
      </c>
      <c r="M30" s="25">
        <f>J30*118%</f>
        <v>269.335</v>
      </c>
      <c r="N30" s="25">
        <f>M30*101%</f>
        <v>272.02835</v>
      </c>
    </row>
    <row r="31" spans="1:14" ht="75.75" thickBot="1">
      <c r="A31" s="6" t="s">
        <v>37</v>
      </c>
      <c r="B31" s="3" t="s">
        <v>24</v>
      </c>
      <c r="C31" s="3">
        <v>93.3</v>
      </c>
      <c r="D31" s="3">
        <v>104.2</v>
      </c>
      <c r="E31" s="3">
        <v>85.2</v>
      </c>
      <c r="F31" s="4">
        <f t="shared" si="4"/>
        <v>98.9</v>
      </c>
      <c r="G31" s="4">
        <v>98.9</v>
      </c>
      <c r="H31" s="4">
        <f t="shared" si="6"/>
        <v>98.9</v>
      </c>
      <c r="I31" s="25">
        <v>101.4</v>
      </c>
      <c r="J31" s="25">
        <v>101.5</v>
      </c>
      <c r="K31" s="25">
        <v>101</v>
      </c>
      <c r="L31" s="25">
        <v>101.6</v>
      </c>
      <c r="M31" s="25">
        <f>J31*100.3%</f>
        <v>101.80449999999999</v>
      </c>
      <c r="N31" s="25">
        <v>102</v>
      </c>
    </row>
    <row r="32" spans="1:14" ht="120.75" thickBot="1">
      <c r="A32" s="6" t="s">
        <v>38</v>
      </c>
      <c r="B32" s="3" t="s">
        <v>22</v>
      </c>
      <c r="C32" s="3">
        <v>40.2</v>
      </c>
      <c r="D32" s="3">
        <v>41.6</v>
      </c>
      <c r="E32" s="3">
        <v>43.8</v>
      </c>
      <c r="F32" s="4">
        <f t="shared" si="4"/>
        <v>33.5</v>
      </c>
      <c r="G32" s="4">
        <v>33.5</v>
      </c>
      <c r="H32" s="4">
        <f t="shared" si="6"/>
        <v>33.5</v>
      </c>
      <c r="I32" s="4">
        <f>J32*99%</f>
        <v>41.290425000000006</v>
      </c>
      <c r="J32" s="4">
        <f>G32*124.5%</f>
        <v>41.7075</v>
      </c>
      <c r="K32" s="4">
        <f>J32*101%</f>
        <v>42.124575</v>
      </c>
      <c r="L32" s="4">
        <f>M32*99%</f>
        <v>48.06205470000001</v>
      </c>
      <c r="M32" s="4">
        <f>J32*116.4%</f>
        <v>48.54753000000001</v>
      </c>
      <c r="N32" s="4">
        <f>M32*101%</f>
        <v>49.033005300000006</v>
      </c>
    </row>
    <row r="33" spans="1:14" ht="75.75" thickBot="1">
      <c r="A33" s="6" t="s">
        <v>39</v>
      </c>
      <c r="B33" s="3" t="s">
        <v>24</v>
      </c>
      <c r="C33" s="4">
        <v>102</v>
      </c>
      <c r="D33" s="4">
        <v>100</v>
      </c>
      <c r="E33" s="4">
        <v>100</v>
      </c>
      <c r="F33" s="4">
        <f t="shared" si="4"/>
        <v>75</v>
      </c>
      <c r="G33" s="4">
        <v>75</v>
      </c>
      <c r="H33" s="4">
        <f t="shared" si="6"/>
        <v>75</v>
      </c>
      <c r="I33" s="4">
        <v>100</v>
      </c>
      <c r="J33" s="4">
        <v>100.5</v>
      </c>
      <c r="K33" s="4">
        <v>101</v>
      </c>
      <c r="L33" s="4">
        <v>100.5</v>
      </c>
      <c r="M33" s="4">
        <v>101</v>
      </c>
      <c r="N33" s="4">
        <v>101.5</v>
      </c>
    </row>
    <row r="34" spans="1:14" ht="75.75" thickBot="1">
      <c r="A34" s="6" t="s">
        <v>98</v>
      </c>
      <c r="B34" s="3" t="s">
        <v>22</v>
      </c>
      <c r="C34" s="3" t="s">
        <v>100</v>
      </c>
      <c r="D34" s="3">
        <v>2083.1</v>
      </c>
      <c r="E34" s="3">
        <v>2909.6</v>
      </c>
      <c r="F34" s="4">
        <v>2899.5</v>
      </c>
      <c r="G34" s="4">
        <v>2899.5</v>
      </c>
      <c r="H34" s="4">
        <f t="shared" si="6"/>
        <v>2899.5</v>
      </c>
      <c r="I34" s="4">
        <f>J34*99%</f>
        <v>3588.13125</v>
      </c>
      <c r="J34" s="4">
        <f>G34*125%</f>
        <v>3624.375</v>
      </c>
      <c r="K34" s="4">
        <f>J34*101%</f>
        <v>3660.61875</v>
      </c>
      <c r="L34" s="4">
        <f>M34*99%</f>
        <v>4233.994874999999</v>
      </c>
      <c r="M34" s="4">
        <f>J34*118%</f>
        <v>4276.7625</v>
      </c>
      <c r="N34" s="4">
        <f>M34*101%</f>
        <v>4319.530125</v>
      </c>
    </row>
    <row r="35" spans="1:14" ht="75.75" thickBot="1">
      <c r="A35" s="6" t="s">
        <v>99</v>
      </c>
      <c r="B35" s="3" t="s">
        <v>24</v>
      </c>
      <c r="C35" s="4" t="s">
        <v>100</v>
      </c>
      <c r="D35" s="4">
        <v>100</v>
      </c>
      <c r="E35" s="4">
        <f>E34/D34%/98%</f>
        <v>142.52698343030747</v>
      </c>
      <c r="F35" s="4">
        <f>G35</f>
        <v>94.8171962389931</v>
      </c>
      <c r="G35" s="4">
        <f>G34/E34%/105.1%</f>
        <v>94.8171962389931</v>
      </c>
      <c r="H35" s="4">
        <f>G35</f>
        <v>94.8171962389931</v>
      </c>
      <c r="I35" s="4">
        <v>100.9</v>
      </c>
      <c r="J35" s="4">
        <v>101</v>
      </c>
      <c r="K35" s="4">
        <v>101.5</v>
      </c>
      <c r="L35" s="4">
        <v>101</v>
      </c>
      <c r="M35" s="4">
        <v>101.5</v>
      </c>
      <c r="N35" s="4">
        <v>102</v>
      </c>
    </row>
    <row r="36" spans="1:14" ht="43.5" thickBot="1">
      <c r="A36" s="9" t="s">
        <v>40</v>
      </c>
      <c r="B36" s="5"/>
      <c r="C36" s="5"/>
      <c r="D36" s="5"/>
      <c r="E36" s="5"/>
      <c r="F36" s="4"/>
      <c r="G36" s="5"/>
      <c r="H36" s="4"/>
      <c r="I36" s="3"/>
      <c r="J36" s="3"/>
      <c r="K36" s="3"/>
      <c r="L36" s="3"/>
      <c r="M36" s="3"/>
      <c r="N36" s="3"/>
    </row>
    <row r="37" spans="1:14" ht="105.75" thickBot="1">
      <c r="A37" s="6" t="s">
        <v>41</v>
      </c>
      <c r="B37" s="3" t="s">
        <v>22</v>
      </c>
      <c r="C37" s="3">
        <v>182.9</v>
      </c>
      <c r="D37" s="3">
        <v>133.7</v>
      </c>
      <c r="E37" s="3">
        <v>141.5</v>
      </c>
      <c r="F37" s="4">
        <f t="shared" si="4"/>
        <v>148.7</v>
      </c>
      <c r="G37" s="4">
        <v>148.7</v>
      </c>
      <c r="H37" s="4">
        <f t="shared" si="6"/>
        <v>148.7</v>
      </c>
      <c r="I37" s="4">
        <f>J37*99%</f>
        <v>183.280185</v>
      </c>
      <c r="J37" s="4">
        <f>G37*124.5%</f>
        <v>185.1315</v>
      </c>
      <c r="K37" s="4">
        <f>J37*101%</f>
        <v>186.982815</v>
      </c>
      <c r="L37" s="4">
        <f>I37*99%</f>
        <v>181.44738314999998</v>
      </c>
      <c r="M37" s="4">
        <f>J37*116%</f>
        <v>214.75253999999998</v>
      </c>
      <c r="N37" s="4">
        <f>M37*101%</f>
        <v>216.9000654</v>
      </c>
    </row>
    <row r="38" spans="1:14" ht="75.75" thickBot="1">
      <c r="A38" s="6" t="s">
        <v>42</v>
      </c>
      <c r="B38" s="3" t="s">
        <v>24</v>
      </c>
      <c r="C38" s="3">
        <v>99.7</v>
      </c>
      <c r="D38" s="3">
        <v>85.1</v>
      </c>
      <c r="E38" s="3">
        <v>97.4</v>
      </c>
      <c r="F38" s="4">
        <f t="shared" si="4"/>
        <v>100.5</v>
      </c>
      <c r="G38" s="4">
        <v>100.5</v>
      </c>
      <c r="H38" s="4">
        <f t="shared" si="6"/>
        <v>100.5</v>
      </c>
      <c r="I38" s="4">
        <v>101</v>
      </c>
      <c r="J38" s="4">
        <v>101.1</v>
      </c>
      <c r="K38" s="4">
        <v>101.5</v>
      </c>
      <c r="L38" s="4">
        <v>101</v>
      </c>
      <c r="M38" s="4">
        <v>101.5</v>
      </c>
      <c r="N38" s="4">
        <v>101.8</v>
      </c>
    </row>
    <row r="39" spans="1:14" ht="57.75" thickBot="1">
      <c r="A39" s="9" t="s">
        <v>43</v>
      </c>
      <c r="B39" s="5"/>
      <c r="C39" s="5"/>
      <c r="D39" s="5"/>
      <c r="E39" s="5"/>
      <c r="F39" s="4"/>
      <c r="G39" s="5"/>
      <c r="H39" s="4"/>
      <c r="I39" s="3"/>
      <c r="J39" s="3"/>
      <c r="K39" s="3"/>
      <c r="L39" s="3"/>
      <c r="M39" s="3"/>
      <c r="N39" s="3"/>
    </row>
    <row r="40" spans="1:14" ht="120.75" thickBot="1">
      <c r="A40" s="6" t="s">
        <v>44</v>
      </c>
      <c r="B40" s="3" t="s">
        <v>22</v>
      </c>
      <c r="C40" s="3">
        <v>81.1</v>
      </c>
      <c r="D40" s="3">
        <v>72.5</v>
      </c>
      <c r="E40" s="3">
        <v>50.2</v>
      </c>
      <c r="F40" s="4">
        <f t="shared" si="4"/>
        <v>44.4</v>
      </c>
      <c r="G40" s="4">
        <v>44.4</v>
      </c>
      <c r="H40" s="4">
        <f t="shared" si="6"/>
        <v>44.4</v>
      </c>
      <c r="I40" s="4">
        <f>J40*99%</f>
        <v>57.1428</v>
      </c>
      <c r="J40" s="4">
        <f>G40*130%</f>
        <v>57.72</v>
      </c>
      <c r="K40" s="4">
        <f>J40*101%</f>
        <v>58.2972</v>
      </c>
      <c r="L40" s="4">
        <f>M40*99%</f>
        <v>66.3999336</v>
      </c>
      <c r="M40" s="4">
        <f>J40*116.2%</f>
        <v>67.07064</v>
      </c>
      <c r="N40" s="4">
        <f>M40*101%</f>
        <v>67.7413464</v>
      </c>
    </row>
    <row r="41" spans="1:14" ht="75.75" thickBot="1">
      <c r="A41" s="6" t="s">
        <v>45</v>
      </c>
      <c r="B41" s="3" t="s">
        <v>24</v>
      </c>
      <c r="C41" s="3">
        <v>122.8</v>
      </c>
      <c r="D41" s="3">
        <v>84.7</v>
      </c>
      <c r="E41" s="3">
        <v>64.7</v>
      </c>
      <c r="F41" s="4">
        <f t="shared" si="4"/>
        <v>85</v>
      </c>
      <c r="G41" s="4">
        <v>85</v>
      </c>
      <c r="H41" s="4">
        <f t="shared" si="6"/>
        <v>85</v>
      </c>
      <c r="I41" s="4">
        <v>101.33585500193647</v>
      </c>
      <c r="J41" s="4">
        <v>101.5</v>
      </c>
      <c r="K41" s="4">
        <v>101.64886150387295</v>
      </c>
      <c r="L41" s="4">
        <v>101.2640969609262</v>
      </c>
      <c r="M41" s="4">
        <v>101.5</v>
      </c>
      <c r="N41" s="4">
        <v>101.73817981186689</v>
      </c>
    </row>
    <row r="42" spans="1:14" ht="15.75" thickBot="1">
      <c r="A42" s="9" t="s">
        <v>46</v>
      </c>
      <c r="B42" s="5"/>
      <c r="C42" s="5"/>
      <c r="D42" s="5"/>
      <c r="E42" s="5"/>
      <c r="F42" s="4"/>
      <c r="G42" s="5"/>
      <c r="H42" s="4"/>
      <c r="I42" s="3"/>
      <c r="J42" s="3"/>
      <c r="K42" s="3"/>
      <c r="L42" s="3"/>
      <c r="M42" s="3"/>
      <c r="N42" s="3"/>
    </row>
    <row r="43" spans="1:14" ht="15.75" thickBot="1">
      <c r="A43" s="6" t="s">
        <v>47</v>
      </c>
      <c r="B43" s="3" t="s">
        <v>22</v>
      </c>
      <c r="C43" s="4">
        <v>1345</v>
      </c>
      <c r="D43" s="4">
        <v>1335</v>
      </c>
      <c r="E43" s="3">
        <v>1288</v>
      </c>
      <c r="F43" s="4">
        <f t="shared" si="4"/>
        <v>1347.6</v>
      </c>
      <c r="G43" s="4">
        <f>G46+G48</f>
        <v>1347.6</v>
      </c>
      <c r="H43" s="4">
        <f t="shared" si="6"/>
        <v>1347.6</v>
      </c>
      <c r="I43" s="4">
        <f aca="true" t="shared" si="9" ref="I43:N43">I46+I48</f>
        <v>1634.3019</v>
      </c>
      <c r="J43" s="4">
        <f t="shared" si="9"/>
        <v>1650.81</v>
      </c>
      <c r="K43" s="4">
        <f t="shared" si="9"/>
        <v>1667.3181</v>
      </c>
      <c r="L43" s="4">
        <f t="shared" si="9"/>
        <v>2067.3919035</v>
      </c>
      <c r="M43" s="4">
        <f t="shared" si="9"/>
        <v>2088.27465</v>
      </c>
      <c r="N43" s="4">
        <f t="shared" si="9"/>
        <v>2109.1573965</v>
      </c>
    </row>
    <row r="44" spans="1:14" ht="75.75" thickBot="1">
      <c r="A44" s="6" t="s">
        <v>48</v>
      </c>
      <c r="B44" s="3" t="s">
        <v>24</v>
      </c>
      <c r="C44" s="3">
        <v>84.8</v>
      </c>
      <c r="D44" s="4">
        <v>97</v>
      </c>
      <c r="E44" s="3">
        <v>90.9</v>
      </c>
      <c r="F44" s="4">
        <f t="shared" si="4"/>
        <v>100.9</v>
      </c>
      <c r="G44" s="4">
        <v>100.9</v>
      </c>
      <c r="H44" s="4">
        <f t="shared" si="6"/>
        <v>100.9</v>
      </c>
      <c r="I44" s="4">
        <v>101</v>
      </c>
      <c r="J44" s="4">
        <v>101.5</v>
      </c>
      <c r="K44" s="4">
        <v>101.8</v>
      </c>
      <c r="L44" s="4">
        <v>101.5</v>
      </c>
      <c r="M44" s="4">
        <v>101.9</v>
      </c>
      <c r="N44" s="4">
        <v>102</v>
      </c>
    </row>
    <row r="45" spans="1:14" ht="45.75" thickBot="1">
      <c r="A45" s="6" t="s">
        <v>49</v>
      </c>
      <c r="B45" s="5"/>
      <c r="C45" s="5"/>
      <c r="D45" s="5"/>
      <c r="E45" s="5"/>
      <c r="F45" s="4"/>
      <c r="G45" s="5"/>
      <c r="H45" s="4"/>
      <c r="I45" s="3"/>
      <c r="J45" s="3"/>
      <c r="K45" s="3"/>
      <c r="L45" s="3"/>
      <c r="M45" s="3"/>
      <c r="N45" s="3"/>
    </row>
    <row r="46" spans="1:14" ht="15.75" thickBot="1">
      <c r="A46" s="6" t="s">
        <v>50</v>
      </c>
      <c r="B46" s="3" t="s">
        <v>51</v>
      </c>
      <c r="C46" s="3">
        <v>671.6</v>
      </c>
      <c r="D46" s="3">
        <v>678.7</v>
      </c>
      <c r="E46" s="3">
        <v>639.5</v>
      </c>
      <c r="F46" s="4">
        <f t="shared" si="4"/>
        <v>669.4</v>
      </c>
      <c r="G46" s="4">
        <v>669.4</v>
      </c>
      <c r="H46" s="4">
        <f t="shared" si="6"/>
        <v>669.4</v>
      </c>
      <c r="I46" s="4">
        <f>J46*99%</f>
        <v>811.81485</v>
      </c>
      <c r="J46" s="4">
        <f>G46*122.5%</f>
        <v>820.015</v>
      </c>
      <c r="K46" s="4">
        <f>J46*101%</f>
        <v>828.21515</v>
      </c>
      <c r="L46" s="4">
        <f>M46*99%</f>
        <v>1026.94578525</v>
      </c>
      <c r="M46" s="4">
        <f>J46*126.5%</f>
        <v>1037.318975</v>
      </c>
      <c r="N46" s="4">
        <f>M46*101%</f>
        <v>1047.6921647499998</v>
      </c>
    </row>
    <row r="47" spans="1:14" ht="75.75" thickBot="1">
      <c r="A47" s="6" t="s">
        <v>52</v>
      </c>
      <c r="B47" s="3" t="s">
        <v>24</v>
      </c>
      <c r="C47" s="3">
        <v>94</v>
      </c>
      <c r="D47" s="3">
        <v>97.5</v>
      </c>
      <c r="E47" s="3">
        <v>87.2</v>
      </c>
      <c r="F47" s="4">
        <f t="shared" si="4"/>
        <v>100.7</v>
      </c>
      <c r="G47" s="4">
        <v>100.7</v>
      </c>
      <c r="H47" s="4">
        <f t="shared" si="6"/>
        <v>100.7</v>
      </c>
      <c r="I47" s="4">
        <v>100.5</v>
      </c>
      <c r="J47" s="4">
        <v>101.3</v>
      </c>
      <c r="K47" s="4">
        <v>101.5</v>
      </c>
      <c r="L47" s="4">
        <v>101</v>
      </c>
      <c r="M47" s="4">
        <v>101.5</v>
      </c>
      <c r="N47" s="4">
        <v>102</v>
      </c>
    </row>
    <row r="48" spans="1:14" ht="15.75" thickBot="1">
      <c r="A48" s="6" t="s">
        <v>53</v>
      </c>
      <c r="B48" s="3" t="s">
        <v>51</v>
      </c>
      <c r="C48" s="3">
        <v>673.5</v>
      </c>
      <c r="D48" s="3">
        <v>656.3</v>
      </c>
      <c r="E48" s="3">
        <v>648.4</v>
      </c>
      <c r="F48" s="4">
        <f t="shared" si="4"/>
        <v>678.2</v>
      </c>
      <c r="G48" s="4">
        <v>678.2</v>
      </c>
      <c r="H48" s="4">
        <f t="shared" si="6"/>
        <v>678.2</v>
      </c>
      <c r="I48" s="4">
        <f>J48*99%</f>
        <v>822.4870500000001</v>
      </c>
      <c r="J48" s="4">
        <f>G48*122.5%</f>
        <v>830.7950000000001</v>
      </c>
      <c r="K48" s="4">
        <f>J48*101%</f>
        <v>839.1029500000001</v>
      </c>
      <c r="L48" s="4">
        <f>M48*99%</f>
        <v>1040.44611825</v>
      </c>
      <c r="M48" s="4">
        <f>J48*126.5%</f>
        <v>1050.955675</v>
      </c>
      <c r="N48" s="4">
        <f>M48*101%</f>
        <v>1061.46523175</v>
      </c>
    </row>
    <row r="49" spans="1:14" ht="75.75" thickBot="1">
      <c r="A49" s="6" t="s">
        <v>54</v>
      </c>
      <c r="B49" s="3" t="s">
        <v>24</v>
      </c>
      <c r="C49" s="3">
        <v>77.2</v>
      </c>
      <c r="D49" s="3">
        <v>96.5</v>
      </c>
      <c r="E49" s="3">
        <v>94.7</v>
      </c>
      <c r="F49" s="4">
        <f t="shared" si="4"/>
        <v>101.1</v>
      </c>
      <c r="G49" s="4">
        <v>101.1</v>
      </c>
      <c r="H49" s="4">
        <f t="shared" si="6"/>
        <v>101.1</v>
      </c>
      <c r="I49" s="4">
        <v>101.7</v>
      </c>
      <c r="J49" s="4">
        <v>101.8</v>
      </c>
      <c r="K49" s="4">
        <v>101.9</v>
      </c>
      <c r="L49" s="4">
        <v>101.8</v>
      </c>
      <c r="M49" s="4">
        <v>102</v>
      </c>
      <c r="N49" s="4">
        <v>102.1</v>
      </c>
    </row>
    <row r="50" spans="1:14" ht="15.75" thickBot="1">
      <c r="A50" s="9" t="s">
        <v>55</v>
      </c>
      <c r="B50" s="5"/>
      <c r="C50" s="5"/>
      <c r="D50" s="5"/>
      <c r="E50" s="5"/>
      <c r="F50" s="4"/>
      <c r="G50" s="5"/>
      <c r="H50" s="4"/>
      <c r="I50" s="3"/>
      <c r="J50" s="3"/>
      <c r="K50" s="3"/>
      <c r="L50" s="3"/>
      <c r="M50" s="3"/>
      <c r="N50" s="3"/>
    </row>
    <row r="51" spans="1:17" ht="75.75" thickBot="1">
      <c r="A51" s="6" t="s">
        <v>56</v>
      </c>
      <c r="B51" s="3" t="s">
        <v>57</v>
      </c>
      <c r="C51" s="3">
        <v>866.6</v>
      </c>
      <c r="D51" s="3">
        <v>866.6</v>
      </c>
      <c r="E51" s="3">
        <v>901.5</v>
      </c>
      <c r="F51" s="4">
        <f t="shared" si="4"/>
        <v>901.5</v>
      </c>
      <c r="G51" s="4">
        <v>901.5</v>
      </c>
      <c r="H51" s="4">
        <f t="shared" si="6"/>
        <v>901.5</v>
      </c>
      <c r="I51" s="4">
        <v>906.5</v>
      </c>
      <c r="J51" s="4">
        <v>906.5</v>
      </c>
      <c r="K51" s="4">
        <v>906.5</v>
      </c>
      <c r="L51" s="4">
        <v>916.5</v>
      </c>
      <c r="M51" s="4">
        <v>916.5</v>
      </c>
      <c r="N51" s="4">
        <v>916.5</v>
      </c>
      <c r="Q51" s="7" t="s">
        <v>101</v>
      </c>
    </row>
    <row r="52" spans="1:14" ht="15.75" thickBot="1">
      <c r="A52" s="9" t="s">
        <v>58</v>
      </c>
      <c r="B52" s="5"/>
      <c r="C52" s="5"/>
      <c r="D52" s="5"/>
      <c r="E52" s="5"/>
      <c r="F52" s="4"/>
      <c r="G52" s="5"/>
      <c r="H52" s="4"/>
      <c r="I52" s="3"/>
      <c r="J52" s="3"/>
      <c r="K52" s="3"/>
      <c r="L52" s="3"/>
      <c r="M52" s="3"/>
      <c r="N52" s="3"/>
    </row>
    <row r="53" spans="1:14" ht="60.75" thickBot="1">
      <c r="A53" s="6" t="s">
        <v>59</v>
      </c>
      <c r="B53" s="3" t="s">
        <v>60</v>
      </c>
      <c r="C53" s="4">
        <v>1483</v>
      </c>
      <c r="D53" s="3">
        <v>1922.4</v>
      </c>
      <c r="E53" s="4">
        <v>2294</v>
      </c>
      <c r="F53" s="4">
        <f t="shared" si="4"/>
        <v>2674.5</v>
      </c>
      <c r="G53" s="4">
        <v>2674.5</v>
      </c>
      <c r="H53" s="4">
        <f t="shared" si="6"/>
        <v>2674.5</v>
      </c>
      <c r="I53" s="4">
        <f>J53*99%</f>
        <v>3177.306</v>
      </c>
      <c r="J53" s="4">
        <f>G53*120%</f>
        <v>3209.4</v>
      </c>
      <c r="K53" s="4">
        <f>J53*101%</f>
        <v>3241.494</v>
      </c>
      <c r="L53" s="4">
        <f>M53*99%</f>
        <v>3685.67496</v>
      </c>
      <c r="M53" s="4">
        <f>J53*116%</f>
        <v>3722.904</v>
      </c>
      <c r="N53" s="4">
        <f>M53*101%</f>
        <v>3760.13304</v>
      </c>
    </row>
    <row r="54" spans="1:14" ht="75.75" thickBot="1">
      <c r="A54" s="6" t="s">
        <v>61</v>
      </c>
      <c r="B54" s="3" t="s">
        <v>24</v>
      </c>
      <c r="C54" s="3">
        <v>62.1</v>
      </c>
      <c r="D54" s="3">
        <v>123.9</v>
      </c>
      <c r="E54" s="3">
        <v>115.6</v>
      </c>
      <c r="F54" s="4">
        <f t="shared" si="4"/>
        <v>111.14084655706475</v>
      </c>
      <c r="G54" s="4">
        <f>G53/E53%/G55%</f>
        <v>111.14084655706475</v>
      </c>
      <c r="H54" s="4">
        <f t="shared" si="6"/>
        <v>111.14084655706475</v>
      </c>
      <c r="I54" s="4">
        <f>I53/F53%/I55%</f>
        <v>118.20895522388061</v>
      </c>
      <c r="J54" s="4">
        <f>J53/G53%/J55%</f>
        <v>119.28429423459245</v>
      </c>
      <c r="K54" s="4">
        <f>K53/F53%/K55%</f>
        <v>120.35749751737833</v>
      </c>
      <c r="L54" s="4">
        <f>L53/I53%/L55%</f>
        <v>115.88411588411589</v>
      </c>
      <c r="M54" s="4">
        <f>M53/J53%/M55%</f>
        <v>114.28571428571429</v>
      </c>
      <c r="N54" s="4">
        <f>K54*101%</f>
        <v>121.56107249255211</v>
      </c>
    </row>
    <row r="55" spans="1:14" ht="30.75" thickBot="1">
      <c r="A55" s="6" t="s">
        <v>90</v>
      </c>
      <c r="B55" s="3" t="s">
        <v>91</v>
      </c>
      <c r="C55" s="4">
        <v>99</v>
      </c>
      <c r="D55" s="4">
        <v>106</v>
      </c>
      <c r="E55" s="3">
        <v>103.2</v>
      </c>
      <c r="F55" s="4">
        <v>104.9</v>
      </c>
      <c r="G55" s="4">
        <v>104.9</v>
      </c>
      <c r="H55" s="4">
        <v>104.9</v>
      </c>
      <c r="I55" s="4">
        <v>100.5</v>
      </c>
      <c r="J55" s="4">
        <v>100.6</v>
      </c>
      <c r="K55" s="4">
        <v>100.7</v>
      </c>
      <c r="L55" s="4">
        <v>100.1</v>
      </c>
      <c r="M55" s="4">
        <v>101.5</v>
      </c>
      <c r="N55" s="4">
        <v>102</v>
      </c>
    </row>
    <row r="56" spans="1:14" ht="15.75" thickBot="1">
      <c r="A56" s="9" t="s">
        <v>62</v>
      </c>
      <c r="B56" s="5"/>
      <c r="C56" s="5"/>
      <c r="D56" s="5"/>
      <c r="E56" s="5"/>
      <c r="F56" s="4"/>
      <c r="G56" s="5"/>
      <c r="H56" s="4"/>
      <c r="I56" s="3"/>
      <c r="J56" s="3"/>
      <c r="K56" s="3"/>
      <c r="L56" s="3"/>
      <c r="M56" s="3"/>
      <c r="N56" s="3"/>
    </row>
    <row r="57" spans="1:14" ht="60.75" thickBot="1">
      <c r="A57" s="6" t="s">
        <v>63</v>
      </c>
      <c r="B57" s="3" t="s">
        <v>60</v>
      </c>
      <c r="C57" s="3">
        <v>1894.4</v>
      </c>
      <c r="D57" s="3">
        <v>1983.2</v>
      </c>
      <c r="E57" s="3">
        <v>2165.5</v>
      </c>
      <c r="F57" s="4">
        <f t="shared" si="4"/>
        <v>2125.6</v>
      </c>
      <c r="G57" s="4">
        <v>2125.6</v>
      </c>
      <c r="H57" s="4">
        <f t="shared" si="6"/>
        <v>2125.6</v>
      </c>
      <c r="I57" s="4">
        <f>J57*99%</f>
        <v>2630.43</v>
      </c>
      <c r="J57" s="4">
        <f>G57*125%</f>
        <v>2657</v>
      </c>
      <c r="K57" s="4">
        <f>J57*101%</f>
        <v>2683.57</v>
      </c>
      <c r="L57" s="4">
        <f>M57*99%</f>
        <v>3419.5589999999997</v>
      </c>
      <c r="M57" s="4">
        <f>J57*130%</f>
        <v>3454.1</v>
      </c>
      <c r="N57" s="4">
        <f>M57*101%</f>
        <v>3488.641</v>
      </c>
    </row>
    <row r="58" spans="1:14" ht="75.75" thickBot="1">
      <c r="A58" s="6" t="s">
        <v>92</v>
      </c>
      <c r="B58" s="3" t="s">
        <v>24</v>
      </c>
      <c r="C58" s="3">
        <v>100.2</v>
      </c>
      <c r="D58" s="3">
        <v>104.7</v>
      </c>
      <c r="E58" s="3">
        <v>104.5</v>
      </c>
      <c r="F58" s="4">
        <v>94.2</v>
      </c>
      <c r="G58" s="4">
        <v>94.2</v>
      </c>
      <c r="H58" s="4">
        <v>94.2</v>
      </c>
      <c r="I58" s="4">
        <v>102.7</v>
      </c>
      <c r="J58" s="4">
        <f>J57/G57%/J59%</f>
        <v>120.07684918347744</v>
      </c>
      <c r="K58" s="4">
        <v>102.7</v>
      </c>
      <c r="L58" s="4">
        <v>102.7</v>
      </c>
      <c r="M58" s="4">
        <v>102.7</v>
      </c>
      <c r="N58" s="4">
        <v>102.7</v>
      </c>
    </row>
    <row r="59" spans="1:14" ht="30.75" thickBot="1">
      <c r="A59" s="6" t="s">
        <v>93</v>
      </c>
      <c r="B59" s="3" t="s">
        <v>91</v>
      </c>
      <c r="C59" s="3">
        <v>103.2</v>
      </c>
      <c r="D59" s="3">
        <v>102.7</v>
      </c>
      <c r="E59" s="3">
        <v>104.5</v>
      </c>
      <c r="F59" s="4">
        <v>104.2</v>
      </c>
      <c r="G59" s="4">
        <v>104.2</v>
      </c>
      <c r="H59" s="4">
        <v>104.2</v>
      </c>
      <c r="I59" s="26">
        <v>104</v>
      </c>
      <c r="J59" s="26">
        <v>104.1</v>
      </c>
      <c r="K59" s="26">
        <v>104.2</v>
      </c>
      <c r="L59" s="26">
        <v>104.1</v>
      </c>
      <c r="M59" s="26">
        <v>104.2</v>
      </c>
      <c r="N59" s="26">
        <v>104.8</v>
      </c>
    </row>
    <row r="60" spans="1:14" ht="60.75" thickBot="1">
      <c r="A60" s="6" t="s">
        <v>64</v>
      </c>
      <c r="B60" s="3" t="s">
        <v>60</v>
      </c>
      <c r="C60" s="3">
        <v>597.9</v>
      </c>
      <c r="D60" s="3">
        <v>587.8</v>
      </c>
      <c r="E60" s="3">
        <v>592.8</v>
      </c>
      <c r="F60" s="4">
        <f t="shared" si="4"/>
        <v>612.9</v>
      </c>
      <c r="G60" s="4">
        <v>612.9</v>
      </c>
      <c r="H60" s="4">
        <f t="shared" si="6"/>
        <v>612.9</v>
      </c>
      <c r="I60" s="4">
        <f>J60*99%</f>
        <v>703.8543599999999</v>
      </c>
      <c r="J60" s="4">
        <f>G60*116%</f>
        <v>710.9639999999999</v>
      </c>
      <c r="K60" s="4">
        <f>J60*101%</f>
        <v>718.07364</v>
      </c>
      <c r="L60" s="4">
        <f>M60*99%</f>
        <v>802.3939704</v>
      </c>
      <c r="M60" s="4">
        <f>J60*114%</f>
        <v>810.4989599999999</v>
      </c>
      <c r="N60" s="4">
        <f>M60*101%</f>
        <v>818.6039495999999</v>
      </c>
    </row>
    <row r="61" spans="1:14" ht="75.75" thickBot="1">
      <c r="A61" s="6" t="s">
        <v>94</v>
      </c>
      <c r="B61" s="3" t="s">
        <v>24</v>
      </c>
      <c r="C61" s="3">
        <v>98.8</v>
      </c>
      <c r="D61" s="4">
        <v>99</v>
      </c>
      <c r="E61" s="3">
        <v>100.7</v>
      </c>
      <c r="F61" s="4">
        <v>100</v>
      </c>
      <c r="G61" s="4">
        <v>100</v>
      </c>
      <c r="H61" s="4">
        <v>100</v>
      </c>
      <c r="I61" s="4">
        <f>I60/F60%/I62%</f>
        <v>110.63583815028902</v>
      </c>
      <c r="J61" s="4">
        <f>J60/G60%/J62%</f>
        <v>111.64581328200191</v>
      </c>
      <c r="K61" s="4">
        <f>K60/H60%/K62%</f>
        <v>112.65384615384615</v>
      </c>
      <c r="L61" s="4">
        <f>L60/I60%/L62%</f>
        <v>109.72088546679498</v>
      </c>
      <c r="M61" s="4">
        <f>N60/K60%/N62%</f>
        <v>109.5100864553314</v>
      </c>
      <c r="N61" s="4">
        <f>N60/K60%/N62%</f>
        <v>109.5100864553314</v>
      </c>
    </row>
    <row r="62" spans="1:14" ht="30.75" thickBot="1">
      <c r="A62" s="6" t="s">
        <v>95</v>
      </c>
      <c r="B62" s="3" t="s">
        <v>91</v>
      </c>
      <c r="C62" s="3">
        <v>105.5</v>
      </c>
      <c r="D62" s="3">
        <v>108.1</v>
      </c>
      <c r="E62" s="3">
        <v>105</v>
      </c>
      <c r="F62" s="4">
        <v>103.4</v>
      </c>
      <c r="G62" s="4">
        <v>103.4</v>
      </c>
      <c r="H62" s="4">
        <v>103.4</v>
      </c>
      <c r="I62" s="4">
        <v>103.8</v>
      </c>
      <c r="J62" s="4">
        <v>103.9</v>
      </c>
      <c r="K62" s="4">
        <v>104</v>
      </c>
      <c r="L62" s="4">
        <v>103.9</v>
      </c>
      <c r="M62" s="4">
        <v>104</v>
      </c>
      <c r="N62" s="4">
        <v>104.1</v>
      </c>
    </row>
    <row r="63" spans="1:21" ht="43.5" thickBot="1">
      <c r="A63" s="9" t="s">
        <v>65</v>
      </c>
      <c r="B63" s="5"/>
      <c r="C63" s="5"/>
      <c r="D63" s="5"/>
      <c r="E63" s="5"/>
      <c r="F63" s="4"/>
      <c r="G63" s="5"/>
      <c r="H63" s="4"/>
      <c r="I63" s="3"/>
      <c r="J63" s="3"/>
      <c r="K63" s="3"/>
      <c r="L63" s="3"/>
      <c r="M63" s="3"/>
      <c r="N63" s="3"/>
      <c r="P63" s="12"/>
      <c r="Q63" s="12"/>
      <c r="R63" s="12"/>
      <c r="S63" s="12"/>
      <c r="T63" s="12"/>
      <c r="U63" s="12"/>
    </row>
    <row r="64" spans="1:21" ht="45.75" thickBot="1">
      <c r="A64" s="6" t="s">
        <v>66</v>
      </c>
      <c r="B64" s="3" t="s">
        <v>67</v>
      </c>
      <c r="C64" s="4">
        <v>329.16</v>
      </c>
      <c r="D64" s="3">
        <v>320.4</v>
      </c>
      <c r="E64" s="3">
        <v>318.9</v>
      </c>
      <c r="F64" s="4">
        <f t="shared" si="4"/>
        <v>318.6</v>
      </c>
      <c r="G64" s="3">
        <v>318.6</v>
      </c>
      <c r="H64" s="4">
        <f t="shared" si="6"/>
        <v>318.6</v>
      </c>
      <c r="I64" s="4">
        <v>355.2</v>
      </c>
      <c r="J64" s="4">
        <v>356.1</v>
      </c>
      <c r="K64" s="4">
        <v>357.8</v>
      </c>
      <c r="L64" s="4">
        <v>416.3</v>
      </c>
      <c r="M64" s="4">
        <v>417.6</v>
      </c>
      <c r="N64" s="4">
        <v>419.2</v>
      </c>
      <c r="P64" s="13"/>
      <c r="Q64" s="13"/>
      <c r="R64" s="13"/>
      <c r="S64" s="13"/>
      <c r="T64" s="13"/>
      <c r="U64" s="12"/>
    </row>
    <row r="65" spans="1:21" ht="30.75" thickBot="1">
      <c r="A65" s="6" t="s">
        <v>68</v>
      </c>
      <c r="B65" s="3" t="s">
        <v>69</v>
      </c>
      <c r="C65" s="4">
        <v>30.43</v>
      </c>
      <c r="D65" s="4">
        <v>30.46</v>
      </c>
      <c r="E65" s="4">
        <v>30.5</v>
      </c>
      <c r="F65" s="4">
        <f t="shared" si="4"/>
        <v>30.53</v>
      </c>
      <c r="G65" s="4">
        <v>30.53</v>
      </c>
      <c r="H65" s="4">
        <f t="shared" si="6"/>
        <v>30.53</v>
      </c>
      <c r="I65" s="4">
        <v>30.6</v>
      </c>
      <c r="J65" s="4">
        <v>31</v>
      </c>
      <c r="K65" s="4">
        <v>31.4</v>
      </c>
      <c r="L65" s="4">
        <v>34.7</v>
      </c>
      <c r="M65" s="4">
        <v>35</v>
      </c>
      <c r="N65" s="4">
        <v>35.5</v>
      </c>
      <c r="P65" s="13"/>
      <c r="Q65" s="13"/>
      <c r="R65" s="13"/>
      <c r="S65" s="13"/>
      <c r="T65" s="13"/>
      <c r="U65" s="12"/>
    </row>
    <row r="66" spans="1:14" ht="15.75" thickBot="1">
      <c r="A66" s="9" t="s">
        <v>70</v>
      </c>
      <c r="B66" s="5"/>
      <c r="C66" s="5"/>
      <c r="D66" s="5"/>
      <c r="E66" s="5"/>
      <c r="F66" s="4"/>
      <c r="G66" s="5"/>
      <c r="H66" s="4"/>
      <c r="I66" s="3"/>
      <c r="J66" s="3"/>
      <c r="K66" s="3"/>
      <c r="L66" s="3"/>
      <c r="M66" s="3"/>
      <c r="N66" s="3"/>
    </row>
    <row r="67" spans="1:14" ht="60.75" thickBot="1">
      <c r="A67" s="6" t="s">
        <v>71</v>
      </c>
      <c r="B67" s="3" t="s">
        <v>60</v>
      </c>
      <c r="C67" s="4">
        <v>1900</v>
      </c>
      <c r="D67" s="3">
        <v>2485.7</v>
      </c>
      <c r="E67" s="3">
        <v>2909.9</v>
      </c>
      <c r="F67" s="4">
        <f t="shared" si="4"/>
        <v>3392.9</v>
      </c>
      <c r="G67" s="4">
        <v>3392.9</v>
      </c>
      <c r="H67" s="4">
        <f t="shared" si="6"/>
        <v>3392.9</v>
      </c>
      <c r="I67" s="4">
        <f>J67*99%</f>
        <v>4972.6206684</v>
      </c>
      <c r="J67" s="4">
        <f>G67*148.04%</f>
        <v>5022.84916</v>
      </c>
      <c r="K67" s="4">
        <f>J67*101%</f>
        <v>5073.0776516</v>
      </c>
      <c r="L67" s="4">
        <f>M67*99%</f>
        <v>7359.478589232</v>
      </c>
      <c r="M67" s="4">
        <f>J67*148%</f>
        <v>7433.8167568</v>
      </c>
      <c r="N67" s="4">
        <f>M67*100.1%</f>
        <v>7441.250573556799</v>
      </c>
    </row>
    <row r="68" spans="1:14" ht="75.75" thickBot="1">
      <c r="A68" s="6" t="s">
        <v>72</v>
      </c>
      <c r="B68" s="3" t="s">
        <v>73</v>
      </c>
      <c r="C68" s="3">
        <v>69.5</v>
      </c>
      <c r="D68" s="4">
        <f>D67/C67*100</f>
        <v>130.82631578947368</v>
      </c>
      <c r="E68" s="4">
        <f>E67/D67*100</f>
        <v>117.0656153196283</v>
      </c>
      <c r="F68" s="4">
        <f t="shared" si="4"/>
        <v>124.2</v>
      </c>
      <c r="G68" s="4">
        <v>124.2</v>
      </c>
      <c r="H68" s="4">
        <f t="shared" si="6"/>
        <v>124.2</v>
      </c>
      <c r="I68" s="4">
        <f aca="true" t="shared" si="10" ref="I68:N68">I67/F67%</f>
        <v>146.5596</v>
      </c>
      <c r="J68" s="4">
        <f t="shared" si="10"/>
        <v>148.04</v>
      </c>
      <c r="K68" s="4">
        <f t="shared" si="10"/>
        <v>149.52039999999997</v>
      </c>
      <c r="L68" s="4">
        <f t="shared" si="10"/>
        <v>148</v>
      </c>
      <c r="M68" s="4">
        <f t="shared" si="10"/>
        <v>148</v>
      </c>
      <c r="N68" s="4">
        <f t="shared" si="10"/>
        <v>146.68118811881186</v>
      </c>
    </row>
    <row r="69" spans="1:14" ht="45.75" thickBot="1">
      <c r="A69" s="6" t="s">
        <v>74</v>
      </c>
      <c r="B69" s="3" t="s">
        <v>75</v>
      </c>
      <c r="C69" s="27">
        <v>106.1</v>
      </c>
      <c r="D69" s="27">
        <v>105.6</v>
      </c>
      <c r="E69" s="27">
        <v>106.8</v>
      </c>
      <c r="F69" s="28">
        <f t="shared" si="4"/>
        <v>105.6</v>
      </c>
      <c r="G69" s="28">
        <v>105.6</v>
      </c>
      <c r="H69" s="28">
        <f t="shared" si="6"/>
        <v>105.6</v>
      </c>
      <c r="I69" s="29">
        <v>104.8</v>
      </c>
      <c r="J69" s="29">
        <v>104.9</v>
      </c>
      <c r="K69" s="29">
        <v>105</v>
      </c>
      <c r="L69" s="29">
        <v>104</v>
      </c>
      <c r="M69" s="29">
        <v>105</v>
      </c>
      <c r="N69" s="29">
        <v>106</v>
      </c>
    </row>
    <row r="70" spans="1:16" ht="75.75" thickBot="1">
      <c r="A70" s="6" t="s">
        <v>76</v>
      </c>
      <c r="B70" s="3" t="s">
        <v>24</v>
      </c>
      <c r="C70" s="27">
        <v>65.5</v>
      </c>
      <c r="D70" s="27">
        <v>123.9</v>
      </c>
      <c r="E70" s="28">
        <f>E67/D67%/E69%</f>
        <v>109.61199936294783</v>
      </c>
      <c r="F70" s="28">
        <f t="shared" si="4"/>
        <v>110.41525429906474</v>
      </c>
      <c r="G70" s="28">
        <f>G67/E67%/G69%</f>
        <v>110.41525429906474</v>
      </c>
      <c r="H70" s="28">
        <f t="shared" si="6"/>
        <v>110.41525429906474</v>
      </c>
      <c r="I70" s="29">
        <f>I67/G67%/I69%</f>
        <v>139.84694656488549</v>
      </c>
      <c r="J70" s="30">
        <f>J67/G67%/J69%</f>
        <v>141.12488083889414</v>
      </c>
      <c r="K70" s="29">
        <f>K67/H67%/K69%</f>
        <v>142.4003809523809</v>
      </c>
      <c r="L70" s="29">
        <f>L67/I67%/L69%</f>
        <v>142.3076923076923</v>
      </c>
      <c r="M70" s="30">
        <f>M67/J67%/M69%</f>
        <v>140.95238095238093</v>
      </c>
      <c r="N70" s="29">
        <f>N67/K67%/N69%</f>
        <v>138.37847935736968</v>
      </c>
      <c r="P70" s="7">
        <f>P64</f>
        <v>0</v>
      </c>
    </row>
    <row r="71" spans="1:14" ht="15.75" thickBot="1">
      <c r="A71" s="9" t="s">
        <v>77</v>
      </c>
      <c r="B71" s="5"/>
      <c r="C71" s="5"/>
      <c r="D71" s="5"/>
      <c r="E71" s="5"/>
      <c r="F71" s="4"/>
      <c r="G71" s="5"/>
      <c r="H71" s="4"/>
      <c r="I71" s="3"/>
      <c r="J71" s="3"/>
      <c r="K71" s="3"/>
      <c r="L71" s="3"/>
      <c r="M71" s="3"/>
      <c r="N71" s="3"/>
    </row>
    <row r="72" spans="1:14" ht="45.75" thickBot="1">
      <c r="A72" s="6" t="s">
        <v>78</v>
      </c>
      <c r="B72" s="3" t="s">
        <v>79</v>
      </c>
      <c r="C72" s="31">
        <v>8793</v>
      </c>
      <c r="D72" s="4">
        <v>8815</v>
      </c>
      <c r="E72" s="4">
        <v>8682</v>
      </c>
      <c r="F72" s="4">
        <f t="shared" si="4"/>
        <v>8767</v>
      </c>
      <c r="G72" s="32">
        <v>8767</v>
      </c>
      <c r="H72" s="4">
        <f t="shared" si="6"/>
        <v>8767</v>
      </c>
      <c r="I72" s="4">
        <f>J72*99%</f>
        <v>8705.367989999999</v>
      </c>
      <c r="J72" s="4">
        <f>G72*100.3%</f>
        <v>8793.301</v>
      </c>
      <c r="K72" s="4">
        <f>J72*101%</f>
        <v>8881.23401</v>
      </c>
      <c r="L72" s="4">
        <f>M72*99%</f>
        <v>11978.586354239998</v>
      </c>
      <c r="M72" s="4">
        <f>J72*137.6%</f>
        <v>12099.582175999998</v>
      </c>
      <c r="N72" s="4">
        <f>M72*101%</f>
        <v>12220.577997759998</v>
      </c>
    </row>
    <row r="73" spans="1:14" ht="30.75" thickBot="1">
      <c r="A73" s="6" t="s">
        <v>96</v>
      </c>
      <c r="B73" s="33" t="s">
        <v>97</v>
      </c>
      <c r="C73" s="31">
        <v>2715.67</v>
      </c>
      <c r="D73" s="4">
        <v>3251.3</v>
      </c>
      <c r="E73" s="4">
        <v>3457</v>
      </c>
      <c r="F73" s="34">
        <v>3630.4</v>
      </c>
      <c r="G73" s="35">
        <v>3630.4</v>
      </c>
      <c r="H73" s="4">
        <f>H72*H74*12/1000000</f>
        <v>3630.379632</v>
      </c>
      <c r="I73" s="4">
        <f>J73*99%</f>
        <v>4596.194030563475</v>
      </c>
      <c r="J73" s="4">
        <f>J72*J74*12/1000000</f>
        <v>4642.620232892399</v>
      </c>
      <c r="K73" s="4">
        <f>J73*101%</f>
        <v>4689.046435221323</v>
      </c>
      <c r="L73" s="4">
        <f>M73*99%</f>
        <v>8246.969333816167</v>
      </c>
      <c r="M73" s="4">
        <f>M72*M74*12/1000000</f>
        <v>8330.272054359764</v>
      </c>
      <c r="N73" s="4">
        <f>M73*101%</f>
        <v>8413.574774903362</v>
      </c>
    </row>
    <row r="74" spans="1:14" ht="30.75" thickBot="1">
      <c r="A74" s="6" t="s">
        <v>80</v>
      </c>
      <c r="B74" s="3" t="s">
        <v>81</v>
      </c>
      <c r="C74" s="3">
        <v>25737</v>
      </c>
      <c r="D74" s="4">
        <v>30736</v>
      </c>
      <c r="E74" s="4">
        <v>33182</v>
      </c>
      <c r="F74" s="4">
        <f t="shared" si="4"/>
        <v>34508</v>
      </c>
      <c r="G74" s="4">
        <v>34508</v>
      </c>
      <c r="H74" s="4">
        <f t="shared" si="6"/>
        <v>34508</v>
      </c>
      <c r="I74" s="4">
        <f>J74*99%</f>
        <v>43557.723</v>
      </c>
      <c r="J74" s="4">
        <f>G74*127.5%</f>
        <v>43997.7</v>
      </c>
      <c r="K74" s="4">
        <f>J74*101%</f>
        <v>44437.676999999996</v>
      </c>
      <c r="L74" s="4">
        <f>M74*99%</f>
        <v>56799.270792</v>
      </c>
      <c r="M74" s="4">
        <f>J74*130.4%</f>
        <v>57373.0008</v>
      </c>
      <c r="N74" s="4">
        <f>M74*101%</f>
        <v>57946.730808</v>
      </c>
    </row>
  </sheetData>
  <sheetProtection/>
  <mergeCells count="9">
    <mergeCell ref="A1:A3"/>
    <mergeCell ref="B1:B3"/>
    <mergeCell ref="C1:C3"/>
    <mergeCell ref="D1:D3"/>
    <mergeCell ref="F1:N1"/>
    <mergeCell ref="F2:H2"/>
    <mergeCell ref="I2:K2"/>
    <mergeCell ref="L2:N2"/>
    <mergeCell ref="E1:E3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0:N71"/>
  <sheetViews>
    <sheetView zoomScalePageLayoutView="0" workbookViewId="0" topLeftCell="A1">
      <selection activeCell="C70" sqref="C70"/>
    </sheetView>
  </sheetViews>
  <sheetFormatPr defaultColWidth="9.140625" defaultRowHeight="15"/>
  <cols>
    <col min="8" max="8" width="12.57421875" style="0" bestFit="1" customWidth="1"/>
  </cols>
  <sheetData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>
        <v>2715.67</v>
      </c>
      <c r="D71" s="2">
        <v>3251.3</v>
      </c>
      <c r="E71" s="2">
        <v>3457</v>
      </c>
      <c r="F71" s="2">
        <v>3630.4</v>
      </c>
      <c r="G71" s="1">
        <v>3630.4</v>
      </c>
      <c r="H71" s="2">
        <f>H70*H72*12/1000000</f>
        <v>0</v>
      </c>
      <c r="I71" s="2"/>
      <c r="J71" s="2"/>
      <c r="K71" s="2"/>
      <c r="L71" s="2"/>
      <c r="M71" s="2"/>
      <c r="N7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2020-10-01T05:18:52Z</dcterms:created>
  <dcterms:modified xsi:type="dcterms:W3CDTF">2020-11-25T03:10:17Z</dcterms:modified>
  <cp:category/>
  <cp:version/>
  <cp:contentType/>
  <cp:contentStatus/>
</cp:coreProperties>
</file>