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'Лист1'!$A$1:$N$74</definedName>
  </definedNames>
  <calcPr fullCalcOnLoad="1"/>
</workbook>
</file>

<file path=xl/sharedStrings.xml><?xml version="1.0" encoding="utf-8"?>
<sst xmlns="http://schemas.openxmlformats.org/spreadsheetml/2006/main" count="146" uniqueCount="101">
  <si>
    <t>Показатели</t>
  </si>
  <si>
    <t>Единица измерения</t>
  </si>
  <si>
    <t>прогноз</t>
  </si>
  <si>
    <t>2025 год</t>
  </si>
  <si>
    <t>2030 год</t>
  </si>
  <si>
    <t>консервативный</t>
  </si>
  <si>
    <t>базовый</t>
  </si>
  <si>
    <t>целевой</t>
  </si>
  <si>
    <t>1. Население</t>
  </si>
  <si>
    <t>Численность населения (среднегодовая)</t>
  </si>
  <si>
    <t>Все население (среднегодовая)</t>
  </si>
  <si>
    <t>человек</t>
  </si>
  <si>
    <t>Городское население (среднегодовая)</t>
  </si>
  <si>
    <t>Сельское население (среднегодовая)</t>
  </si>
  <si>
    <t>Коэффициент естественного прироста населения</t>
  </si>
  <si>
    <t>на 1000 человек населения</t>
  </si>
  <si>
    <t>Коэффициент миграционного прироста</t>
  </si>
  <si>
    <t>2. Производство товаров и услуг</t>
  </si>
  <si>
    <t>2.1. Промышленное производство (BCDE), всего</t>
  </si>
  <si>
    <t>млн. руб.</t>
  </si>
  <si>
    <t xml:space="preserve">Индекс промышленного производства </t>
  </si>
  <si>
    <t>% к предыдущему году в сопоставимых ценах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</si>
  <si>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</si>
  <si>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B: Добыча полезных ископаемых</t>
  </si>
  <si>
    <t>Индекс производства - РАЗДЕЛ B: Добыча полезных ископаемых</t>
  </si>
  <si>
    <t>Объем отгруженных товаров собственного производства, выполненных работ и услуг собственными силами - Добыча металлических руд</t>
  </si>
  <si>
    <t>Индекс производства -  Добыча металлических руд</t>
  </si>
  <si>
    <t>Объем отгруженных товаров собственного производства, выполненных работ и услуг собственными силами - Добыча прочих полезных ископаемых</t>
  </si>
  <si>
    <t>Индекс производства - Добыча прочих полезных ископаемых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</si>
  <si>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</si>
  <si>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C: Обрабатывающие производства</t>
  </si>
  <si>
    <t>Индекс производства - РАЗДЕЛ C: Обрабатывающие производства</t>
  </si>
  <si>
    <t xml:space="preserve">% к предыдущему году в сопоставимых ценах </t>
  </si>
  <si>
    <t>Объем отгруженных товаров собственного производства, выполненных работ и услуг собственными силами - Производство пищевых продуктов</t>
  </si>
  <si>
    <t>Индекс производства -  Производство пищевых продуктов</t>
  </si>
  <si>
    <t>Объем отгруженных товаров собственного производства, выполненных работ и услуг собственными силами - Обработка древесины и производство изделий из дерева и пробки, кроме мебели, производство изделий из соломки и материалов для плетения</t>
  </si>
  <si>
    <t>Индекс производства -  Обработка древесины и производство изделий из дерева и пробки, кроме мебели, производство изделий из соломки и материалов для плетения</t>
  </si>
  <si>
    <t>Обеспечение электрической энергией, газом и паром; кондиционирование воздуха</t>
  </si>
  <si>
    <t xml:space="preserve"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 </t>
  </si>
  <si>
    <t>Индекс производства - РАЗДЕЛ D: 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</si>
  <si>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</si>
  <si>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Объем отгруженных товаров собственного производства, выполненных работ и услуг собственными силами - РАЗДЕЛ E: Водоснабжение; водоотведение, организация сбора и утилизации отходов, деятельность по ликвидации загрязнений</t>
  </si>
  <si>
    <t>Индекс производства - РАЗДЕЛ E: Водоснабжение; водоотведение, организация сбора и утилизации отходов, деятельность по ликвидации загрязнений</t>
  </si>
  <si>
    <t>2.2. Сельское хозяйство</t>
  </si>
  <si>
    <t>Продукция сельского хозяйства</t>
  </si>
  <si>
    <t>Индекс производства продукции сельского хозяйства</t>
  </si>
  <si>
    <t>Продукция сельского хозяйства в хозяйствах всех категорий, в том числе:</t>
  </si>
  <si>
    <t>Продукция растениеводства</t>
  </si>
  <si>
    <t>млн.руб.</t>
  </si>
  <si>
    <t>Индекс производства продукции растениеводства</t>
  </si>
  <si>
    <t>Продукция животноводства</t>
  </si>
  <si>
    <t>Индекс производства продукции животноводства</t>
  </si>
  <si>
    <t xml:space="preserve">2.3. Транспорт </t>
  </si>
  <si>
    <t>Протяженность автомобильных дорог общего пользования с твердым покрытием (федерального, регионального и межмуниципального, местного значения)</t>
  </si>
  <si>
    <t>км.</t>
  </si>
  <si>
    <t>2.4. Строительство</t>
  </si>
  <si>
    <t xml:space="preserve">Объем работ, выполненных по виду экономической деятельности "Строительство" </t>
  </si>
  <si>
    <t>в ценах соответствующих лет; млн. руб.</t>
  </si>
  <si>
    <t xml:space="preserve">Индекс производства по виду деятельности "Строительство" </t>
  </si>
  <si>
    <t>3. Торговля и услуги населению</t>
  </si>
  <si>
    <t>Оборот розничной торговли</t>
  </si>
  <si>
    <t>Объем платных услуг населению</t>
  </si>
  <si>
    <t>4. Малое и среднее предпринимательство (включая микропредприятия)</t>
  </si>
  <si>
    <t>Число субъектов малого предпринимательства в расчете на 10000 человек населения</t>
  </si>
  <si>
    <t>единиц</t>
  </si>
  <si>
    <t>Доля занятых в малом бизнесе от занятых в экономике</t>
  </si>
  <si>
    <t>%</t>
  </si>
  <si>
    <t>5. Инвестиции</t>
  </si>
  <si>
    <t>Инвестиции в основной капитал</t>
  </si>
  <si>
    <t>Темп роста инвестиций в основной капитал</t>
  </si>
  <si>
    <t>% к предыдущему году в действующих ценах</t>
  </si>
  <si>
    <t>Индекс-дефлятор</t>
  </si>
  <si>
    <t>% к предыдущему году</t>
  </si>
  <si>
    <t>Индекс физического объема инвестиций в основной капитал</t>
  </si>
  <si>
    <t>6. Труд и занятость</t>
  </si>
  <si>
    <t>Среднесписочная численность работников организаций (без внешних совместителей)</t>
  </si>
  <si>
    <t>тыс. чел.</t>
  </si>
  <si>
    <t>Среднемесячная заработная плата одного работника</t>
  </si>
  <si>
    <t>руб.</t>
  </si>
  <si>
    <t>отчет 2019 год</t>
  </si>
  <si>
    <t>Число родившихся</t>
  </si>
  <si>
    <t>Число умерших</t>
  </si>
  <si>
    <t>Общий коэффициент рождаемости</t>
  </si>
  <si>
    <t xml:space="preserve"> число родившихся на 1000 человек населения</t>
  </si>
  <si>
    <t>Общий коэффициент смертности</t>
  </si>
  <si>
    <t>Число прибывших</t>
  </si>
  <si>
    <t>Число выбывших</t>
  </si>
  <si>
    <t>Индекс-дефлятор по виду деятельности "Строительство"</t>
  </si>
  <si>
    <t>% г/г</t>
  </si>
  <si>
    <t>Индекс физического объема оборота розничной торговли</t>
  </si>
  <si>
    <t>Индекс-дефлятор оборота розничной торговли</t>
  </si>
  <si>
    <t>Индекс физического объема платных услуг населению</t>
  </si>
  <si>
    <t>Индекс-дефлятор объема платных услуг населению</t>
  </si>
  <si>
    <t>Фонд начисленной заработной платы всех работников</t>
  </si>
  <si>
    <t xml:space="preserve">млн.руб. </t>
  </si>
  <si>
    <t>Объем отгруженных товаров собственного производства, выполненных работ и услуг собственными силами - Машиностроение и металлообработка</t>
  </si>
  <si>
    <t>Индекс производства -  Машиностроение и металлообработка</t>
  </si>
  <si>
    <t>отчет 2020 год</t>
  </si>
  <si>
    <t>отчет 2021 год</t>
  </si>
  <si>
    <t>2022 год</t>
  </si>
  <si>
    <t>118,,8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</si>
</sst>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B05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>
        <color indexed="63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2" borderId="10" xfId="0" applyFill="1" applyBorder="1" applyAlignment="1">
      <alignment horizontal="center" vertical="top"/>
    </xf>
    <xf numFmtId="0" fontId="0" fillId="2" borderId="0" xfId="0" applyFill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5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left" vertical="top" wrapText="1"/>
    </xf>
    <xf numFmtId="0" fontId="25" fillId="0" borderId="0" xfId="0" applyFont="1" applyFill="1" applyAlignment="1">
      <alignment wrapText="1"/>
    </xf>
    <xf numFmtId="0" fontId="4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left" vertical="top" wrapText="1"/>
    </xf>
    <xf numFmtId="164" fontId="25" fillId="0" borderId="0" xfId="0" applyNumberFormat="1" applyFont="1" applyFill="1" applyAlignment="1">
      <alignment wrapText="1"/>
    </xf>
    <xf numFmtId="0" fontId="25" fillId="0" borderId="0" xfId="0" applyFont="1" applyFill="1" applyAlignment="1">
      <alignment vertical="top" wrapText="1"/>
    </xf>
    <xf numFmtId="0" fontId="25" fillId="0" borderId="0" xfId="0" applyFont="1" applyFill="1" applyBorder="1" applyAlignment="1">
      <alignment wrapText="1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top" wrapText="1"/>
    </xf>
    <xf numFmtId="0" fontId="25" fillId="0" borderId="0" xfId="0" applyFont="1" applyFill="1" applyAlignment="1">
      <alignment horizontal="center" wrapText="1"/>
    </xf>
    <xf numFmtId="0" fontId="46" fillId="0" borderId="0" xfId="0" applyFont="1" applyFill="1" applyAlignment="1">
      <alignment wrapText="1"/>
    </xf>
    <xf numFmtId="0" fontId="44" fillId="0" borderId="0" xfId="0" applyFont="1" applyFill="1" applyAlignment="1">
      <alignment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horizontal="center" vertical="top" wrapText="1"/>
    </xf>
    <xf numFmtId="0" fontId="47" fillId="0" borderId="20" xfId="0" applyFont="1" applyFill="1" applyBorder="1" applyAlignment="1">
      <alignment horizontal="center" wrapText="1"/>
    </xf>
    <xf numFmtId="1" fontId="47" fillId="0" borderId="11" xfId="0" applyNumberFormat="1" applyFont="1" applyFill="1" applyBorder="1" applyAlignment="1">
      <alignment horizontal="center" vertical="top" wrapText="1"/>
    </xf>
    <xf numFmtId="0" fontId="47" fillId="0" borderId="11" xfId="0" applyFont="1" applyFill="1" applyBorder="1" applyAlignment="1">
      <alignment horizontal="center" vertical="top" wrapText="1"/>
    </xf>
    <xf numFmtId="164" fontId="47" fillId="0" borderId="13" xfId="0" applyNumberFormat="1" applyFont="1" applyFill="1" applyBorder="1" applyAlignment="1">
      <alignment horizontal="center" vertical="top" wrapText="1"/>
    </xf>
    <xf numFmtId="164" fontId="47" fillId="0" borderId="20" xfId="0" applyNumberFormat="1" applyFont="1" applyFill="1" applyBorder="1" applyAlignment="1">
      <alignment horizontal="center" vertical="top" wrapText="1"/>
    </xf>
    <xf numFmtId="164" fontId="47" fillId="0" borderId="11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center" vertical="top" wrapText="1"/>
    </xf>
    <xf numFmtId="0" fontId="47" fillId="0" borderId="14" xfId="0" applyFont="1" applyFill="1" applyBorder="1" applyAlignment="1">
      <alignment horizontal="center" wrapText="1"/>
    </xf>
    <xf numFmtId="164" fontId="47" fillId="0" borderId="21" xfId="0" applyNumberFormat="1" applyFont="1" applyFill="1" applyBorder="1" applyAlignment="1">
      <alignment horizontal="center" vertical="top" wrapText="1"/>
    </xf>
    <xf numFmtId="164" fontId="47" fillId="0" borderId="22" xfId="0" applyNumberFormat="1" applyFont="1" applyFill="1" applyBorder="1" applyAlignment="1">
      <alignment horizontal="center" vertical="top" wrapText="1"/>
    </xf>
    <xf numFmtId="164" fontId="47" fillId="0" borderId="23" xfId="0" applyNumberFormat="1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vertical="top" wrapText="1"/>
    </xf>
    <xf numFmtId="0" fontId="47" fillId="0" borderId="12" xfId="0" applyFont="1" applyFill="1" applyBorder="1" applyAlignment="1">
      <alignment horizontal="center" wrapText="1"/>
    </xf>
    <xf numFmtId="0" fontId="47" fillId="0" borderId="20" xfId="0" applyFont="1" applyFill="1" applyBorder="1" applyAlignment="1">
      <alignment horizontal="center" vertical="top" wrapText="1"/>
    </xf>
    <xf numFmtId="43" fontId="47" fillId="0" borderId="11" xfId="60" applyFont="1" applyFill="1" applyBorder="1" applyAlignment="1">
      <alignment horizontal="center" vertical="top" wrapText="1"/>
    </xf>
    <xf numFmtId="2" fontId="47" fillId="0" borderId="11" xfId="0" applyNumberFormat="1" applyFont="1" applyFill="1" applyBorder="1" applyAlignment="1">
      <alignment horizontal="center" vertical="top" wrapText="1"/>
    </xf>
    <xf numFmtId="165" fontId="47" fillId="0" borderId="10" xfId="0" applyNumberFormat="1" applyFont="1" applyFill="1" applyBorder="1" applyAlignment="1">
      <alignment horizontal="center" vertical="top"/>
    </xf>
    <xf numFmtId="165" fontId="47" fillId="0" borderId="20" xfId="0" applyNumberFormat="1" applyFont="1" applyFill="1" applyBorder="1" applyAlignment="1" applyProtection="1">
      <alignment horizontal="center" vertical="top" wrapText="1"/>
      <protection locked="0"/>
    </xf>
    <xf numFmtId="164" fontId="47" fillId="0" borderId="20" xfId="0" applyNumberFormat="1" applyFont="1" applyFill="1" applyBorder="1" applyAlignment="1" applyProtection="1">
      <alignment horizontal="center" vertical="top" wrapText="1"/>
      <protection locked="0"/>
    </xf>
    <xf numFmtId="164" fontId="47" fillId="0" borderId="20" xfId="0" applyNumberFormat="1" applyFont="1" applyFill="1" applyBorder="1" applyAlignment="1" applyProtection="1">
      <alignment horizontal="center" vertical="top" wrapText="1"/>
      <protection/>
    </xf>
    <xf numFmtId="164" fontId="47" fillId="0" borderId="19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F11" sqref="F11"/>
    </sheetView>
  </sheetViews>
  <sheetFormatPr defaultColWidth="9.140625" defaultRowHeight="15"/>
  <cols>
    <col min="1" max="1" width="36.7109375" style="10" customWidth="1"/>
    <col min="2" max="2" width="13.7109375" style="10" customWidth="1"/>
    <col min="3" max="4" width="9.7109375" style="6" customWidth="1"/>
    <col min="5" max="5" width="9.7109375" style="15" customWidth="1"/>
    <col min="6" max="14" width="9.7109375" style="6" customWidth="1"/>
    <col min="15" max="15" width="9.140625" style="6" customWidth="1"/>
    <col min="16" max="16" width="11.421875" style="6" bestFit="1" customWidth="1"/>
    <col min="17" max="16384" width="9.140625" style="6" customWidth="1"/>
  </cols>
  <sheetData>
    <row r="1" spans="1:14" ht="16.5" customHeight="1" thickBot="1">
      <c r="A1" s="18" t="s">
        <v>0</v>
      </c>
      <c r="B1" s="18" t="s">
        <v>1</v>
      </c>
      <c r="C1" s="21" t="s">
        <v>79</v>
      </c>
      <c r="D1" s="24" t="s">
        <v>97</v>
      </c>
      <c r="E1" s="24" t="s">
        <v>98</v>
      </c>
      <c r="F1" s="27" t="s">
        <v>2</v>
      </c>
      <c r="G1" s="28"/>
      <c r="H1" s="28"/>
      <c r="I1" s="28"/>
      <c r="J1" s="28"/>
      <c r="K1" s="28"/>
      <c r="L1" s="28"/>
      <c r="M1" s="28"/>
      <c r="N1" s="29"/>
    </row>
    <row r="2" spans="1:14" ht="16.5" thickBot="1">
      <c r="A2" s="19"/>
      <c r="B2" s="19"/>
      <c r="C2" s="22"/>
      <c r="D2" s="25"/>
      <c r="E2" s="25"/>
      <c r="F2" s="27" t="s">
        <v>99</v>
      </c>
      <c r="G2" s="28"/>
      <c r="H2" s="29"/>
      <c r="I2" s="27" t="s">
        <v>3</v>
      </c>
      <c r="J2" s="28"/>
      <c r="K2" s="29"/>
      <c r="L2" s="27" t="s">
        <v>4</v>
      </c>
      <c r="M2" s="28"/>
      <c r="N2" s="29"/>
    </row>
    <row r="3" spans="1:14" ht="28.5" thickBot="1">
      <c r="A3" s="20"/>
      <c r="B3" s="20"/>
      <c r="C3" s="23"/>
      <c r="D3" s="26"/>
      <c r="E3" s="26"/>
      <c r="F3" s="7" t="s">
        <v>5</v>
      </c>
      <c r="G3" s="7" t="s">
        <v>6</v>
      </c>
      <c r="H3" s="7" t="s">
        <v>7</v>
      </c>
      <c r="I3" s="7" t="s">
        <v>5</v>
      </c>
      <c r="J3" s="7" t="s">
        <v>6</v>
      </c>
      <c r="K3" s="7" t="s">
        <v>7</v>
      </c>
      <c r="L3" s="7" t="s">
        <v>5</v>
      </c>
      <c r="M3" s="7" t="s">
        <v>6</v>
      </c>
      <c r="N3" s="7" t="s">
        <v>7</v>
      </c>
    </row>
    <row r="4" spans="1:14" ht="15.75" thickBot="1">
      <c r="A4" s="8" t="s">
        <v>8</v>
      </c>
      <c r="B4" s="4"/>
      <c r="C4" s="30"/>
      <c r="D4" s="31"/>
      <c r="E4" s="31"/>
      <c r="F4" s="30"/>
      <c r="G4" s="30"/>
      <c r="H4" s="30"/>
      <c r="I4" s="30"/>
      <c r="J4" s="30"/>
      <c r="K4" s="30"/>
      <c r="L4" s="30"/>
      <c r="M4" s="30"/>
      <c r="N4" s="30"/>
    </row>
    <row r="5" spans="1:14" ht="29.25" thickBot="1">
      <c r="A5" s="8" t="s">
        <v>9</v>
      </c>
      <c r="B5" s="4"/>
      <c r="C5" s="30"/>
      <c r="D5" s="32"/>
      <c r="E5" s="32"/>
      <c r="F5" s="30"/>
      <c r="G5" s="30"/>
      <c r="H5" s="30"/>
      <c r="I5" s="30"/>
      <c r="J5" s="30"/>
      <c r="K5" s="30"/>
      <c r="L5" s="30"/>
      <c r="M5" s="30"/>
      <c r="N5" s="30"/>
    </row>
    <row r="6" spans="1:14" ht="15.75" thickBot="1">
      <c r="A6" s="5" t="s">
        <v>10</v>
      </c>
      <c r="B6" s="3" t="s">
        <v>11</v>
      </c>
      <c r="C6" s="33">
        <v>65816</v>
      </c>
      <c r="D6" s="34">
        <v>65816</v>
      </c>
      <c r="E6" s="34">
        <v>65845</v>
      </c>
      <c r="F6" s="35">
        <v>65770</v>
      </c>
      <c r="G6" s="36">
        <v>65770</v>
      </c>
      <c r="H6" s="35">
        <f>G6</f>
        <v>65770</v>
      </c>
      <c r="I6" s="35">
        <f>J6*99%</f>
        <v>66154.0968</v>
      </c>
      <c r="J6" s="35">
        <f>G6*101.6%</f>
        <v>66822.32</v>
      </c>
      <c r="K6" s="35">
        <f>J6*101%</f>
        <v>67490.54320000001</v>
      </c>
      <c r="L6" s="35">
        <f>M6*99%</f>
        <v>67411.02463920001</v>
      </c>
      <c r="M6" s="35">
        <f>J6*101.9%</f>
        <v>68091.94408000002</v>
      </c>
      <c r="N6" s="35">
        <f>J6*101%</f>
        <v>67490.54320000001</v>
      </c>
    </row>
    <row r="7" spans="1:14" ht="15.75" thickBot="1">
      <c r="A7" s="5" t="s">
        <v>12</v>
      </c>
      <c r="B7" s="3" t="s">
        <v>11</v>
      </c>
      <c r="C7" s="33">
        <v>20763</v>
      </c>
      <c r="D7" s="34">
        <v>20736</v>
      </c>
      <c r="E7" s="34">
        <v>20774</v>
      </c>
      <c r="F7" s="35">
        <f>G7</f>
        <v>20750</v>
      </c>
      <c r="G7" s="35">
        <v>20750</v>
      </c>
      <c r="H7" s="35">
        <f>G7</f>
        <v>20750</v>
      </c>
      <c r="I7" s="35">
        <f>J7*99%</f>
        <v>20871.18</v>
      </c>
      <c r="J7" s="35">
        <f>G7*101.6%</f>
        <v>21082</v>
      </c>
      <c r="K7" s="35">
        <f>J7*101%</f>
        <v>21292.82</v>
      </c>
      <c r="L7" s="35">
        <f>M7*99%</f>
        <v>21267.73242</v>
      </c>
      <c r="M7" s="35">
        <f>J7*101.9%</f>
        <v>21482.558</v>
      </c>
      <c r="N7" s="35">
        <f>J7*101%</f>
        <v>21292.82</v>
      </c>
    </row>
    <row r="8" spans="1:14" ht="15.75" thickBot="1">
      <c r="A8" s="5" t="s">
        <v>13</v>
      </c>
      <c r="B8" s="3" t="s">
        <v>11</v>
      </c>
      <c r="C8" s="33">
        <v>45053</v>
      </c>
      <c r="D8" s="34">
        <v>45053</v>
      </c>
      <c r="E8" s="34">
        <v>45071</v>
      </c>
      <c r="F8" s="35">
        <f>G8</f>
        <v>45020</v>
      </c>
      <c r="G8" s="35">
        <v>45020</v>
      </c>
      <c r="H8" s="35">
        <f>G8</f>
        <v>45020</v>
      </c>
      <c r="I8" s="35">
        <f>J8*99%</f>
        <v>45282.9168</v>
      </c>
      <c r="J8" s="35">
        <f>G8*101.6%</f>
        <v>45740.32</v>
      </c>
      <c r="K8" s="35">
        <f>J8*101%</f>
        <v>46197.7232</v>
      </c>
      <c r="L8" s="35">
        <f>M8*99%</f>
        <v>46143.292219200004</v>
      </c>
      <c r="M8" s="35">
        <f>J8*101.9%</f>
        <v>46609.386080000004</v>
      </c>
      <c r="N8" s="35">
        <f>J8*101%</f>
        <v>46197.7232</v>
      </c>
    </row>
    <row r="9" spans="1:14" ht="15.75" thickBot="1">
      <c r="A9" s="5" t="s">
        <v>80</v>
      </c>
      <c r="B9" s="3" t="s">
        <v>11</v>
      </c>
      <c r="C9" s="33">
        <v>773</v>
      </c>
      <c r="D9" s="34">
        <v>784</v>
      </c>
      <c r="E9" s="34">
        <v>738</v>
      </c>
      <c r="F9" s="35">
        <f>G9</f>
        <v>815</v>
      </c>
      <c r="G9" s="36">
        <v>815</v>
      </c>
      <c r="H9" s="35">
        <f>G9</f>
        <v>815</v>
      </c>
      <c r="I9" s="35">
        <f>J9*99%</f>
        <v>831.86235</v>
      </c>
      <c r="J9" s="35">
        <f>G9*103.1%</f>
        <v>840.265</v>
      </c>
      <c r="K9" s="35">
        <f>J9*101%</f>
        <v>848.66765</v>
      </c>
      <c r="L9" s="35">
        <f>M9*99%</f>
        <v>840.1809734999999</v>
      </c>
      <c r="M9" s="35">
        <f>J9*101%</f>
        <v>848.66765</v>
      </c>
      <c r="N9" s="35">
        <f>J9*101%</f>
        <v>848.66765</v>
      </c>
    </row>
    <row r="10" spans="1:14" ht="15.75" thickBot="1">
      <c r="A10" s="5" t="s">
        <v>81</v>
      </c>
      <c r="B10" s="3" t="s">
        <v>11</v>
      </c>
      <c r="C10" s="33">
        <v>768</v>
      </c>
      <c r="D10" s="34">
        <v>828</v>
      </c>
      <c r="E10" s="34">
        <v>1025</v>
      </c>
      <c r="F10" s="35">
        <f>G10</f>
        <v>1110</v>
      </c>
      <c r="G10" s="36">
        <v>1110</v>
      </c>
      <c r="H10" s="35">
        <f>G10</f>
        <v>1110</v>
      </c>
      <c r="I10" s="35">
        <f>J10*99%</f>
        <v>1073.6253</v>
      </c>
      <c r="J10" s="35">
        <f>G10*97.7%</f>
        <v>1084.47</v>
      </c>
      <c r="K10" s="35">
        <f>J10*101%</f>
        <v>1095.3147000000001</v>
      </c>
      <c r="L10" s="35">
        <f>M10*99%</f>
        <v>1052.152794</v>
      </c>
      <c r="M10" s="35">
        <f>J10*98%</f>
        <v>1062.7806</v>
      </c>
      <c r="N10" s="35">
        <f>J10*101%</f>
        <v>1095.3147000000001</v>
      </c>
    </row>
    <row r="11" spans="1:14" ht="75.75" thickBot="1">
      <c r="A11" s="5" t="s">
        <v>82</v>
      </c>
      <c r="B11" s="3" t="s">
        <v>83</v>
      </c>
      <c r="C11" s="37">
        <f>C9/C6*1000</f>
        <v>11.744864470645437</v>
      </c>
      <c r="D11" s="38">
        <f>D9/D6*1000</f>
        <v>11.911997082776224</v>
      </c>
      <c r="E11" s="38">
        <f>E9/E6*1000</f>
        <v>11.20814032956185</v>
      </c>
      <c r="F11" s="39">
        <f aca="true" t="shared" si="0" ref="F11:N11">F9/F6*1000</f>
        <v>12.391667933708378</v>
      </c>
      <c r="G11" s="39">
        <f t="shared" si="0"/>
        <v>12.391667933708378</v>
      </c>
      <c r="H11" s="39">
        <f>H9/H6*1000</f>
        <v>12.391667933708378</v>
      </c>
      <c r="I11" s="39">
        <f t="shared" si="0"/>
        <v>12.57461578706037</v>
      </c>
      <c r="J11" s="39">
        <f t="shared" si="0"/>
        <v>12.574615787060369</v>
      </c>
      <c r="K11" s="39">
        <f t="shared" si="0"/>
        <v>12.574615787060369</v>
      </c>
      <c r="L11" s="39">
        <f t="shared" si="0"/>
        <v>12.463554411119697</v>
      </c>
      <c r="M11" s="39">
        <f t="shared" si="0"/>
        <v>12.463554411119697</v>
      </c>
      <c r="N11" s="39">
        <f t="shared" si="0"/>
        <v>12.574615787060369</v>
      </c>
    </row>
    <row r="12" spans="1:14" ht="75.75" thickBot="1">
      <c r="A12" s="5" t="s">
        <v>84</v>
      </c>
      <c r="B12" s="3" t="s">
        <v>83</v>
      </c>
      <c r="C12" s="37">
        <f>C10/C6*1000</f>
        <v>11.668895101495076</v>
      </c>
      <c r="D12" s="38">
        <f>D10/D6*1000</f>
        <v>12.580527531299381</v>
      </c>
      <c r="E12" s="38">
        <f>E10/E6*1000</f>
        <v>15.566861568835904</v>
      </c>
      <c r="F12" s="39">
        <f aca="true" t="shared" si="1" ref="F12:N12">F10/F6*1000</f>
        <v>16.876995590694847</v>
      </c>
      <c r="G12" s="39">
        <f t="shared" si="1"/>
        <v>16.876995590694847</v>
      </c>
      <c r="H12" s="39">
        <f t="shared" si="1"/>
        <v>16.876995590694847</v>
      </c>
      <c r="I12" s="39">
        <f t="shared" si="1"/>
        <v>16.22915816152447</v>
      </c>
      <c r="J12" s="39">
        <f t="shared" si="1"/>
        <v>16.22915816152447</v>
      </c>
      <c r="K12" s="39">
        <f t="shared" si="1"/>
        <v>16.22915816152447</v>
      </c>
      <c r="L12" s="39">
        <f t="shared" si="1"/>
        <v>15.608022569473976</v>
      </c>
      <c r="M12" s="39">
        <f t="shared" si="1"/>
        <v>15.608022569473974</v>
      </c>
      <c r="N12" s="39">
        <f t="shared" si="1"/>
        <v>16.22915816152447</v>
      </c>
    </row>
    <row r="13" spans="1:14" ht="45.75" thickBot="1">
      <c r="A13" s="5" t="s">
        <v>14</v>
      </c>
      <c r="B13" s="3" t="s">
        <v>15</v>
      </c>
      <c r="C13" s="37">
        <f>C11-C12</f>
        <v>0.07596936915036068</v>
      </c>
      <c r="D13" s="38">
        <f>D11-D12</f>
        <v>-0.6685304485231569</v>
      </c>
      <c r="E13" s="38">
        <f>E11-E12</f>
        <v>-4.358721239274054</v>
      </c>
      <c r="F13" s="39">
        <f aca="true" t="shared" si="2" ref="F13:N13">F11-F12</f>
        <v>-4.485327656986469</v>
      </c>
      <c r="G13" s="39">
        <f t="shared" si="2"/>
        <v>-4.485327656986469</v>
      </c>
      <c r="H13" s="39">
        <f t="shared" si="2"/>
        <v>-4.485327656986469</v>
      </c>
      <c r="I13" s="39">
        <f t="shared" si="2"/>
        <v>-3.6545423744641</v>
      </c>
      <c r="J13" s="39">
        <f t="shared" si="2"/>
        <v>-3.6545423744641017</v>
      </c>
      <c r="K13" s="39">
        <f t="shared" si="2"/>
        <v>-3.6545423744641017</v>
      </c>
      <c r="L13" s="39">
        <f t="shared" si="2"/>
        <v>-3.144468158354279</v>
      </c>
      <c r="M13" s="39">
        <f t="shared" si="2"/>
        <v>-3.144468158354277</v>
      </c>
      <c r="N13" s="39">
        <f t="shared" si="2"/>
        <v>-3.6545423744641017</v>
      </c>
    </row>
    <row r="14" spans="1:14" ht="15.75" thickBot="1">
      <c r="A14" s="5" t="s">
        <v>85</v>
      </c>
      <c r="B14" s="3" t="s">
        <v>11</v>
      </c>
      <c r="C14" s="33">
        <v>3125</v>
      </c>
      <c r="D14" s="34">
        <v>3546</v>
      </c>
      <c r="E14" s="34">
        <v>3597</v>
      </c>
      <c r="F14" s="35">
        <f>G14</f>
        <v>3723</v>
      </c>
      <c r="G14" s="35">
        <v>3723</v>
      </c>
      <c r="H14" s="35">
        <f>G14</f>
        <v>3723</v>
      </c>
      <c r="I14" s="35">
        <f>F14*99%</f>
        <v>3685.77</v>
      </c>
      <c r="J14" s="35">
        <f>G14*100.3%</f>
        <v>3734.1689999999994</v>
      </c>
      <c r="K14" s="35">
        <f>H14*101%</f>
        <v>3760.23</v>
      </c>
      <c r="L14" s="35">
        <f>I14*99%</f>
        <v>3648.9123</v>
      </c>
      <c r="M14" s="35">
        <f>J14*100.3%</f>
        <v>3745.371506999999</v>
      </c>
      <c r="N14" s="35">
        <f>K14*101%</f>
        <v>3797.8323</v>
      </c>
    </row>
    <row r="15" spans="1:14" ht="15.75" thickBot="1">
      <c r="A15" s="5" t="s">
        <v>86</v>
      </c>
      <c r="B15" s="3" t="s">
        <v>11</v>
      </c>
      <c r="C15" s="40">
        <v>3309</v>
      </c>
      <c r="D15" s="41">
        <v>3387</v>
      </c>
      <c r="E15" s="41">
        <v>3681</v>
      </c>
      <c r="F15" s="35">
        <f>G15</f>
        <v>3598</v>
      </c>
      <c r="G15" s="35">
        <v>3598</v>
      </c>
      <c r="H15" s="35">
        <f>G15</f>
        <v>3598</v>
      </c>
      <c r="I15" s="35">
        <f>F15*99%</f>
        <v>3562.02</v>
      </c>
      <c r="J15" s="35">
        <f>G15*100.3%</f>
        <v>3608.7939999999994</v>
      </c>
      <c r="K15" s="35">
        <f>H15*101%</f>
        <v>3633.98</v>
      </c>
      <c r="L15" s="35">
        <f>I15*99%</f>
        <v>3526.3998</v>
      </c>
      <c r="M15" s="35">
        <f>J15*100.3%</f>
        <v>3619.620381999999</v>
      </c>
      <c r="N15" s="35">
        <f>K15*101%</f>
        <v>3670.3198</v>
      </c>
    </row>
    <row r="16" spans="1:14" ht="45.75" thickBot="1">
      <c r="A16" s="5" t="s">
        <v>16</v>
      </c>
      <c r="B16" s="14" t="s">
        <v>15</v>
      </c>
      <c r="C16" s="42">
        <f>(C14-C15)/C6*1000</f>
        <v>-2.7956727847331955</v>
      </c>
      <c r="D16" s="43">
        <f>(D14-D15)/D6*1000</f>
        <v>2.4158259389814027</v>
      </c>
      <c r="E16" s="44">
        <f>(E14-E15)/E6*1000</f>
        <v>-1.2757232895436252</v>
      </c>
      <c r="F16" s="39">
        <f aca="true" t="shared" si="3" ref="F16:N16">(F14-F15)/F6*1000</f>
        <v>1.90056256651969</v>
      </c>
      <c r="G16" s="39">
        <f t="shared" si="3"/>
        <v>1.90056256651969</v>
      </c>
      <c r="H16" s="39">
        <f t="shared" si="3"/>
        <v>1.90056256651969</v>
      </c>
      <c r="I16" s="39">
        <f t="shared" si="3"/>
        <v>1.8706324473618994</v>
      </c>
      <c r="J16" s="39">
        <f t="shared" si="3"/>
        <v>1.876244344703985</v>
      </c>
      <c r="K16" s="39">
        <f t="shared" si="3"/>
        <v>1.870632447361899</v>
      </c>
      <c r="L16" s="39">
        <f t="shared" si="3"/>
        <v>1.8173956063672987</v>
      </c>
      <c r="M16" s="39">
        <f t="shared" si="3"/>
        <v>1.8467841783494536</v>
      </c>
      <c r="N16" s="39">
        <f t="shared" si="3"/>
        <v>1.8893387718355155</v>
      </c>
    </row>
    <row r="17" spans="1:14" ht="15.75" thickBot="1">
      <c r="A17" s="8" t="s">
        <v>17</v>
      </c>
      <c r="B17" s="4"/>
      <c r="C17" s="45"/>
      <c r="D17" s="46"/>
      <c r="E17" s="46"/>
      <c r="F17" s="39"/>
      <c r="G17" s="30"/>
      <c r="H17" s="39"/>
      <c r="I17" s="36"/>
      <c r="J17" s="36"/>
      <c r="K17" s="36"/>
      <c r="L17" s="36"/>
      <c r="M17" s="36"/>
      <c r="N17" s="36"/>
    </row>
    <row r="18" spans="1:16" ht="29.25" thickBot="1">
      <c r="A18" s="8" t="s">
        <v>18</v>
      </c>
      <c r="B18" s="3" t="s">
        <v>19</v>
      </c>
      <c r="C18" s="33">
        <v>4028.5</v>
      </c>
      <c r="D18" s="47">
        <v>3236.1</v>
      </c>
      <c r="E18" s="47">
        <v>4001.9</v>
      </c>
      <c r="F18" s="39">
        <f>G18</f>
        <v>3909</v>
      </c>
      <c r="G18" s="39">
        <v>3909</v>
      </c>
      <c r="H18" s="39">
        <f>G18</f>
        <v>3909</v>
      </c>
      <c r="I18" s="39">
        <f aca="true" t="shared" si="4" ref="I18:N18">I21+I28+I37+I40</f>
        <v>4857.804765000001</v>
      </c>
      <c r="J18" s="39">
        <f t="shared" si="4"/>
        <v>4906.873500000001</v>
      </c>
      <c r="K18" s="39">
        <f t="shared" si="4"/>
        <v>4955.9422349999995</v>
      </c>
      <c r="L18" s="39">
        <f t="shared" si="4"/>
        <v>5646.21706044</v>
      </c>
      <c r="M18" s="39">
        <f t="shared" si="4"/>
        <v>5740.203646</v>
      </c>
      <c r="N18" s="39">
        <f t="shared" si="4"/>
        <v>5797.605682459999</v>
      </c>
      <c r="P18" s="9"/>
    </row>
    <row r="19" spans="1:14" ht="75.75" thickBot="1">
      <c r="A19" s="5" t="s">
        <v>20</v>
      </c>
      <c r="B19" s="3" t="s">
        <v>21</v>
      </c>
      <c r="C19" s="33">
        <v>109.9</v>
      </c>
      <c r="D19" s="47">
        <v>78.21</v>
      </c>
      <c r="E19" s="47">
        <v>120.4</v>
      </c>
      <c r="F19" s="39">
        <v>95.11</v>
      </c>
      <c r="G19" s="39">
        <v>95.11</v>
      </c>
      <c r="H19" s="39">
        <v>95.11</v>
      </c>
      <c r="I19" s="39">
        <v>121</v>
      </c>
      <c r="J19" s="39">
        <v>122.2</v>
      </c>
      <c r="K19" s="39">
        <v>123.44</v>
      </c>
      <c r="L19" s="39">
        <v>113.17</v>
      </c>
      <c r="M19" s="39">
        <v>112.7</v>
      </c>
      <c r="N19" s="39">
        <v>113.9</v>
      </c>
    </row>
    <row r="20" spans="1:14" ht="15.75" thickBot="1">
      <c r="A20" s="8" t="s">
        <v>22</v>
      </c>
      <c r="B20" s="4"/>
      <c r="C20" s="45"/>
      <c r="D20" s="34"/>
      <c r="E20" s="34"/>
      <c r="F20" s="39"/>
      <c r="G20" s="30"/>
      <c r="H20" s="39"/>
      <c r="I20" s="48"/>
      <c r="J20" s="48"/>
      <c r="K20" s="48"/>
      <c r="L20" s="48"/>
      <c r="M20" s="48"/>
      <c r="N20" s="48"/>
    </row>
    <row r="21" spans="1:14" ht="75.75" thickBot="1">
      <c r="A21" s="5" t="s">
        <v>23</v>
      </c>
      <c r="B21" s="3" t="s">
        <v>19</v>
      </c>
      <c r="C21" s="33">
        <v>702.9</v>
      </c>
      <c r="D21" s="47">
        <v>675.8</v>
      </c>
      <c r="E21" s="47">
        <v>1350.6</v>
      </c>
      <c r="F21" s="39">
        <f>G21</f>
        <v>1778.2</v>
      </c>
      <c r="G21" s="39">
        <v>1778.2</v>
      </c>
      <c r="H21" s="39">
        <f>G21</f>
        <v>1778.2</v>
      </c>
      <c r="I21" s="39">
        <f aca="true" t="shared" si="5" ref="I21:N21">I23+I25</f>
        <v>2220.2334</v>
      </c>
      <c r="J21" s="39">
        <f t="shared" si="5"/>
        <v>2242.66</v>
      </c>
      <c r="K21" s="39">
        <f t="shared" si="5"/>
        <v>2265.0866</v>
      </c>
      <c r="L21" s="39">
        <f t="shared" si="5"/>
        <v>2577.524796</v>
      </c>
      <c r="M21" s="39">
        <f t="shared" si="5"/>
        <v>2603.5604</v>
      </c>
      <c r="N21" s="39">
        <f t="shared" si="5"/>
        <v>2629.5960039999995</v>
      </c>
    </row>
    <row r="22" spans="1:14" ht="75.75" thickBot="1">
      <c r="A22" s="5" t="s">
        <v>24</v>
      </c>
      <c r="B22" s="3" t="s">
        <v>21</v>
      </c>
      <c r="C22" s="33">
        <v>65.2</v>
      </c>
      <c r="D22" s="47">
        <v>94.8</v>
      </c>
      <c r="E22" s="47">
        <v>197</v>
      </c>
      <c r="F22" s="39">
        <v>129.8</v>
      </c>
      <c r="G22" s="39">
        <v>129.8</v>
      </c>
      <c r="H22" s="39">
        <v>129.8</v>
      </c>
      <c r="I22" s="39">
        <v>123.13</v>
      </c>
      <c r="J22" s="39">
        <v>124.3</v>
      </c>
      <c r="K22" s="39">
        <v>125.6</v>
      </c>
      <c r="L22" s="39">
        <v>114.4</v>
      </c>
      <c r="M22" s="39">
        <v>114.48</v>
      </c>
      <c r="N22" s="39">
        <v>114.4</v>
      </c>
    </row>
    <row r="23" spans="1:14" ht="75.75" thickBot="1">
      <c r="A23" s="5" t="s">
        <v>25</v>
      </c>
      <c r="B23" s="3" t="s">
        <v>19</v>
      </c>
      <c r="C23" s="33">
        <v>663.4</v>
      </c>
      <c r="D23" s="47">
        <v>634.6</v>
      </c>
      <c r="E23" s="47">
        <v>1304.4</v>
      </c>
      <c r="F23" s="39">
        <f>G23</f>
        <v>1725</v>
      </c>
      <c r="G23" s="39">
        <v>1725</v>
      </c>
      <c r="H23" s="39">
        <f>G23</f>
        <v>1725</v>
      </c>
      <c r="I23" s="39">
        <f>J23*99%</f>
        <v>2151.765</v>
      </c>
      <c r="J23" s="39">
        <f>G23*126%</f>
        <v>2173.5</v>
      </c>
      <c r="K23" s="39">
        <f>J23*101%</f>
        <v>2195.235</v>
      </c>
      <c r="L23" s="39">
        <f>M23*99%</f>
        <v>2496.0474</v>
      </c>
      <c r="M23" s="39">
        <f>J23*116%</f>
        <v>2521.2599999999998</v>
      </c>
      <c r="N23" s="39">
        <f>M23*101%</f>
        <v>2546.4725999999996</v>
      </c>
    </row>
    <row r="24" spans="1:14" ht="75.75" thickBot="1">
      <c r="A24" s="5" t="s">
        <v>26</v>
      </c>
      <c r="B24" s="3" t="s">
        <v>21</v>
      </c>
      <c r="C24" s="33">
        <v>63.6</v>
      </c>
      <c r="D24" s="47">
        <v>94.3</v>
      </c>
      <c r="E24" s="47">
        <v>202.7</v>
      </c>
      <c r="F24" s="39">
        <v>130.4</v>
      </c>
      <c r="G24" s="39">
        <v>130.4</v>
      </c>
      <c r="H24" s="39">
        <v>130.4</v>
      </c>
      <c r="I24" s="39">
        <v>123</v>
      </c>
      <c r="J24" s="39">
        <v>124.2</v>
      </c>
      <c r="K24" s="39">
        <v>125.5</v>
      </c>
      <c r="L24" s="39">
        <v>114.4</v>
      </c>
      <c r="M24" s="39">
        <v>114.4</v>
      </c>
      <c r="N24" s="39">
        <v>114.4</v>
      </c>
    </row>
    <row r="25" spans="1:14" ht="75.75" thickBot="1">
      <c r="A25" s="5" t="s">
        <v>27</v>
      </c>
      <c r="B25" s="3" t="s">
        <v>19</v>
      </c>
      <c r="C25" s="33">
        <v>39.5</v>
      </c>
      <c r="D25" s="47">
        <v>41.2</v>
      </c>
      <c r="E25" s="47">
        <v>46.2</v>
      </c>
      <c r="F25" s="39">
        <f>G25</f>
        <v>53.2</v>
      </c>
      <c r="G25" s="39">
        <v>53.2</v>
      </c>
      <c r="H25" s="39">
        <f>G25</f>
        <v>53.2</v>
      </c>
      <c r="I25" s="39">
        <f>J25*99%</f>
        <v>68.46840000000002</v>
      </c>
      <c r="J25" s="39">
        <f>G25*130%</f>
        <v>69.16000000000001</v>
      </c>
      <c r="K25" s="39">
        <f>J25*101%</f>
        <v>69.8516</v>
      </c>
      <c r="L25" s="39">
        <f>M25*99%</f>
        <v>81.47739600000001</v>
      </c>
      <c r="M25" s="39">
        <f>J25*119%</f>
        <v>82.30040000000001</v>
      </c>
      <c r="N25" s="39">
        <f>M25*101%</f>
        <v>83.12340400000001</v>
      </c>
    </row>
    <row r="26" spans="1:14" ht="75.75" thickBot="1">
      <c r="A26" s="5" t="s">
        <v>28</v>
      </c>
      <c r="B26" s="3" t="s">
        <v>21</v>
      </c>
      <c r="C26" s="33">
        <v>108.8</v>
      </c>
      <c r="D26" s="38">
        <v>102.8</v>
      </c>
      <c r="E26" s="38">
        <v>110.5</v>
      </c>
      <c r="F26" s="39">
        <v>113.5</v>
      </c>
      <c r="G26" s="39">
        <v>113.5</v>
      </c>
      <c r="H26" s="39">
        <v>113.5</v>
      </c>
      <c r="I26" s="39">
        <v>126.9</v>
      </c>
      <c r="J26" s="39">
        <v>128.2</v>
      </c>
      <c r="K26" s="39">
        <v>129.5</v>
      </c>
      <c r="L26" s="39">
        <v>117.3</v>
      </c>
      <c r="M26" s="39">
        <v>117.28</v>
      </c>
      <c r="N26" s="39">
        <v>117.24</v>
      </c>
    </row>
    <row r="27" spans="1:14" ht="15.75" thickBot="1">
      <c r="A27" s="8" t="s">
        <v>29</v>
      </c>
      <c r="B27" s="4"/>
      <c r="C27" s="45"/>
      <c r="D27" s="34"/>
      <c r="E27" s="34"/>
      <c r="F27" s="39"/>
      <c r="G27" s="30"/>
      <c r="H27" s="39"/>
      <c r="I27" s="36"/>
      <c r="J27" s="36"/>
      <c r="K27" s="36"/>
      <c r="L27" s="36"/>
      <c r="M27" s="36"/>
      <c r="N27" s="36"/>
    </row>
    <row r="28" spans="1:14" ht="75.75" thickBot="1">
      <c r="A28" s="5" t="s">
        <v>30</v>
      </c>
      <c r="B28" s="3" t="s">
        <v>19</v>
      </c>
      <c r="C28" s="37">
        <v>3134</v>
      </c>
      <c r="D28" s="47">
        <v>2362.1</v>
      </c>
      <c r="E28" s="47">
        <v>2453.9</v>
      </c>
      <c r="F28" s="39">
        <f>G28</f>
        <v>1908.4</v>
      </c>
      <c r="G28" s="39">
        <v>1908.4</v>
      </c>
      <c r="H28" s="39">
        <f>G28</f>
        <v>1908.4</v>
      </c>
      <c r="I28" s="39">
        <f aca="true" t="shared" si="6" ref="I28:N28">I30+I32+I34</f>
        <v>2361.1069350000002</v>
      </c>
      <c r="J28" s="39">
        <f t="shared" si="6"/>
        <v>2384.9565000000002</v>
      </c>
      <c r="K28" s="39">
        <f t="shared" si="6"/>
        <v>2408.8060649999998</v>
      </c>
      <c r="L28" s="39">
        <f t="shared" si="6"/>
        <v>2784.45555234</v>
      </c>
      <c r="M28" s="39">
        <f t="shared" si="6"/>
        <v>2812.581366</v>
      </c>
      <c r="N28" s="39">
        <f t="shared" si="6"/>
        <v>2840.70717966</v>
      </c>
    </row>
    <row r="29" spans="1:14" ht="75.75" thickBot="1">
      <c r="A29" s="5" t="s">
        <v>31</v>
      </c>
      <c r="B29" s="3" t="s">
        <v>32</v>
      </c>
      <c r="C29" s="33">
        <v>127.4</v>
      </c>
      <c r="D29" s="47">
        <v>73.2</v>
      </c>
      <c r="E29" s="47">
        <v>100.9</v>
      </c>
      <c r="F29" s="39">
        <v>75.57</v>
      </c>
      <c r="G29" s="39">
        <v>75.57</v>
      </c>
      <c r="H29" s="39">
        <v>75.57</v>
      </c>
      <c r="I29" s="39">
        <v>120.2</v>
      </c>
      <c r="J29" s="39">
        <v>121.4</v>
      </c>
      <c r="K29" s="39">
        <v>122.6</v>
      </c>
      <c r="L29" s="39">
        <v>114.6</v>
      </c>
      <c r="M29" s="39">
        <v>114.6</v>
      </c>
      <c r="N29" s="39">
        <v>114.6</v>
      </c>
    </row>
    <row r="30" spans="1:14" ht="75.75" thickBot="1">
      <c r="A30" s="5" t="s">
        <v>33</v>
      </c>
      <c r="B30" s="3" t="s">
        <v>19</v>
      </c>
      <c r="C30" s="33">
        <v>180.6</v>
      </c>
      <c r="D30" s="47">
        <v>173.6</v>
      </c>
      <c r="E30" s="47">
        <v>120</v>
      </c>
      <c r="F30" s="39">
        <f>G30</f>
        <v>128.6</v>
      </c>
      <c r="G30" s="39">
        <v>128.6</v>
      </c>
      <c r="H30" s="39">
        <f>G30</f>
        <v>128.6</v>
      </c>
      <c r="I30" s="49">
        <f>J30*99%</f>
        <v>159.1425</v>
      </c>
      <c r="J30" s="49">
        <f>G30*125%</f>
        <v>160.75</v>
      </c>
      <c r="K30" s="49">
        <f>J30*101%</f>
        <v>162.3575</v>
      </c>
      <c r="L30" s="49">
        <f>M30*99%</f>
        <v>187.78815</v>
      </c>
      <c r="M30" s="49">
        <f>J30*118%</f>
        <v>189.685</v>
      </c>
      <c r="N30" s="49">
        <f>M30*101%</f>
        <v>191.58185</v>
      </c>
    </row>
    <row r="31" spans="1:14" ht="75.75" thickBot="1">
      <c r="A31" s="5" t="s">
        <v>34</v>
      </c>
      <c r="B31" s="3" t="s">
        <v>21</v>
      </c>
      <c r="C31" s="33">
        <v>85.2</v>
      </c>
      <c r="D31" s="47">
        <v>93.4</v>
      </c>
      <c r="E31" s="47">
        <v>67.17</v>
      </c>
      <c r="F31" s="39">
        <v>104.1</v>
      </c>
      <c r="G31" s="39">
        <v>104.1</v>
      </c>
      <c r="H31" s="39">
        <v>104.1</v>
      </c>
      <c r="I31" s="49">
        <v>120.2</v>
      </c>
      <c r="J31" s="49">
        <v>121.4</v>
      </c>
      <c r="K31" s="49">
        <v>122.6</v>
      </c>
      <c r="L31" s="49">
        <v>114.6</v>
      </c>
      <c r="M31" s="49">
        <v>114.6</v>
      </c>
      <c r="N31" s="49">
        <v>114.6</v>
      </c>
    </row>
    <row r="32" spans="1:14" ht="120.75" thickBot="1">
      <c r="A32" s="5" t="s">
        <v>35</v>
      </c>
      <c r="B32" s="3" t="s">
        <v>19</v>
      </c>
      <c r="C32" s="33">
        <v>43.8</v>
      </c>
      <c r="D32" s="47">
        <v>84</v>
      </c>
      <c r="E32" s="47">
        <v>82.5</v>
      </c>
      <c r="F32" s="39">
        <f>G32</f>
        <v>83.7</v>
      </c>
      <c r="G32" s="39">
        <v>83.7</v>
      </c>
      <c r="H32" s="39">
        <f>G32</f>
        <v>83.7</v>
      </c>
      <c r="I32" s="39">
        <f>J32*99%</f>
        <v>103.164435</v>
      </c>
      <c r="J32" s="39">
        <f>G32*124.5%</f>
        <v>104.2065</v>
      </c>
      <c r="K32" s="39">
        <f>J32*101%</f>
        <v>105.24856500000001</v>
      </c>
      <c r="L32" s="39">
        <f>M32*99%</f>
        <v>120.08340234000002</v>
      </c>
      <c r="M32" s="39">
        <f>J32*116.4%</f>
        <v>121.29636600000002</v>
      </c>
      <c r="N32" s="39">
        <f>M32*101%</f>
        <v>122.50932966000002</v>
      </c>
    </row>
    <row r="33" spans="1:14" ht="75.75" thickBot="1">
      <c r="A33" s="5" t="s">
        <v>36</v>
      </c>
      <c r="B33" s="3" t="s">
        <v>21</v>
      </c>
      <c r="C33" s="37">
        <v>100</v>
      </c>
      <c r="D33" s="47">
        <v>186.3</v>
      </c>
      <c r="E33" s="47">
        <v>95.44</v>
      </c>
      <c r="F33" s="39">
        <v>98.5</v>
      </c>
      <c r="G33" s="39">
        <v>98.5</v>
      </c>
      <c r="H33" s="39">
        <v>98.5</v>
      </c>
      <c r="I33" s="39">
        <v>119.8</v>
      </c>
      <c r="J33" s="39">
        <v>120.9</v>
      </c>
      <c r="K33" s="39">
        <v>122.1</v>
      </c>
      <c r="L33" s="39">
        <v>113</v>
      </c>
      <c r="M33" s="39">
        <v>113.1</v>
      </c>
      <c r="N33" s="39">
        <v>113.1</v>
      </c>
    </row>
    <row r="34" spans="1:14" ht="75.75" thickBot="1">
      <c r="A34" s="5" t="s">
        <v>95</v>
      </c>
      <c r="B34" s="3" t="s">
        <v>19</v>
      </c>
      <c r="C34" s="33">
        <v>2909.6</v>
      </c>
      <c r="D34" s="47">
        <v>2104.5</v>
      </c>
      <c r="E34" s="47">
        <v>2251.3</v>
      </c>
      <c r="F34" s="39">
        <f>G34</f>
        <v>1696</v>
      </c>
      <c r="G34" s="39">
        <v>1696</v>
      </c>
      <c r="H34" s="39">
        <f>G34</f>
        <v>1696</v>
      </c>
      <c r="I34" s="39">
        <f>J34*99%</f>
        <v>2098.8</v>
      </c>
      <c r="J34" s="39">
        <f>G34*125%</f>
        <v>2120</v>
      </c>
      <c r="K34" s="39">
        <f>J34*101%</f>
        <v>2141.2</v>
      </c>
      <c r="L34" s="39">
        <f>M34*99%</f>
        <v>2476.584</v>
      </c>
      <c r="M34" s="39">
        <f>J34*118%</f>
        <v>2501.6</v>
      </c>
      <c r="N34" s="39">
        <f>M34*101%</f>
        <v>2526.616</v>
      </c>
    </row>
    <row r="35" spans="1:14" ht="75.75" thickBot="1">
      <c r="A35" s="5" t="s">
        <v>96</v>
      </c>
      <c r="B35" s="3" t="s">
        <v>21</v>
      </c>
      <c r="C35" s="37">
        <v>132</v>
      </c>
      <c r="D35" s="47">
        <v>70.2</v>
      </c>
      <c r="E35" s="47">
        <v>103.9</v>
      </c>
      <c r="F35" s="39">
        <v>73.2</v>
      </c>
      <c r="G35" s="39">
        <v>73.2</v>
      </c>
      <c r="H35" s="39">
        <v>73.2</v>
      </c>
      <c r="I35" s="39">
        <v>120.2</v>
      </c>
      <c r="J35" s="39">
        <v>121.4</v>
      </c>
      <c r="K35" s="39">
        <v>122.6</v>
      </c>
      <c r="L35" s="39">
        <v>114.6</v>
      </c>
      <c r="M35" s="39">
        <v>113.5</v>
      </c>
      <c r="N35" s="39">
        <v>114.6</v>
      </c>
    </row>
    <row r="36" spans="1:14" ht="43.5" thickBot="1">
      <c r="A36" s="8" t="s">
        <v>37</v>
      </c>
      <c r="B36" s="4"/>
      <c r="C36" s="45"/>
      <c r="D36" s="34"/>
      <c r="E36" s="34"/>
      <c r="F36" s="39"/>
      <c r="G36" s="30"/>
      <c r="H36" s="39"/>
      <c r="I36" s="36"/>
      <c r="J36" s="36"/>
      <c r="K36" s="36"/>
      <c r="L36" s="36"/>
      <c r="M36" s="36"/>
      <c r="N36" s="36"/>
    </row>
    <row r="37" spans="1:14" ht="105.75" thickBot="1">
      <c r="A37" s="5" t="s">
        <v>38</v>
      </c>
      <c r="B37" s="3" t="s">
        <v>19</v>
      </c>
      <c r="C37" s="33">
        <v>141.5</v>
      </c>
      <c r="D37" s="47">
        <v>146.1</v>
      </c>
      <c r="E37" s="47">
        <v>151.1</v>
      </c>
      <c r="F37" s="39">
        <f>G37</f>
        <v>174.6</v>
      </c>
      <c r="G37" s="39">
        <v>174.6</v>
      </c>
      <c r="H37" s="39">
        <f>G37</f>
        <v>174.6</v>
      </c>
      <c r="I37" s="39">
        <f>J37*99%</f>
        <v>215.20323000000002</v>
      </c>
      <c r="J37" s="39">
        <f>G37*124.5%</f>
        <v>217.377</v>
      </c>
      <c r="K37" s="39">
        <f>J37*101%</f>
        <v>219.55077</v>
      </c>
      <c r="L37" s="39">
        <f>I37*99%</f>
        <v>213.05119770000002</v>
      </c>
      <c r="M37" s="39">
        <f>J37*116%</f>
        <v>252.15732</v>
      </c>
      <c r="N37" s="39">
        <f>M37*101%</f>
        <v>254.6788932</v>
      </c>
    </row>
    <row r="38" spans="1:14" ht="75.75" thickBot="1">
      <c r="A38" s="5" t="s">
        <v>39</v>
      </c>
      <c r="B38" s="3" t="s">
        <v>21</v>
      </c>
      <c r="C38" s="33">
        <v>136.2</v>
      </c>
      <c r="D38" s="47">
        <v>99.2</v>
      </c>
      <c r="E38" s="47">
        <v>99.4</v>
      </c>
      <c r="F38" s="39">
        <v>111.1</v>
      </c>
      <c r="G38" s="39">
        <v>111.1</v>
      </c>
      <c r="H38" s="39">
        <v>111.1</v>
      </c>
      <c r="I38" s="39">
        <v>118.5</v>
      </c>
      <c r="J38" s="39">
        <v>119.7</v>
      </c>
      <c r="K38" s="39">
        <v>120.9</v>
      </c>
      <c r="L38" s="39">
        <v>95.2</v>
      </c>
      <c r="M38" s="39">
        <v>111.5</v>
      </c>
      <c r="N38" s="39">
        <v>111.5</v>
      </c>
    </row>
    <row r="39" spans="1:14" ht="57.75" thickBot="1">
      <c r="A39" s="8" t="s">
        <v>40</v>
      </c>
      <c r="B39" s="4"/>
      <c r="C39" s="45"/>
      <c r="D39" s="34"/>
      <c r="E39" s="34"/>
      <c r="F39" s="39"/>
      <c r="G39" s="30"/>
      <c r="H39" s="39"/>
      <c r="I39" s="36"/>
      <c r="J39" s="36"/>
      <c r="K39" s="36"/>
      <c r="L39" s="36"/>
      <c r="M39" s="36"/>
      <c r="N39" s="36"/>
    </row>
    <row r="40" spans="1:14" ht="120.75" thickBot="1">
      <c r="A40" s="5" t="s">
        <v>41</v>
      </c>
      <c r="B40" s="3" t="s">
        <v>19</v>
      </c>
      <c r="C40" s="33">
        <v>50.2</v>
      </c>
      <c r="D40" s="38">
        <v>51.9</v>
      </c>
      <c r="E40" s="38">
        <v>46.2</v>
      </c>
      <c r="F40" s="39">
        <f>G40</f>
        <v>47.6</v>
      </c>
      <c r="G40" s="39">
        <v>47.6</v>
      </c>
      <c r="H40" s="39">
        <f>G40</f>
        <v>47.6</v>
      </c>
      <c r="I40" s="39">
        <f>J40*99%</f>
        <v>61.2612</v>
      </c>
      <c r="J40" s="39">
        <f>G40*130%</f>
        <v>61.88</v>
      </c>
      <c r="K40" s="39">
        <f>J40*101%</f>
        <v>62.4988</v>
      </c>
      <c r="L40" s="39">
        <f>M40*99%</f>
        <v>71.1855144</v>
      </c>
      <c r="M40" s="39">
        <f>J40*116.2%</f>
        <v>71.90456</v>
      </c>
      <c r="N40" s="39">
        <f>M40*101%</f>
        <v>72.6236056</v>
      </c>
    </row>
    <row r="41" spans="1:14" ht="75.75" thickBot="1">
      <c r="A41" s="5" t="s">
        <v>42</v>
      </c>
      <c r="B41" s="3" t="s">
        <v>21</v>
      </c>
      <c r="C41" s="33">
        <v>64.7</v>
      </c>
      <c r="D41" s="47">
        <v>99.4</v>
      </c>
      <c r="E41" s="47">
        <v>85.5</v>
      </c>
      <c r="F41" s="39">
        <v>99</v>
      </c>
      <c r="G41" s="39">
        <v>99</v>
      </c>
      <c r="H41" s="39">
        <f>G41</f>
        <v>99</v>
      </c>
      <c r="I41" s="39">
        <v>123.8</v>
      </c>
      <c r="J41" s="39">
        <v>125</v>
      </c>
      <c r="K41" s="39">
        <v>126.2</v>
      </c>
      <c r="L41" s="39">
        <v>111.6</v>
      </c>
      <c r="M41" s="39">
        <v>110.6</v>
      </c>
      <c r="N41" s="39">
        <v>111.6</v>
      </c>
    </row>
    <row r="42" spans="1:14" ht="15.75" thickBot="1">
      <c r="A42" s="8" t="s">
        <v>43</v>
      </c>
      <c r="B42" s="4"/>
      <c r="C42" s="45"/>
      <c r="D42" s="34"/>
      <c r="E42" s="34"/>
      <c r="F42" s="39"/>
      <c r="G42" s="30"/>
      <c r="H42" s="39"/>
      <c r="I42" s="36"/>
      <c r="J42" s="36"/>
      <c r="K42" s="36"/>
      <c r="L42" s="36"/>
      <c r="M42" s="36"/>
      <c r="N42" s="36"/>
    </row>
    <row r="43" spans="1:14" ht="15.75" thickBot="1">
      <c r="A43" s="5" t="s">
        <v>44</v>
      </c>
      <c r="B43" s="3" t="s">
        <v>19</v>
      </c>
      <c r="C43" s="33">
        <v>1230.8</v>
      </c>
      <c r="D43" s="34">
        <v>1378.1</v>
      </c>
      <c r="E43" s="34">
        <v>1263.2</v>
      </c>
      <c r="F43" s="39">
        <f>G43</f>
        <v>1319</v>
      </c>
      <c r="G43" s="39">
        <v>1319</v>
      </c>
      <c r="H43" s="39">
        <f>G43</f>
        <v>1319</v>
      </c>
      <c r="I43" s="39">
        <f aca="true" t="shared" si="7" ref="I43:N43">I46+I48</f>
        <v>1599.4959750000003</v>
      </c>
      <c r="J43" s="39">
        <f t="shared" si="7"/>
        <v>1615.6525000000001</v>
      </c>
      <c r="K43" s="39">
        <f t="shared" si="7"/>
        <v>1631.809025</v>
      </c>
      <c r="L43" s="39">
        <f t="shared" si="7"/>
        <v>2023.362408375</v>
      </c>
      <c r="M43" s="39">
        <f t="shared" si="7"/>
        <v>2043.8004125000002</v>
      </c>
      <c r="N43" s="39">
        <f t="shared" si="7"/>
        <v>2064.2384166250004</v>
      </c>
    </row>
    <row r="44" spans="1:14" ht="75.75" thickBot="1">
      <c r="A44" s="5" t="s">
        <v>45</v>
      </c>
      <c r="B44" s="3" t="s">
        <v>21</v>
      </c>
      <c r="C44" s="33">
        <v>90.2</v>
      </c>
      <c r="D44" s="47">
        <v>108.6</v>
      </c>
      <c r="E44" s="47">
        <v>88.9</v>
      </c>
      <c r="F44" s="39">
        <v>101.2</v>
      </c>
      <c r="G44" s="39">
        <v>101.2</v>
      </c>
      <c r="H44" s="39">
        <v>101.2</v>
      </c>
      <c r="I44" s="39">
        <v>117.6</v>
      </c>
      <c r="J44" s="39">
        <v>118.8</v>
      </c>
      <c r="K44" s="39">
        <v>119.9</v>
      </c>
      <c r="L44" s="39">
        <v>122.6</v>
      </c>
      <c r="M44" s="39">
        <v>122.6</v>
      </c>
      <c r="N44" s="39">
        <v>122.6</v>
      </c>
    </row>
    <row r="45" spans="1:14" ht="45.75" thickBot="1">
      <c r="A45" s="5" t="s">
        <v>46</v>
      </c>
      <c r="B45" s="4"/>
      <c r="C45" s="45"/>
      <c r="D45" s="34"/>
      <c r="E45" s="34"/>
      <c r="F45" s="39"/>
      <c r="G45" s="30"/>
      <c r="H45" s="39"/>
      <c r="I45" s="36"/>
      <c r="J45" s="36"/>
      <c r="K45" s="36"/>
      <c r="L45" s="36"/>
      <c r="M45" s="36"/>
      <c r="N45" s="36"/>
    </row>
    <row r="46" spans="1:14" ht="15.75" thickBot="1">
      <c r="A46" s="5" t="s">
        <v>47</v>
      </c>
      <c r="B46" s="3" t="s">
        <v>48</v>
      </c>
      <c r="C46" s="33">
        <v>614.2</v>
      </c>
      <c r="D46" s="34">
        <v>752.3</v>
      </c>
      <c r="E46" s="34">
        <v>648.2</v>
      </c>
      <c r="F46" s="39">
        <f>G46</f>
        <v>673</v>
      </c>
      <c r="G46" s="39">
        <v>673</v>
      </c>
      <c r="H46" s="39">
        <f>G46</f>
        <v>673</v>
      </c>
      <c r="I46" s="39">
        <f>J46*99%</f>
        <v>816.1807500000001</v>
      </c>
      <c r="J46" s="39">
        <f>G46*122.5%</f>
        <v>824.4250000000001</v>
      </c>
      <c r="K46" s="39">
        <f>J46*101%</f>
        <v>832.66925</v>
      </c>
      <c r="L46" s="39">
        <f>M46*99%</f>
        <v>1032.46864875</v>
      </c>
      <c r="M46" s="39">
        <f>J46*126.5%</f>
        <v>1042.897625</v>
      </c>
      <c r="N46" s="39">
        <f>M46*101%</f>
        <v>1053.32660125</v>
      </c>
    </row>
    <row r="47" spans="1:14" ht="75.75" thickBot="1">
      <c r="A47" s="5" t="s">
        <v>49</v>
      </c>
      <c r="B47" s="3" t="s">
        <v>21</v>
      </c>
      <c r="C47" s="33">
        <v>86.2</v>
      </c>
      <c r="D47" s="47">
        <v>118.8</v>
      </c>
      <c r="E47" s="47">
        <v>83.5</v>
      </c>
      <c r="F47" s="39">
        <v>100.7</v>
      </c>
      <c r="G47" s="39">
        <v>100.7</v>
      </c>
      <c r="H47" s="39">
        <v>100.7</v>
      </c>
      <c r="I47" s="39">
        <v>117.6</v>
      </c>
      <c r="J47" s="39">
        <v>118.8</v>
      </c>
      <c r="K47" s="39">
        <v>120</v>
      </c>
      <c r="L47" s="39">
        <v>122.6</v>
      </c>
      <c r="M47" s="39">
        <v>122.7</v>
      </c>
      <c r="N47" s="39">
        <v>122.7</v>
      </c>
    </row>
    <row r="48" spans="1:14" ht="15.75" thickBot="1">
      <c r="A48" s="5" t="s">
        <v>50</v>
      </c>
      <c r="B48" s="3" t="s">
        <v>48</v>
      </c>
      <c r="C48" s="33">
        <v>616.5</v>
      </c>
      <c r="D48" s="34">
        <v>625.9</v>
      </c>
      <c r="E48" s="34">
        <v>615</v>
      </c>
      <c r="F48" s="39">
        <f>G48</f>
        <v>645.9</v>
      </c>
      <c r="G48" s="39">
        <v>645.9</v>
      </c>
      <c r="H48" s="39">
        <f>G48</f>
        <v>645.9</v>
      </c>
      <c r="I48" s="39">
        <f>J48*99%</f>
        <v>783.315225</v>
      </c>
      <c r="J48" s="39">
        <f>G48*122.5%</f>
        <v>791.2275000000001</v>
      </c>
      <c r="K48" s="39">
        <f>J48*101%</f>
        <v>799.1397750000001</v>
      </c>
      <c r="L48" s="39">
        <f>M48*99%</f>
        <v>990.893759625</v>
      </c>
      <c r="M48" s="39">
        <f>J48*126.5%</f>
        <v>1000.9027875</v>
      </c>
      <c r="N48" s="39">
        <f>M48*101%</f>
        <v>1010.9118153750001</v>
      </c>
    </row>
    <row r="49" spans="1:14" ht="75.75" thickBot="1">
      <c r="A49" s="5" t="s">
        <v>51</v>
      </c>
      <c r="B49" s="3" t="s">
        <v>21</v>
      </c>
      <c r="C49" s="33">
        <v>95.1</v>
      </c>
      <c r="D49" s="47">
        <v>98.4</v>
      </c>
      <c r="E49" s="47">
        <v>95.3</v>
      </c>
      <c r="F49" s="39">
        <v>101.8</v>
      </c>
      <c r="G49" s="39">
        <v>101.8</v>
      </c>
      <c r="H49" s="39">
        <v>101.8</v>
      </c>
      <c r="I49" s="39">
        <v>117.6</v>
      </c>
      <c r="J49" s="39" t="s">
        <v>100</v>
      </c>
      <c r="K49" s="39">
        <v>119.9</v>
      </c>
      <c r="L49" s="39">
        <v>122.6</v>
      </c>
      <c r="M49" s="39">
        <v>122.7</v>
      </c>
      <c r="N49" s="39">
        <v>122.7</v>
      </c>
    </row>
    <row r="50" spans="1:14" ht="15.75" thickBot="1">
      <c r="A50" s="8" t="s">
        <v>52</v>
      </c>
      <c r="B50" s="4"/>
      <c r="C50" s="45"/>
      <c r="D50" s="34"/>
      <c r="E50" s="34"/>
      <c r="F50" s="39"/>
      <c r="G50" s="30"/>
      <c r="H50" s="39"/>
      <c r="I50" s="36"/>
      <c r="J50" s="36"/>
      <c r="K50" s="36"/>
      <c r="L50" s="36"/>
      <c r="M50" s="36"/>
      <c r="N50" s="36"/>
    </row>
    <row r="51" spans="1:15" ht="75.75" thickBot="1">
      <c r="A51" s="5" t="s">
        <v>53</v>
      </c>
      <c r="B51" s="3" t="s">
        <v>54</v>
      </c>
      <c r="C51" s="33">
        <v>901.5</v>
      </c>
      <c r="D51" s="47">
        <v>901.5</v>
      </c>
      <c r="E51" s="47">
        <v>901.5</v>
      </c>
      <c r="F51" s="39">
        <f>G51</f>
        <v>901.5</v>
      </c>
      <c r="G51" s="39">
        <v>901.5</v>
      </c>
      <c r="H51" s="39">
        <f>G51</f>
        <v>901.5</v>
      </c>
      <c r="I51" s="39">
        <f>J51</f>
        <v>901.5</v>
      </c>
      <c r="J51" s="39">
        <v>901.5</v>
      </c>
      <c r="K51" s="39">
        <f>J51</f>
        <v>901.5</v>
      </c>
      <c r="L51" s="39">
        <f>M51</f>
        <v>911.6</v>
      </c>
      <c r="M51" s="39">
        <v>911.6</v>
      </c>
      <c r="N51" s="39">
        <f>M51</f>
        <v>911.6</v>
      </c>
      <c r="O51" s="16"/>
    </row>
    <row r="52" spans="1:14" ht="15.75" thickBot="1">
      <c r="A52" s="8" t="s">
        <v>55</v>
      </c>
      <c r="B52" s="4"/>
      <c r="C52" s="45"/>
      <c r="D52" s="34"/>
      <c r="E52" s="34"/>
      <c r="F52" s="39"/>
      <c r="G52" s="30"/>
      <c r="H52" s="39"/>
      <c r="I52" s="36"/>
      <c r="J52" s="36"/>
      <c r="K52" s="36"/>
      <c r="L52" s="36"/>
      <c r="M52" s="36"/>
      <c r="N52" s="36"/>
    </row>
    <row r="53" spans="1:14" ht="60.75" thickBot="1">
      <c r="A53" s="5" t="s">
        <v>56</v>
      </c>
      <c r="B53" s="3" t="s">
        <v>57</v>
      </c>
      <c r="C53" s="37">
        <v>2294</v>
      </c>
      <c r="D53" s="47">
        <v>2349.7</v>
      </c>
      <c r="E53" s="47">
        <v>2862.31</v>
      </c>
      <c r="F53" s="39">
        <f>G53</f>
        <v>3205.43</v>
      </c>
      <c r="G53" s="39">
        <v>3205.43</v>
      </c>
      <c r="H53" s="39">
        <f>G53</f>
        <v>3205.43</v>
      </c>
      <c r="I53" s="39">
        <f>J53*99%</f>
        <v>3808.0508399999994</v>
      </c>
      <c r="J53" s="39">
        <f>G53*120%</f>
        <v>3846.5159999999996</v>
      </c>
      <c r="K53" s="39">
        <f>J53*101%</f>
        <v>3884.98116</v>
      </c>
      <c r="L53" s="39">
        <f>M53*99%</f>
        <v>4417.338974399999</v>
      </c>
      <c r="M53" s="39">
        <f>J53*116%</f>
        <v>4461.958559999999</v>
      </c>
      <c r="N53" s="39">
        <f>M53*101%</f>
        <v>4506.5781455999995</v>
      </c>
    </row>
    <row r="54" spans="1:14" ht="75.75" thickBot="1">
      <c r="A54" s="5" t="s">
        <v>58</v>
      </c>
      <c r="B54" s="3" t="s">
        <v>21</v>
      </c>
      <c r="C54" s="33">
        <v>115.6</v>
      </c>
      <c r="D54" s="47">
        <v>98.2</v>
      </c>
      <c r="E54" s="47">
        <v>116.9</v>
      </c>
      <c r="F54" s="39">
        <v>107.47</v>
      </c>
      <c r="G54" s="39">
        <v>107.5</v>
      </c>
      <c r="H54" s="39">
        <v>107.5</v>
      </c>
      <c r="I54" s="39">
        <v>114</v>
      </c>
      <c r="J54" s="39">
        <v>115.1</v>
      </c>
      <c r="K54" s="39">
        <v>116.3</v>
      </c>
      <c r="L54" s="39">
        <v>111.3</v>
      </c>
      <c r="M54" s="39">
        <v>111.3</v>
      </c>
      <c r="N54" s="39">
        <v>111.3</v>
      </c>
    </row>
    <row r="55" spans="1:14" ht="30.75" thickBot="1">
      <c r="A55" s="5" t="s">
        <v>87</v>
      </c>
      <c r="B55" s="3" t="s">
        <v>88</v>
      </c>
      <c r="C55" s="33">
        <v>103.2</v>
      </c>
      <c r="D55" s="47">
        <v>103.8</v>
      </c>
      <c r="E55" s="47">
        <v>103.6</v>
      </c>
      <c r="F55" s="39">
        <f>G55</f>
        <v>104.3</v>
      </c>
      <c r="G55" s="39">
        <v>104.3</v>
      </c>
      <c r="H55" s="39">
        <f>G55</f>
        <v>104.3</v>
      </c>
      <c r="I55" s="39">
        <v>104.2</v>
      </c>
      <c r="J55" s="39">
        <v>104.2</v>
      </c>
      <c r="K55" s="39">
        <v>104.2</v>
      </c>
      <c r="L55" s="39">
        <v>104.5</v>
      </c>
      <c r="M55" s="39">
        <v>104.5</v>
      </c>
      <c r="N55" s="39">
        <v>104.5</v>
      </c>
    </row>
    <row r="56" spans="1:14" ht="15.75" thickBot="1">
      <c r="A56" s="8" t="s">
        <v>59</v>
      </c>
      <c r="B56" s="4"/>
      <c r="C56" s="45"/>
      <c r="D56" s="34"/>
      <c r="E56" s="34"/>
      <c r="F56" s="39"/>
      <c r="G56" s="30"/>
      <c r="H56" s="39"/>
      <c r="I56" s="36"/>
      <c r="J56" s="36"/>
      <c r="K56" s="36"/>
      <c r="L56" s="36"/>
      <c r="M56" s="36"/>
      <c r="N56" s="36"/>
    </row>
    <row r="57" spans="1:14" ht="60.75" thickBot="1">
      <c r="A57" s="5" t="s">
        <v>60</v>
      </c>
      <c r="B57" s="3" t="s">
        <v>57</v>
      </c>
      <c r="C57" s="33">
        <v>2165.5</v>
      </c>
      <c r="D57" s="47">
        <v>2153.7</v>
      </c>
      <c r="E57" s="47">
        <v>2261.4</v>
      </c>
      <c r="F57" s="39">
        <f>G57</f>
        <v>2044.3</v>
      </c>
      <c r="G57" s="39">
        <v>2044.3</v>
      </c>
      <c r="H57" s="39">
        <f>G57</f>
        <v>2044.3</v>
      </c>
      <c r="I57" s="39">
        <f>J57*99%</f>
        <v>2529.82125</v>
      </c>
      <c r="J57" s="39">
        <f>G57*125%</f>
        <v>2555.375</v>
      </c>
      <c r="K57" s="39">
        <f>J57*101%</f>
        <v>2580.92875</v>
      </c>
      <c r="L57" s="39">
        <f>M57*99%</f>
        <v>3288.767625</v>
      </c>
      <c r="M57" s="39">
        <f>J57*130%</f>
        <v>3321.9875</v>
      </c>
      <c r="N57" s="39">
        <f>M57*101%</f>
        <v>3355.2073750000004</v>
      </c>
    </row>
    <row r="58" spans="1:14" ht="75.75" thickBot="1">
      <c r="A58" s="5" t="s">
        <v>89</v>
      </c>
      <c r="B58" s="3" t="s">
        <v>21</v>
      </c>
      <c r="C58" s="33">
        <v>104.5</v>
      </c>
      <c r="D58" s="47">
        <v>95.9</v>
      </c>
      <c r="E58" s="47">
        <v>101.2</v>
      </c>
      <c r="F58" s="39">
        <v>87.17</v>
      </c>
      <c r="G58" s="39">
        <v>87.2</v>
      </c>
      <c r="H58" s="39">
        <v>87.2</v>
      </c>
      <c r="I58" s="39">
        <v>119.3</v>
      </c>
      <c r="J58" s="39">
        <v>120.5</v>
      </c>
      <c r="K58" s="39">
        <v>121.7</v>
      </c>
      <c r="L58" s="39">
        <v>125.3</v>
      </c>
      <c r="M58" s="39">
        <v>125.3</v>
      </c>
      <c r="N58" s="39">
        <v>125.3</v>
      </c>
    </row>
    <row r="59" spans="1:14" ht="30.75" thickBot="1">
      <c r="A59" s="5" t="s">
        <v>90</v>
      </c>
      <c r="B59" s="3" t="s">
        <v>88</v>
      </c>
      <c r="C59" s="33">
        <v>104.5</v>
      </c>
      <c r="D59" s="47">
        <v>104.1</v>
      </c>
      <c r="E59" s="47">
        <v>108</v>
      </c>
      <c r="F59" s="39">
        <f>G59</f>
        <v>118.7</v>
      </c>
      <c r="G59" s="39">
        <v>118.7</v>
      </c>
      <c r="H59" s="39">
        <f>G59</f>
        <v>118.7</v>
      </c>
      <c r="I59" s="50">
        <v>104.2</v>
      </c>
      <c r="J59" s="50">
        <v>104.2</v>
      </c>
      <c r="K59" s="50">
        <v>1042</v>
      </c>
      <c r="L59" s="50">
        <v>104.1</v>
      </c>
      <c r="M59" s="50">
        <v>104.2</v>
      </c>
      <c r="N59" s="50">
        <v>104.8</v>
      </c>
    </row>
    <row r="60" spans="1:14" ht="60.75" thickBot="1">
      <c r="A60" s="5" t="s">
        <v>61</v>
      </c>
      <c r="B60" s="3" t="s">
        <v>57</v>
      </c>
      <c r="C60" s="33">
        <v>592.8</v>
      </c>
      <c r="D60" s="47">
        <v>598.1</v>
      </c>
      <c r="E60" s="47">
        <v>625.59</v>
      </c>
      <c r="F60" s="39">
        <f>G60</f>
        <v>634.97</v>
      </c>
      <c r="G60" s="39">
        <v>634.97</v>
      </c>
      <c r="H60" s="39">
        <f>G60</f>
        <v>634.97</v>
      </c>
      <c r="I60" s="39">
        <f>J60*99%</f>
        <v>729.199548</v>
      </c>
      <c r="J60" s="39">
        <f>G60*116%</f>
        <v>736.5652</v>
      </c>
      <c r="K60" s="39">
        <f>J60*101%</f>
        <v>743.930852</v>
      </c>
      <c r="L60" s="39">
        <f>M60*99%</f>
        <v>831.28748472</v>
      </c>
      <c r="M60" s="39">
        <f>J60*114%</f>
        <v>839.6843279999999</v>
      </c>
      <c r="N60" s="39">
        <f>M60*101%</f>
        <v>848.0811712799999</v>
      </c>
    </row>
    <row r="61" spans="1:15" ht="75.75" thickBot="1">
      <c r="A61" s="5" t="s">
        <v>91</v>
      </c>
      <c r="B61" s="3" t="s">
        <v>21</v>
      </c>
      <c r="C61" s="33">
        <v>100.7</v>
      </c>
      <c r="D61" s="38">
        <v>96.73</v>
      </c>
      <c r="E61" s="38">
        <v>100.28</v>
      </c>
      <c r="F61" s="39">
        <v>97.31</v>
      </c>
      <c r="G61" s="39">
        <v>97.31</v>
      </c>
      <c r="H61" s="39">
        <v>97.31</v>
      </c>
      <c r="I61" s="39">
        <v>110.1</v>
      </c>
      <c r="J61" s="39">
        <v>111.21</v>
      </c>
      <c r="K61" s="39">
        <v>112.31</v>
      </c>
      <c r="L61" s="39">
        <f>L60/I60%/L62%</f>
        <v>109.72088546679497</v>
      </c>
      <c r="M61" s="39">
        <f>N60/K60%/N62%</f>
        <v>109.5100864553314</v>
      </c>
      <c r="N61" s="39">
        <f>N60/K60%/N62%</f>
        <v>109.5100864553314</v>
      </c>
      <c r="O61" s="17"/>
    </row>
    <row r="62" spans="1:14" ht="30.75" thickBot="1">
      <c r="A62" s="5" t="s">
        <v>92</v>
      </c>
      <c r="B62" s="3" t="s">
        <v>88</v>
      </c>
      <c r="C62" s="37">
        <v>105</v>
      </c>
      <c r="D62" s="47">
        <v>103.2</v>
      </c>
      <c r="E62" s="47">
        <v>103.2</v>
      </c>
      <c r="F62" s="39">
        <f>G62</f>
        <v>103.5</v>
      </c>
      <c r="G62" s="39">
        <v>103.5</v>
      </c>
      <c r="H62" s="39">
        <f>G62</f>
        <v>103.5</v>
      </c>
      <c r="I62" s="39">
        <v>103.8</v>
      </c>
      <c r="J62" s="39">
        <v>103.9</v>
      </c>
      <c r="K62" s="39">
        <v>104</v>
      </c>
      <c r="L62" s="39">
        <v>103.9</v>
      </c>
      <c r="M62" s="39">
        <v>104</v>
      </c>
      <c r="N62" s="39">
        <v>104.1</v>
      </c>
    </row>
    <row r="63" spans="1:21" ht="43.5" thickBot="1">
      <c r="A63" s="8" t="s">
        <v>62</v>
      </c>
      <c r="B63" s="4"/>
      <c r="C63" s="45"/>
      <c r="D63" s="34"/>
      <c r="E63" s="34"/>
      <c r="F63" s="39"/>
      <c r="G63" s="30"/>
      <c r="H63" s="39"/>
      <c r="I63" s="36"/>
      <c r="J63" s="36"/>
      <c r="K63" s="36"/>
      <c r="L63" s="36"/>
      <c r="M63" s="36"/>
      <c r="N63" s="36"/>
      <c r="P63" s="11"/>
      <c r="Q63" s="11"/>
      <c r="R63" s="11"/>
      <c r="S63" s="11"/>
      <c r="T63" s="11"/>
      <c r="U63" s="11"/>
    </row>
    <row r="64" spans="1:21" ht="45.75" thickBot="1">
      <c r="A64" s="5" t="s">
        <v>63</v>
      </c>
      <c r="B64" s="3" t="s">
        <v>64</v>
      </c>
      <c r="C64" s="33">
        <v>329.9</v>
      </c>
      <c r="D64" s="47">
        <v>99.67</v>
      </c>
      <c r="E64" s="47">
        <v>100.6</v>
      </c>
      <c r="F64" s="39">
        <v>101.1</v>
      </c>
      <c r="G64" s="36">
        <v>101.1</v>
      </c>
      <c r="H64" s="39">
        <v>101.1</v>
      </c>
      <c r="I64" s="39">
        <v>99.5</v>
      </c>
      <c r="J64" s="39">
        <v>99.5</v>
      </c>
      <c r="K64" s="39">
        <v>99.5</v>
      </c>
      <c r="L64" s="39">
        <v>98.3</v>
      </c>
      <c r="M64" s="39">
        <v>98.3</v>
      </c>
      <c r="N64" s="39">
        <f>M64</f>
        <v>98.3</v>
      </c>
      <c r="P64" s="12"/>
      <c r="Q64" s="12"/>
      <c r="R64" s="12"/>
      <c r="S64" s="12"/>
      <c r="T64" s="12"/>
      <c r="U64" s="11"/>
    </row>
    <row r="65" spans="1:21" ht="30.75" thickBot="1">
      <c r="A65" s="5" t="s">
        <v>65</v>
      </c>
      <c r="B65" s="3" t="s">
        <v>66</v>
      </c>
      <c r="C65" s="37">
        <v>12.2</v>
      </c>
      <c r="D65" s="47">
        <v>11.1</v>
      </c>
      <c r="E65" s="47">
        <v>11.1</v>
      </c>
      <c r="F65" s="39">
        <f>G65</f>
        <v>11.3</v>
      </c>
      <c r="G65" s="39">
        <v>11.3</v>
      </c>
      <c r="H65" s="39">
        <f>G65</f>
        <v>11.3</v>
      </c>
      <c r="I65" s="39">
        <f>J65</f>
        <v>11.5</v>
      </c>
      <c r="J65" s="39">
        <v>11.5</v>
      </c>
      <c r="K65" s="39">
        <f>J65</f>
        <v>11.5</v>
      </c>
      <c r="L65" s="39">
        <f>M65</f>
        <v>11.7</v>
      </c>
      <c r="M65" s="39">
        <v>11.7</v>
      </c>
      <c r="N65" s="39">
        <f>M65</f>
        <v>11.7</v>
      </c>
      <c r="P65" s="12"/>
      <c r="Q65" s="12"/>
      <c r="R65" s="12"/>
      <c r="S65" s="12"/>
      <c r="T65" s="12"/>
      <c r="U65" s="11"/>
    </row>
    <row r="66" spans="1:14" ht="15.75" thickBot="1">
      <c r="A66" s="8" t="s">
        <v>67</v>
      </c>
      <c r="B66" s="4"/>
      <c r="C66" s="45"/>
      <c r="D66" s="34"/>
      <c r="E66" s="34"/>
      <c r="F66" s="39"/>
      <c r="G66" s="30"/>
      <c r="H66" s="39"/>
      <c r="I66" s="36"/>
      <c r="J66" s="36"/>
      <c r="K66" s="36"/>
      <c r="L66" s="36"/>
      <c r="M66" s="36"/>
      <c r="N66" s="36"/>
    </row>
    <row r="67" spans="1:14" ht="60.75" thickBot="1">
      <c r="A67" s="5" t="s">
        <v>68</v>
      </c>
      <c r="B67" s="3" t="s">
        <v>57</v>
      </c>
      <c r="C67" s="33">
        <v>2909.9</v>
      </c>
      <c r="D67" s="47">
        <v>3152.6</v>
      </c>
      <c r="E67" s="47">
        <v>4218.27</v>
      </c>
      <c r="F67" s="39">
        <f>G67</f>
        <v>4675.58</v>
      </c>
      <c r="G67" s="39">
        <v>4675.58</v>
      </c>
      <c r="H67" s="39">
        <f>G67</f>
        <v>4675.58</v>
      </c>
      <c r="I67" s="39">
        <f>J67*99%</f>
        <v>6852.511345679999</v>
      </c>
      <c r="J67" s="39">
        <f>G67*148.04%</f>
        <v>6921.728631999999</v>
      </c>
      <c r="K67" s="39">
        <f>J67*101%</f>
        <v>6990.94591832</v>
      </c>
      <c r="L67" s="39">
        <f>M67*99%</f>
        <v>10141.716791606399</v>
      </c>
      <c r="M67" s="39">
        <f>J67*148%</f>
        <v>10244.158375359999</v>
      </c>
      <c r="N67" s="39">
        <f>M67*100.1%</f>
        <v>10254.402533735358</v>
      </c>
    </row>
    <row r="68" spans="1:14" ht="75.75" thickBot="1">
      <c r="A68" s="5" t="s">
        <v>69</v>
      </c>
      <c r="B68" s="3" t="s">
        <v>70</v>
      </c>
      <c r="C68" s="37">
        <v>125</v>
      </c>
      <c r="D68" s="38">
        <f>D67/C67%</f>
        <v>108.34049280043988</v>
      </c>
      <c r="E68" s="38">
        <f>E67/D67%</f>
        <v>133.80289285034576</v>
      </c>
      <c r="F68" s="39">
        <f>F67/E67%</f>
        <v>110.8411742254526</v>
      </c>
      <c r="G68" s="39">
        <v>110.8</v>
      </c>
      <c r="H68" s="39">
        <v>110.8</v>
      </c>
      <c r="I68" s="39">
        <f aca="true" t="shared" si="8" ref="I68:N68">I67/F67%</f>
        <v>146.5596</v>
      </c>
      <c r="J68" s="39">
        <f t="shared" si="8"/>
        <v>148.04</v>
      </c>
      <c r="K68" s="39">
        <f t="shared" si="8"/>
        <v>149.5204</v>
      </c>
      <c r="L68" s="39">
        <f t="shared" si="8"/>
        <v>148.00000000000003</v>
      </c>
      <c r="M68" s="39">
        <f t="shared" si="8"/>
        <v>147.99999999999997</v>
      </c>
      <c r="N68" s="39">
        <f t="shared" si="8"/>
        <v>146.68118811881186</v>
      </c>
    </row>
    <row r="69" spans="1:14" ht="45.75" thickBot="1">
      <c r="A69" s="5" t="s">
        <v>71</v>
      </c>
      <c r="B69" s="3" t="s">
        <v>72</v>
      </c>
      <c r="C69" s="33">
        <v>106.8</v>
      </c>
      <c r="D69" s="47">
        <v>105.6</v>
      </c>
      <c r="E69" s="47">
        <v>104.9</v>
      </c>
      <c r="F69" s="39">
        <f>G69</f>
        <v>105.4</v>
      </c>
      <c r="G69" s="39">
        <v>105.4</v>
      </c>
      <c r="H69" s="39">
        <f>G69</f>
        <v>105.4</v>
      </c>
      <c r="I69" s="51">
        <v>105.5</v>
      </c>
      <c r="J69" s="51">
        <v>105.5</v>
      </c>
      <c r="K69" s="51">
        <v>105.5</v>
      </c>
      <c r="L69" s="51">
        <v>106</v>
      </c>
      <c r="M69" s="51">
        <v>106</v>
      </c>
      <c r="N69" s="51">
        <v>106.2</v>
      </c>
    </row>
    <row r="70" spans="1:16" ht="75.75" thickBot="1">
      <c r="A70" s="5" t="s">
        <v>73</v>
      </c>
      <c r="B70" s="3" t="s">
        <v>21</v>
      </c>
      <c r="C70" s="37">
        <v>109.6</v>
      </c>
      <c r="D70" s="38">
        <f>D67/C67%/D69%</f>
        <v>102.59516363678019</v>
      </c>
      <c r="E70" s="38">
        <f>E67/D67%/E69%</f>
        <v>127.55280538641156</v>
      </c>
      <c r="F70" s="39">
        <f>F67/E67%/F69%</f>
        <v>105.16240438847495</v>
      </c>
      <c r="G70" s="39">
        <v>105.2</v>
      </c>
      <c r="H70" s="39">
        <f>G70</f>
        <v>105.2</v>
      </c>
      <c r="I70" s="52">
        <f>I67/G67%/I69%</f>
        <v>138.9190521327014</v>
      </c>
      <c r="J70" s="53">
        <f>J67/G67%/J69%</f>
        <v>140.3222748815166</v>
      </c>
      <c r="K70" s="52">
        <f>K67/H67%/K69%</f>
        <v>141.72549763033174</v>
      </c>
      <c r="L70" s="52">
        <f>L67/I67%/L69%</f>
        <v>139.62264150943398</v>
      </c>
      <c r="M70" s="53">
        <f>M67/J67%/M69%</f>
        <v>139.62264150943392</v>
      </c>
      <c r="N70" s="52">
        <f>N67/K67%/N69%</f>
        <v>138.1178795845686</v>
      </c>
      <c r="P70" s="6">
        <f>P64</f>
        <v>0</v>
      </c>
    </row>
    <row r="71" spans="1:14" ht="15.75" thickBot="1">
      <c r="A71" s="8" t="s">
        <v>74</v>
      </c>
      <c r="B71" s="4"/>
      <c r="C71" s="45"/>
      <c r="D71" s="34"/>
      <c r="E71" s="34"/>
      <c r="F71" s="39"/>
      <c r="G71" s="30"/>
      <c r="H71" s="39"/>
      <c r="I71" s="36"/>
      <c r="J71" s="36"/>
      <c r="K71" s="36"/>
      <c r="L71" s="36"/>
      <c r="M71" s="36"/>
      <c r="N71" s="36"/>
    </row>
    <row r="72" spans="1:14" ht="45.75" thickBot="1">
      <c r="A72" s="5" t="s">
        <v>75</v>
      </c>
      <c r="B72" s="3" t="s">
        <v>76</v>
      </c>
      <c r="C72" s="37">
        <v>8682</v>
      </c>
      <c r="D72" s="38">
        <v>8448</v>
      </c>
      <c r="E72" s="38">
        <v>8448</v>
      </c>
      <c r="F72" s="39">
        <f>G72</f>
        <v>8767</v>
      </c>
      <c r="G72" s="54">
        <v>8767</v>
      </c>
      <c r="H72" s="39">
        <f>G72</f>
        <v>8767</v>
      </c>
      <c r="I72" s="39">
        <f>J72*99%</f>
        <v>8705.367989999999</v>
      </c>
      <c r="J72" s="39">
        <f>G72*100.3%</f>
        <v>8793.301</v>
      </c>
      <c r="K72" s="39">
        <f>J72*101%</f>
        <v>8881.23401</v>
      </c>
      <c r="L72" s="39">
        <f>M72*99%</f>
        <v>11978.586354239998</v>
      </c>
      <c r="M72" s="39">
        <f>J72*137.6%</f>
        <v>12099.582175999998</v>
      </c>
      <c r="N72" s="39">
        <f>M72*101%</f>
        <v>12220.577997759998</v>
      </c>
    </row>
    <row r="73" spans="1:14" ht="30.75" thickBot="1">
      <c r="A73" s="5" t="s">
        <v>93</v>
      </c>
      <c r="B73" s="13" t="s">
        <v>94</v>
      </c>
      <c r="C73" s="37">
        <v>3457</v>
      </c>
      <c r="D73" s="38">
        <v>3575.9</v>
      </c>
      <c r="E73" s="38">
        <v>4562.4</v>
      </c>
      <c r="F73" s="37">
        <v>4853.9</v>
      </c>
      <c r="G73" s="55">
        <v>4853.9</v>
      </c>
      <c r="H73" s="39">
        <f>G73</f>
        <v>4853.9</v>
      </c>
      <c r="I73" s="39">
        <f>J73*99%</f>
        <v>5670.5217531357775</v>
      </c>
      <c r="J73" s="39">
        <f>J72*J74*12/1000000</f>
        <v>5727.7997506422</v>
      </c>
      <c r="K73" s="39">
        <f>J73*101%</f>
        <v>5785.077748148622</v>
      </c>
      <c r="L73" s="39">
        <f>M73*99%</f>
        <v>10174.639863738535</v>
      </c>
      <c r="M73" s="39">
        <f>M72*M74*12/1000000</f>
        <v>10277.414003776299</v>
      </c>
      <c r="N73" s="39">
        <f>M73*101%</f>
        <v>10380.188143814063</v>
      </c>
    </row>
    <row r="74" spans="1:14" ht="30.75" thickBot="1">
      <c r="A74" s="5" t="s">
        <v>77</v>
      </c>
      <c r="B74" s="3" t="s">
        <v>78</v>
      </c>
      <c r="C74" s="37">
        <v>33182</v>
      </c>
      <c r="D74" s="38">
        <v>35274</v>
      </c>
      <c r="E74" s="38">
        <v>39637</v>
      </c>
      <c r="F74" s="39">
        <f>G74</f>
        <v>42574</v>
      </c>
      <c r="G74" s="39">
        <v>42574</v>
      </c>
      <c r="H74" s="39">
        <f>G74</f>
        <v>42574</v>
      </c>
      <c r="I74" s="39">
        <f>J74*99%</f>
        <v>53739.0315</v>
      </c>
      <c r="J74" s="39">
        <f>G74*127.5%</f>
        <v>54281.85</v>
      </c>
      <c r="K74" s="39">
        <f>J74*101%</f>
        <v>54824.6685</v>
      </c>
      <c r="L74" s="39">
        <f>M74*99%</f>
        <v>70075.697076</v>
      </c>
      <c r="M74" s="39">
        <f>J74*130.4%</f>
        <v>70783.5324</v>
      </c>
      <c r="N74" s="39">
        <f>M74*101%</f>
        <v>71491.367724</v>
      </c>
    </row>
  </sheetData>
  <sheetProtection/>
  <mergeCells count="9">
    <mergeCell ref="A1:A3"/>
    <mergeCell ref="B1:B3"/>
    <mergeCell ref="C1:C3"/>
    <mergeCell ref="D1:D3"/>
    <mergeCell ref="F1:N1"/>
    <mergeCell ref="F2:H2"/>
    <mergeCell ref="I2:K2"/>
    <mergeCell ref="L2:N2"/>
    <mergeCell ref="E1:E3"/>
  </mergeCells>
  <printOptions/>
  <pageMargins left="0.7" right="0.7" top="0.75" bottom="0.75" header="0.3" footer="0.3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0:N71"/>
  <sheetViews>
    <sheetView zoomScalePageLayoutView="0" workbookViewId="0" topLeftCell="A1">
      <selection activeCell="C70" sqref="C70"/>
    </sheetView>
  </sheetViews>
  <sheetFormatPr defaultColWidth="9.140625" defaultRowHeight="15"/>
  <cols>
    <col min="8" max="8" width="12.57421875" style="0" bestFit="1" customWidth="1"/>
  </cols>
  <sheetData>
    <row r="70" spans="1:14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5">
      <c r="A71" s="2"/>
      <c r="B71" s="2"/>
      <c r="C71" s="2">
        <v>2715.67</v>
      </c>
      <c r="D71" s="2">
        <v>3251.3</v>
      </c>
      <c r="E71" s="2">
        <v>3457</v>
      </c>
      <c r="F71" s="2">
        <v>3630.4</v>
      </c>
      <c r="G71" s="1">
        <v>3630.4</v>
      </c>
      <c r="H71" s="2">
        <f>H70*H72*12/1000000</f>
        <v>0</v>
      </c>
      <c r="I71" s="2"/>
      <c r="J71" s="2"/>
      <c r="K71" s="2"/>
      <c r="L71" s="2"/>
      <c r="M71" s="2"/>
      <c r="N71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2022-11-02T05:17:50Z</cp:lastPrinted>
  <dcterms:created xsi:type="dcterms:W3CDTF">2020-10-01T05:18:52Z</dcterms:created>
  <dcterms:modified xsi:type="dcterms:W3CDTF">2022-11-02T05:17:53Z</dcterms:modified>
  <cp:category/>
  <cp:version/>
  <cp:contentType/>
  <cp:contentStatus/>
</cp:coreProperties>
</file>