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Roaming\Bimoid\Users\User0002\RcvdFiles\loginova\"/>
    </mc:Choice>
  </mc:AlternateContent>
  <xr:revisionPtr revIDLastSave="0" documentId="13_ncr:1_{F9555A42-7DCA-4786-BF5B-2E77B24F6978}" xr6:coauthVersionLast="45" xr6:coauthVersionMax="45" xr10:uidLastSave="{00000000-0000-0000-0000-000000000000}"/>
  <bookViews>
    <workbookView xWindow="-120" yWindow="-120" windowWidth="29040" windowHeight="15510" activeTab="1" xr2:uid="{00000000-000D-0000-FFFF-FFFF00000000}"/>
  </bookViews>
  <sheets>
    <sheet name="Лист1" sheetId="1" r:id="rId1"/>
    <sheet name="расчет фин помощи 23-25 год" sheetId="2" r:id="rId2"/>
    <sheet name="Лист3" sheetId="3" r:id="rId3"/>
    <sheet name="рассчет 23 го" sheetId="4" r:id="rId4"/>
    <sheet name="Лист5" sheetId="5" r:id="rId5"/>
    <sheet name="фонд оплаты" sheetId="6" r:id="rId6"/>
    <sheet name="дотация на выравнивание" sheetId="7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36" i="2" l="1"/>
  <c r="H36" i="2"/>
  <c r="CT36" i="2"/>
  <c r="AV36" i="2"/>
  <c r="AB36" i="2"/>
  <c r="DD12" i="2"/>
  <c r="CY12" i="2"/>
  <c r="CO12" i="2"/>
  <c r="CE12" i="2"/>
  <c r="BZ12" i="2"/>
  <c r="BV12" i="2"/>
  <c r="BU12" i="2"/>
  <c r="BF12" i="2"/>
  <c r="BA12" i="2"/>
  <c r="AG12" i="2"/>
  <c r="W12" i="2"/>
  <c r="R12" i="2"/>
  <c r="H12" i="2"/>
  <c r="M12" i="2"/>
  <c r="M35" i="2"/>
  <c r="R35" i="2"/>
  <c r="W35" i="2"/>
  <c r="AB35" i="2"/>
  <c r="AG35" i="2"/>
  <c r="AL35" i="2"/>
  <c r="AQ35" i="2"/>
  <c r="AV35" i="2"/>
  <c r="BA35" i="2"/>
  <c r="BF35" i="2"/>
  <c r="BK35" i="2"/>
  <c r="BP35" i="2"/>
  <c r="BU35" i="2"/>
  <c r="BZ35" i="2"/>
  <c r="CE35" i="2"/>
  <c r="CJ35" i="2"/>
  <c r="CO35" i="2"/>
  <c r="CT35" i="2"/>
  <c r="CY35" i="2"/>
  <c r="DD35" i="2"/>
  <c r="DD20" i="2"/>
  <c r="DD19" i="2"/>
  <c r="CY20" i="2"/>
  <c r="CY19" i="2"/>
  <c r="CT20" i="2"/>
  <c r="CT19" i="2"/>
  <c r="CO20" i="2"/>
  <c r="CO19" i="2"/>
  <c r="CJ20" i="2"/>
  <c r="CJ19" i="2"/>
  <c r="CE20" i="2"/>
  <c r="CE19" i="2"/>
  <c r="BZ20" i="2"/>
  <c r="BZ19" i="2"/>
  <c r="BU20" i="2"/>
  <c r="BU19" i="2"/>
  <c r="BP20" i="2"/>
  <c r="BP19" i="2"/>
  <c r="BK20" i="2"/>
  <c r="BK19" i="2"/>
  <c r="BF20" i="2"/>
  <c r="BF19" i="2"/>
  <c r="BA20" i="2"/>
  <c r="BA19" i="2"/>
  <c r="AV20" i="2"/>
  <c r="AV19" i="2"/>
  <c r="AR22" i="2"/>
  <c r="AQ20" i="2"/>
  <c r="AQ19" i="2"/>
  <c r="AL20" i="2"/>
  <c r="AL19" i="2"/>
  <c r="AG20" i="2"/>
  <c r="AG19" i="2"/>
  <c r="AB20" i="2"/>
  <c r="AB19" i="2"/>
  <c r="W20" i="2"/>
  <c r="W19" i="2"/>
  <c r="R20" i="2"/>
  <c r="R19" i="2"/>
  <c r="M20" i="2"/>
  <c r="M19" i="2"/>
  <c r="H35" i="2"/>
  <c r="H20" i="2"/>
  <c r="H19" i="2"/>
  <c r="I27" i="2"/>
  <c r="L19" i="2"/>
  <c r="H27" i="2"/>
  <c r="H22" i="2"/>
  <c r="H17" i="2"/>
  <c r="H16" i="2"/>
  <c r="H14" i="2"/>
  <c r="B26" i="6"/>
  <c r="BL10" i="2" l="1"/>
  <c r="BV39" i="2" l="1"/>
  <c r="DE34" i="2"/>
  <c r="CP27" i="2"/>
  <c r="CK27" i="2"/>
  <c r="AM27" i="2"/>
  <c r="X27" i="2"/>
  <c r="AC27" i="2"/>
  <c r="CZ39" i="2"/>
  <c r="BQ39" i="2"/>
  <c r="BL27" i="2"/>
  <c r="BB39" i="2"/>
  <c r="AH39" i="2"/>
  <c r="AH27" i="2"/>
  <c r="K40" i="2"/>
  <c r="L40" i="2"/>
  <c r="P40" i="2"/>
  <c r="Q40" i="2"/>
  <c r="U40" i="2"/>
  <c r="V40" i="2"/>
  <c r="Z40" i="2"/>
  <c r="AA40" i="2"/>
  <c r="AE40" i="2"/>
  <c r="AF40" i="2"/>
  <c r="AJ40" i="2"/>
  <c r="AK40" i="2"/>
  <c r="AO40" i="2"/>
  <c r="AP40" i="2"/>
  <c r="AT40" i="2"/>
  <c r="AU40" i="2"/>
  <c r="AY40" i="2"/>
  <c r="AZ40" i="2"/>
  <c r="BD40" i="2"/>
  <c r="BE40" i="2"/>
  <c r="BI40" i="2"/>
  <c r="BJ40" i="2"/>
  <c r="BN40" i="2"/>
  <c r="BO40" i="2"/>
  <c r="BS40" i="2"/>
  <c r="BT40" i="2"/>
  <c r="BX40" i="2"/>
  <c r="BY40" i="2"/>
  <c r="CC40" i="2"/>
  <c r="CD40" i="2"/>
  <c r="CH40" i="2"/>
  <c r="CI40" i="2"/>
  <c r="CM40" i="2"/>
  <c r="CN40" i="2"/>
  <c r="CR40" i="2"/>
  <c r="CS40" i="2"/>
  <c r="CW40" i="2"/>
  <c r="CX40" i="2"/>
  <c r="DB40" i="2"/>
  <c r="DC40" i="2"/>
  <c r="AR12" i="2"/>
  <c r="U15" i="6"/>
  <c r="I36" i="7"/>
  <c r="C34" i="7"/>
  <c r="N31" i="7"/>
  <c r="H30" i="7"/>
  <c r="G30" i="7"/>
  <c r="D30" i="7"/>
  <c r="M30" i="7" s="1"/>
  <c r="DE35" i="2" s="1"/>
  <c r="H29" i="7"/>
  <c r="G29" i="7"/>
  <c r="D29" i="7"/>
  <c r="M29" i="7" s="1"/>
  <c r="CZ35" i="2" s="1"/>
  <c r="H28" i="7"/>
  <c r="G28" i="7"/>
  <c r="D28" i="7"/>
  <c r="M28" i="7" s="1"/>
  <c r="CU35" i="2" s="1"/>
  <c r="B28" i="7"/>
  <c r="H27" i="7"/>
  <c r="G27" i="7"/>
  <c r="D27" i="7"/>
  <c r="M27" i="7" s="1"/>
  <c r="CK35" i="2" s="1"/>
  <c r="B27" i="7"/>
  <c r="B45" i="7" s="1"/>
  <c r="H26" i="7"/>
  <c r="G26" i="7"/>
  <c r="D26" i="7"/>
  <c r="M26" i="7" s="1"/>
  <c r="CF35" i="2" s="1"/>
  <c r="B26" i="7"/>
  <c r="H25" i="7"/>
  <c r="G25" i="7"/>
  <c r="D25" i="7"/>
  <c r="M25" i="7" s="1"/>
  <c r="CP35" i="2" s="1"/>
  <c r="B25" i="7"/>
  <c r="H24" i="7"/>
  <c r="G24" i="7"/>
  <c r="E24" i="7"/>
  <c r="D24" i="7"/>
  <c r="M24" i="7" s="1"/>
  <c r="CA35" i="2" s="1"/>
  <c r="B24" i="7"/>
  <c r="H23" i="7"/>
  <c r="G23" i="7"/>
  <c r="D23" i="7"/>
  <c r="M23" i="7" s="1"/>
  <c r="BQ35" i="2" s="1"/>
  <c r="B23" i="7"/>
  <c r="H22" i="7"/>
  <c r="G22" i="7"/>
  <c r="D22" i="7"/>
  <c r="M22" i="7" s="1"/>
  <c r="BV35" i="2" s="1"/>
  <c r="B22" i="7"/>
  <c r="H21" i="7"/>
  <c r="G21" i="7"/>
  <c r="D21" i="7"/>
  <c r="M21" i="7" s="1"/>
  <c r="BL35" i="2" s="1"/>
  <c r="B21" i="7"/>
  <c r="H20" i="7"/>
  <c r="G20" i="7"/>
  <c r="E20" i="7"/>
  <c r="D20" i="7"/>
  <c r="M20" i="7" s="1"/>
  <c r="BB35" i="2" s="1"/>
  <c r="B20" i="7"/>
  <c r="H19" i="7"/>
  <c r="G19" i="7"/>
  <c r="D19" i="7"/>
  <c r="M19" i="7" s="1"/>
  <c r="BG35" i="2" s="1"/>
  <c r="C19" i="7"/>
  <c r="E19" i="7" s="1"/>
  <c r="B19" i="7"/>
  <c r="H18" i="7"/>
  <c r="G18" i="7"/>
  <c r="D18" i="7"/>
  <c r="E18" i="7" s="1"/>
  <c r="B18" i="7"/>
  <c r="H17" i="7"/>
  <c r="G17" i="7"/>
  <c r="D17" i="7"/>
  <c r="M17" i="7" s="1"/>
  <c r="AR35" i="2" s="1"/>
  <c r="C17" i="7"/>
  <c r="B17" i="7"/>
  <c r="H16" i="7"/>
  <c r="G16" i="7"/>
  <c r="D16" i="7"/>
  <c r="M16" i="7" s="1"/>
  <c r="AM35" i="2" s="1"/>
  <c r="B16" i="7"/>
  <c r="H15" i="7"/>
  <c r="G15" i="7"/>
  <c r="D15" i="7"/>
  <c r="M15" i="7" s="1"/>
  <c r="AH35" i="2" s="1"/>
  <c r="B15" i="7"/>
  <c r="H14" i="7"/>
  <c r="G14" i="7"/>
  <c r="D14" i="7"/>
  <c r="M14" i="7" s="1"/>
  <c r="AC35" i="2" s="1"/>
  <c r="B14" i="7"/>
  <c r="H13" i="7"/>
  <c r="G13" i="7"/>
  <c r="D13" i="7"/>
  <c r="M13" i="7" s="1"/>
  <c r="X35" i="2" s="1"/>
  <c r="B13" i="7"/>
  <c r="H12" i="7"/>
  <c r="G12" i="7"/>
  <c r="D12" i="7"/>
  <c r="M12" i="7" s="1"/>
  <c r="S35" i="2" s="1"/>
  <c r="B12" i="7"/>
  <c r="H11" i="7"/>
  <c r="G11" i="7"/>
  <c r="D11" i="7"/>
  <c r="M11" i="7" s="1"/>
  <c r="B11" i="7"/>
  <c r="H10" i="7"/>
  <c r="G10" i="7"/>
  <c r="D10" i="7"/>
  <c r="D31" i="7" s="1"/>
  <c r="M31" i="7" s="1"/>
  <c r="B10" i="7"/>
  <c r="M13" i="6"/>
  <c r="E28" i="7" l="1"/>
  <c r="E29" i="7"/>
  <c r="E13" i="7"/>
  <c r="C31" i="7"/>
  <c r="C36" i="7" s="1"/>
  <c r="C33" i="7" s="1"/>
  <c r="E21" i="7"/>
  <c r="E25" i="7"/>
  <c r="E10" i="7"/>
  <c r="E14" i="7"/>
  <c r="E22" i="7"/>
  <c r="E26" i="7"/>
  <c r="E11" i="7"/>
  <c r="E15" i="7"/>
  <c r="E23" i="7"/>
  <c r="E27" i="7"/>
  <c r="E12" i="7"/>
  <c r="E16" i="7"/>
  <c r="E17" i="7"/>
  <c r="C37" i="7"/>
  <c r="C38" i="7" s="1"/>
  <c r="I10" i="7"/>
  <c r="M10" i="7"/>
  <c r="N35" i="2" s="1"/>
  <c r="I11" i="7"/>
  <c r="I12" i="7"/>
  <c r="I13" i="7"/>
  <c r="I14" i="7"/>
  <c r="I15" i="7"/>
  <c r="I16" i="7"/>
  <c r="I30" i="7"/>
  <c r="I17" i="7"/>
  <c r="I18" i="7"/>
  <c r="M18" i="7"/>
  <c r="AW35" i="2" s="1"/>
  <c r="I29" i="7"/>
  <c r="E30" i="7"/>
  <c r="E31" i="7"/>
  <c r="I19" i="7"/>
  <c r="I20" i="7"/>
  <c r="I21" i="7"/>
  <c r="I22" i="7"/>
  <c r="I23" i="7"/>
  <c r="I24" i="7"/>
  <c r="I25" i="7"/>
  <c r="I26" i="7"/>
  <c r="I27" i="7"/>
  <c r="I28" i="7"/>
  <c r="DE27" i="2"/>
  <c r="AR27" i="2"/>
  <c r="S27" i="2"/>
  <c r="S36" i="2"/>
  <c r="I35" i="2"/>
  <c r="CU34" i="2"/>
  <c r="CP34" i="2"/>
  <c r="CK34" i="2"/>
  <c r="CA34" i="2"/>
  <c r="BV34" i="2"/>
  <c r="BQ34" i="2"/>
  <c r="BL34" i="2"/>
  <c r="BG34" i="2"/>
  <c r="BB34" i="2"/>
  <c r="AW34" i="2"/>
  <c r="AR34" i="2"/>
  <c r="AM34" i="2"/>
  <c r="AH34" i="2"/>
  <c r="AC34" i="2"/>
  <c r="X34" i="2"/>
  <c r="S34" i="2"/>
  <c r="N34" i="2"/>
  <c r="I34" i="2"/>
  <c r="J33" i="2"/>
  <c r="J40" i="2" s="1"/>
  <c r="O33" i="2"/>
  <c r="O40" i="2" s="1"/>
  <c r="T33" i="2"/>
  <c r="T40" i="2" s="1"/>
  <c r="Y33" i="2"/>
  <c r="Y40" i="2" s="1"/>
  <c r="AD33" i="2"/>
  <c r="AD40" i="2" s="1"/>
  <c r="AI33" i="2"/>
  <c r="AI40" i="2" s="1"/>
  <c r="AN33" i="2"/>
  <c r="AN40" i="2" s="1"/>
  <c r="AS33" i="2"/>
  <c r="AS40" i="2" s="1"/>
  <c r="AX33" i="2"/>
  <c r="AX40" i="2" s="1"/>
  <c r="BC33" i="2"/>
  <c r="BC40" i="2" s="1"/>
  <c r="BH33" i="2"/>
  <c r="BH40" i="2" s="1"/>
  <c r="BM33" i="2"/>
  <c r="BM40" i="2" s="1"/>
  <c r="BR33" i="2"/>
  <c r="BR40" i="2" s="1"/>
  <c r="BW33" i="2"/>
  <c r="BW40" i="2" s="1"/>
  <c r="CB33" i="2"/>
  <c r="CB40" i="2" s="1"/>
  <c r="CG33" i="2"/>
  <c r="CG40" i="2" s="1"/>
  <c r="CL33" i="2"/>
  <c r="CL40" i="2" s="1"/>
  <c r="CQ33" i="2"/>
  <c r="CQ40" i="2" s="1"/>
  <c r="CV33" i="2"/>
  <c r="CV40" i="2" s="1"/>
  <c r="DA33" i="2"/>
  <c r="DA40" i="2" s="1"/>
  <c r="CA10" i="2"/>
  <c r="BB10" i="2"/>
  <c r="AW10" i="2"/>
  <c r="AM10" i="2"/>
  <c r="H11" i="6"/>
  <c r="M14" i="6"/>
  <c r="M19" i="6"/>
  <c r="DF34" i="2" l="1"/>
  <c r="I31" i="7"/>
  <c r="J27" i="7" s="1"/>
  <c r="CK36" i="2" s="1"/>
  <c r="DF35" i="2"/>
  <c r="L26" i="6"/>
  <c r="P26" i="6"/>
  <c r="R26" i="6"/>
  <c r="T26" i="6"/>
  <c r="V26" i="6"/>
  <c r="X26" i="6"/>
  <c r="Z26" i="6"/>
  <c r="AA26" i="6"/>
  <c r="AB26" i="6"/>
  <c r="K31" i="6" s="1"/>
  <c r="F26" i="6"/>
  <c r="K28" i="6" s="1"/>
  <c r="G26" i="6"/>
  <c r="I26" i="6"/>
  <c r="AC25" i="6"/>
  <c r="Q25" i="6"/>
  <c r="AA25" i="6"/>
  <c r="S25" i="6"/>
  <c r="U25" i="6"/>
  <c r="O25" i="6"/>
  <c r="M25" i="6"/>
  <c r="N25" i="6" s="1"/>
  <c r="K24" i="6"/>
  <c r="J25" i="6"/>
  <c r="J26" i="6" s="1"/>
  <c r="W10" i="6"/>
  <c r="M17" i="6"/>
  <c r="M24" i="6"/>
  <c r="N24" i="6" s="1"/>
  <c r="Q24" i="6"/>
  <c r="S10" i="6"/>
  <c r="AA16" i="6"/>
  <c r="Y3" i="6"/>
  <c r="Y26" i="6" s="1"/>
  <c r="W16" i="6"/>
  <c r="S16" i="6"/>
  <c r="U16" i="6"/>
  <c r="Q16" i="6"/>
  <c r="S15" i="6"/>
  <c r="Q15" i="6"/>
  <c r="U14" i="6"/>
  <c r="Q14" i="6"/>
  <c r="Q13" i="6"/>
  <c r="O13" i="6"/>
  <c r="O14" i="6"/>
  <c r="O15" i="6"/>
  <c r="O16" i="6"/>
  <c r="O17" i="6"/>
  <c r="O18" i="6"/>
  <c r="O19" i="6"/>
  <c r="O20" i="6"/>
  <c r="O21" i="6"/>
  <c r="N13" i="6"/>
  <c r="S9" i="6"/>
  <c r="M9" i="6"/>
  <c r="N9" i="6" s="1"/>
  <c r="K5" i="6"/>
  <c r="K6" i="6"/>
  <c r="K7" i="6"/>
  <c r="K8" i="6"/>
  <c r="K9" i="6"/>
  <c r="K10" i="6"/>
  <c r="K12" i="6"/>
  <c r="K11" i="6" s="1"/>
  <c r="D11" i="6" s="1"/>
  <c r="C11" i="6" s="1"/>
  <c r="A11" i="6" s="1"/>
  <c r="AL9" i="2" s="1"/>
  <c r="AL8" i="2" s="1"/>
  <c r="K13" i="6"/>
  <c r="K14" i="6"/>
  <c r="K15" i="6"/>
  <c r="K16" i="6"/>
  <c r="K17" i="6"/>
  <c r="K18" i="6"/>
  <c r="K19" i="6"/>
  <c r="K20" i="6"/>
  <c r="K21" i="6"/>
  <c r="K22" i="6"/>
  <c r="K23" i="6"/>
  <c r="K4" i="6"/>
  <c r="AC12" i="6"/>
  <c r="AC26" i="6" s="1"/>
  <c r="G31" i="6" s="1"/>
  <c r="U12" i="6"/>
  <c r="U26" i="6" s="1"/>
  <c r="S12" i="6"/>
  <c r="Q12" i="6"/>
  <c r="Q26" i="6" s="1"/>
  <c r="O4" i="6"/>
  <c r="O5" i="6"/>
  <c r="O6" i="6"/>
  <c r="O7" i="6"/>
  <c r="O8" i="6"/>
  <c r="O9" i="6"/>
  <c r="O10" i="6"/>
  <c r="O12" i="6"/>
  <c r="O22" i="6"/>
  <c r="O23" i="6"/>
  <c r="O24" i="6"/>
  <c r="O3" i="6"/>
  <c r="M12" i="6"/>
  <c r="N12" i="6" s="1"/>
  <c r="S6" i="6"/>
  <c r="N5" i="6"/>
  <c r="N6" i="6"/>
  <c r="N7" i="6"/>
  <c r="N8" i="6"/>
  <c r="N10" i="6"/>
  <c r="N14" i="6"/>
  <c r="N15" i="6"/>
  <c r="N16" i="6"/>
  <c r="N17" i="6"/>
  <c r="N18" i="6"/>
  <c r="N19" i="6"/>
  <c r="N20" i="6"/>
  <c r="N21" i="6"/>
  <c r="H5" i="6"/>
  <c r="D5" i="6" s="1"/>
  <c r="H6" i="6"/>
  <c r="H7" i="6"/>
  <c r="H8" i="6"/>
  <c r="H9" i="6"/>
  <c r="H10" i="6"/>
  <c r="D10" i="6" s="1"/>
  <c r="H12" i="6"/>
  <c r="D12" i="6" s="1"/>
  <c r="C12" i="6" s="1"/>
  <c r="A12" i="6" s="1"/>
  <c r="AB9" i="2" s="1"/>
  <c r="AB8" i="2" s="1"/>
  <c r="H13" i="6"/>
  <c r="H14" i="6"/>
  <c r="H15" i="6"/>
  <c r="D15" i="6" s="1"/>
  <c r="C15" i="6" s="1"/>
  <c r="A15" i="6" s="1"/>
  <c r="BZ9" i="2" s="1"/>
  <c r="BZ8" i="2" s="1"/>
  <c r="H16" i="6"/>
  <c r="H17" i="6"/>
  <c r="H18" i="6"/>
  <c r="D18" i="6" s="1"/>
  <c r="H19" i="6"/>
  <c r="D19" i="6" s="1"/>
  <c r="H20" i="6"/>
  <c r="D20" i="6" s="1"/>
  <c r="C20" i="6" s="1"/>
  <c r="A20" i="6" s="1"/>
  <c r="H10" i="2" s="1"/>
  <c r="H9" i="2" s="1"/>
  <c r="H21" i="6"/>
  <c r="H22" i="6"/>
  <c r="D22" i="6" s="1"/>
  <c r="H23" i="6"/>
  <c r="D23" i="6" s="1"/>
  <c r="C23" i="6" s="1"/>
  <c r="A23" i="6" s="1"/>
  <c r="BA9" i="2" s="1"/>
  <c r="BA8" i="2" s="1"/>
  <c r="H24" i="6"/>
  <c r="H25" i="6"/>
  <c r="S4" i="6"/>
  <c r="S26" i="6" s="1"/>
  <c r="M4" i="6"/>
  <c r="N4" i="6" s="1"/>
  <c r="H4" i="6"/>
  <c r="W3" i="6"/>
  <c r="W26" i="6" s="1"/>
  <c r="N29" i="6" s="1"/>
  <c r="N3" i="6"/>
  <c r="D3" i="6" s="1"/>
  <c r="C3" i="6" s="1"/>
  <c r="M3" i="6"/>
  <c r="CK10" i="2" l="1"/>
  <c r="C22" i="6"/>
  <c r="A22" i="6" s="1"/>
  <c r="CJ9" i="2" s="1"/>
  <c r="CJ8" i="2" s="1"/>
  <c r="N10" i="2"/>
  <c r="C5" i="6"/>
  <c r="A5" i="6" s="1"/>
  <c r="S10" i="2"/>
  <c r="C18" i="6"/>
  <c r="A18" i="6" s="1"/>
  <c r="R9" i="2" s="1"/>
  <c r="R8" i="2" s="1"/>
  <c r="D14" i="6"/>
  <c r="C14" i="6" s="1"/>
  <c r="A14" i="6" s="1"/>
  <c r="AQ9" i="2" s="1"/>
  <c r="AQ8" i="2" s="1"/>
  <c r="A3" i="6"/>
  <c r="D4" i="6"/>
  <c r="C4" i="6" s="1"/>
  <c r="A4" i="6" s="1"/>
  <c r="BK9" i="2" s="1"/>
  <c r="BK8" i="2" s="1"/>
  <c r="X10" i="2"/>
  <c r="C19" i="6"/>
  <c r="A19" i="6" s="1"/>
  <c r="W9" i="2" s="1"/>
  <c r="W8" i="2" s="1"/>
  <c r="AH10" i="2"/>
  <c r="C10" i="6"/>
  <c r="A10" i="6" s="1"/>
  <c r="AG9" i="2" s="1"/>
  <c r="AG8" i="2" s="1"/>
  <c r="D6" i="6"/>
  <c r="C6" i="6" s="1"/>
  <c r="A6" i="6" s="1"/>
  <c r="AV9" i="2" s="1"/>
  <c r="AV8" i="2" s="1"/>
  <c r="N30" i="6"/>
  <c r="J10" i="7"/>
  <c r="J20" i="7"/>
  <c r="BB36" i="2" s="1"/>
  <c r="J17" i="7"/>
  <c r="J15" i="7"/>
  <c r="J12" i="7"/>
  <c r="J13" i="7"/>
  <c r="X36" i="2" s="1"/>
  <c r="J24" i="7"/>
  <c r="J21" i="7"/>
  <c r="J18" i="7"/>
  <c r="AW36" i="2" s="1"/>
  <c r="J16" i="7"/>
  <c r="AM36" i="2" s="1"/>
  <c r="J11" i="7"/>
  <c r="I36" i="2" s="1"/>
  <c r="J30" i="7"/>
  <c r="J28" i="7"/>
  <c r="CU36" i="2" s="1"/>
  <c r="J25" i="7"/>
  <c r="CP36" i="2" s="1"/>
  <c r="J22" i="7"/>
  <c r="BV36" i="2" s="1"/>
  <c r="J19" i="7"/>
  <c r="BG36" i="2" s="1"/>
  <c r="J29" i="7"/>
  <c r="J14" i="7"/>
  <c r="J23" i="7"/>
  <c r="J26" i="7"/>
  <c r="CF36" i="2" s="1"/>
  <c r="O18" i="7"/>
  <c r="P18" i="7"/>
  <c r="K18" i="7"/>
  <c r="L18" i="7" s="1"/>
  <c r="P19" i="7"/>
  <c r="O19" i="7"/>
  <c r="P28" i="7"/>
  <c r="K28" i="7"/>
  <c r="L28" i="7" s="1"/>
  <c r="O28" i="7"/>
  <c r="AR36" i="2"/>
  <c r="BQ36" i="2"/>
  <c r="AC36" i="2"/>
  <c r="BL36" i="2"/>
  <c r="CZ36" i="2"/>
  <c r="P11" i="7"/>
  <c r="K11" i="7"/>
  <c r="L11" i="7" s="1"/>
  <c r="O11" i="7"/>
  <c r="P26" i="7"/>
  <c r="K26" i="7"/>
  <c r="L26" i="7" s="1"/>
  <c r="O26" i="7"/>
  <c r="P10" i="7"/>
  <c r="K10" i="7"/>
  <c r="L10" i="7" s="1"/>
  <c r="O10" i="7"/>
  <c r="P20" i="7"/>
  <c r="K20" i="7"/>
  <c r="L20" i="7" s="1"/>
  <c r="O20" i="7"/>
  <c r="AH36" i="2"/>
  <c r="S37" i="2"/>
  <c r="CA36" i="2"/>
  <c r="BV10" i="2"/>
  <c r="M26" i="6"/>
  <c r="D21" i="6"/>
  <c r="D17" i="6"/>
  <c r="D13" i="6"/>
  <c r="D8" i="6"/>
  <c r="K25" i="6"/>
  <c r="D25" i="6" s="1"/>
  <c r="C25" i="6" s="1"/>
  <c r="A25" i="6" s="1"/>
  <c r="D9" i="6"/>
  <c r="D24" i="6"/>
  <c r="C24" i="6" s="1"/>
  <c r="A24" i="6" s="1"/>
  <c r="I10" i="2"/>
  <c r="D16" i="6"/>
  <c r="AC10" i="2"/>
  <c r="D7" i="6"/>
  <c r="N26" i="6"/>
  <c r="O26" i="6"/>
  <c r="K30" i="6" s="1"/>
  <c r="H26" i="6"/>
  <c r="G28" i="6" s="1"/>
  <c r="G30" i="6"/>
  <c r="K29" i="6"/>
  <c r="BQ27" i="2"/>
  <c r="H32" i="4"/>
  <c r="I32" i="4"/>
  <c r="J32" i="4"/>
  <c r="K32" i="4"/>
  <c r="M32" i="4"/>
  <c r="DF11" i="2"/>
  <c r="Q31" i="5"/>
  <c r="N31" i="5"/>
  <c r="K31" i="5"/>
  <c r="J31" i="5"/>
  <c r="I31" i="5"/>
  <c r="H31" i="5" s="1"/>
  <c r="F31" i="5"/>
  <c r="E31" i="5"/>
  <c r="D31" i="5"/>
  <c r="L30" i="5"/>
  <c r="H30" i="5"/>
  <c r="C30" i="5"/>
  <c r="G30" i="5" s="1"/>
  <c r="L29" i="5"/>
  <c r="H29" i="5"/>
  <c r="O29" i="5" s="1"/>
  <c r="C29" i="5"/>
  <c r="G29" i="5" s="1"/>
  <c r="L28" i="5"/>
  <c r="H28" i="5"/>
  <c r="C28" i="5"/>
  <c r="G28" i="5" s="1"/>
  <c r="L27" i="5"/>
  <c r="H27" i="5"/>
  <c r="O27" i="5" s="1"/>
  <c r="C27" i="5"/>
  <c r="G27" i="5" s="1"/>
  <c r="L26" i="5"/>
  <c r="H26" i="5"/>
  <c r="C26" i="5"/>
  <c r="G26" i="5" s="1"/>
  <c r="L25" i="5"/>
  <c r="H25" i="5"/>
  <c r="O25" i="5" s="1"/>
  <c r="C25" i="5"/>
  <c r="G25" i="5" s="1"/>
  <c r="L24" i="5"/>
  <c r="H24" i="5"/>
  <c r="O24" i="5" s="1"/>
  <c r="C24" i="5"/>
  <c r="G24" i="5" s="1"/>
  <c r="L23" i="5"/>
  <c r="H23" i="5"/>
  <c r="C23" i="5"/>
  <c r="G23" i="5" s="1"/>
  <c r="M22" i="5"/>
  <c r="M31" i="5" s="1"/>
  <c r="H22" i="5"/>
  <c r="C22" i="5"/>
  <c r="G22" i="5" s="1"/>
  <c r="L21" i="5"/>
  <c r="H21" i="5"/>
  <c r="O21" i="5" s="1"/>
  <c r="C21" i="5"/>
  <c r="G21" i="5" s="1"/>
  <c r="L20" i="5"/>
  <c r="H20" i="5"/>
  <c r="O20" i="5" s="1"/>
  <c r="C20" i="5"/>
  <c r="G20" i="5" s="1"/>
  <c r="L19" i="5"/>
  <c r="H19" i="5"/>
  <c r="O19" i="5" s="1"/>
  <c r="C19" i="5"/>
  <c r="G19" i="5" s="1"/>
  <c r="L18" i="5"/>
  <c r="H18" i="5"/>
  <c r="O18" i="5" s="1"/>
  <c r="C18" i="5"/>
  <c r="G18" i="5" s="1"/>
  <c r="L17" i="5"/>
  <c r="H17" i="5"/>
  <c r="O17" i="5" s="1"/>
  <c r="C17" i="5"/>
  <c r="G17" i="5" s="1"/>
  <c r="L16" i="5"/>
  <c r="H16" i="5"/>
  <c r="C16" i="5"/>
  <c r="G16" i="5" s="1"/>
  <c r="L15" i="5"/>
  <c r="H15" i="5"/>
  <c r="O15" i="5" s="1"/>
  <c r="C15" i="5"/>
  <c r="G15" i="5" s="1"/>
  <c r="L14" i="5"/>
  <c r="H14" i="5"/>
  <c r="C14" i="5"/>
  <c r="G14" i="5" s="1"/>
  <c r="L13" i="5"/>
  <c r="H13" i="5"/>
  <c r="O13" i="5" s="1"/>
  <c r="C13" i="5"/>
  <c r="G13" i="5" s="1"/>
  <c r="L12" i="5"/>
  <c r="H12" i="5"/>
  <c r="C12" i="5"/>
  <c r="G12" i="5" s="1"/>
  <c r="L11" i="5"/>
  <c r="H11" i="5"/>
  <c r="O11" i="5" s="1"/>
  <c r="C11" i="5"/>
  <c r="G11" i="5" s="1"/>
  <c r="L10" i="5"/>
  <c r="H10" i="5"/>
  <c r="C10" i="5"/>
  <c r="G10" i="5" s="1"/>
  <c r="L9" i="5"/>
  <c r="H9" i="5"/>
  <c r="O9" i="5" s="1"/>
  <c r="C9" i="5"/>
  <c r="G9" i="5" s="1"/>
  <c r="L8" i="5"/>
  <c r="H8" i="5"/>
  <c r="O8" i="5" s="1"/>
  <c r="C8" i="5"/>
  <c r="G8" i="5" s="1"/>
  <c r="F31" i="4"/>
  <c r="F32" i="4" s="1"/>
  <c r="E31" i="4"/>
  <c r="E32" i="4" s="1"/>
  <c r="D31" i="4"/>
  <c r="D32" i="4" s="1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31" i="4" s="1"/>
  <c r="L32" i="4" s="1"/>
  <c r="CF12" i="2"/>
  <c r="CA12" i="2"/>
  <c r="BB12" i="2"/>
  <c r="AH12" i="2"/>
  <c r="AC12" i="2"/>
  <c r="X12" i="2"/>
  <c r="S12" i="2"/>
  <c r="N12" i="2"/>
  <c r="N9" i="2" s="1"/>
  <c r="I12" i="2"/>
  <c r="CP12" i="2"/>
  <c r="CU12" i="2"/>
  <c r="CZ12" i="2"/>
  <c r="DE12" i="2"/>
  <c r="AA22" i="2"/>
  <c r="BJ22" i="2"/>
  <c r="BO22" i="2"/>
  <c r="CF27" i="2"/>
  <c r="CU27" i="2"/>
  <c r="CZ27" i="2"/>
  <c r="J13" i="2"/>
  <c r="O13" i="2"/>
  <c r="T13" i="2"/>
  <c r="Y13" i="2"/>
  <c r="AD13" i="2"/>
  <c r="AI13" i="2"/>
  <c r="AN13" i="2"/>
  <c r="AS13" i="2"/>
  <c r="AX13" i="2"/>
  <c r="BC13" i="2"/>
  <c r="BH13" i="2"/>
  <c r="BM13" i="2"/>
  <c r="BR13" i="2"/>
  <c r="BW13" i="2"/>
  <c r="CB13" i="2"/>
  <c r="CG13" i="2"/>
  <c r="CL13" i="2"/>
  <c r="CQ13" i="2"/>
  <c r="CV13" i="2"/>
  <c r="DA13" i="2"/>
  <c r="DC19" i="2"/>
  <c r="CX19" i="2"/>
  <c r="CS19" i="2"/>
  <c r="CN19" i="2"/>
  <c r="CI19" i="2"/>
  <c r="CD19" i="2"/>
  <c r="BY19" i="2"/>
  <c r="BT19" i="2"/>
  <c r="BO19" i="2"/>
  <c r="BJ19" i="2"/>
  <c r="BE19" i="2"/>
  <c r="AZ19" i="2"/>
  <c r="AU19" i="2"/>
  <c r="AP19" i="2"/>
  <c r="AK19" i="2"/>
  <c r="AF19" i="2"/>
  <c r="AA19" i="2"/>
  <c r="V19" i="2"/>
  <c r="Q19" i="2"/>
  <c r="G19" i="2"/>
  <c r="M225" i="3"/>
  <c r="M226" i="3"/>
  <c r="CX20" i="2" s="1"/>
  <c r="M227" i="3"/>
  <c r="CS20" i="2" s="1"/>
  <c r="M228" i="3"/>
  <c r="CN20" i="2" s="1"/>
  <c r="M229" i="3"/>
  <c r="CI20" i="2" s="1"/>
  <c r="M230" i="3"/>
  <c r="CD20" i="2" s="1"/>
  <c r="M231" i="3"/>
  <c r="BY20" i="2" s="1"/>
  <c r="M232" i="3"/>
  <c r="BT20" i="2" s="1"/>
  <c r="BV20" i="2" s="1"/>
  <c r="M233" i="3"/>
  <c r="BO20" i="2" s="1"/>
  <c r="M234" i="3"/>
  <c r="BJ20" i="2" s="1"/>
  <c r="M235" i="3"/>
  <c r="BE20" i="2" s="1"/>
  <c r="M236" i="3"/>
  <c r="AP20" i="2" s="1"/>
  <c r="M237" i="3"/>
  <c r="AK20" i="2" s="1"/>
  <c r="M238" i="3"/>
  <c r="AF20" i="2" s="1"/>
  <c r="M239" i="3"/>
  <c r="AA20" i="2" s="1"/>
  <c r="M240" i="3"/>
  <c r="V20" i="2" s="1"/>
  <c r="M241" i="3"/>
  <c r="Q20" i="2" s="1"/>
  <c r="M242" i="3"/>
  <c r="L20" i="2" s="1"/>
  <c r="M243" i="3"/>
  <c r="G20" i="2" s="1"/>
  <c r="M244" i="3"/>
  <c r="DC20" i="2" s="1"/>
  <c r="M245" i="3"/>
  <c r="M224" i="3"/>
  <c r="N200" i="3"/>
  <c r="CS18" i="2" s="1"/>
  <c r="N201" i="3"/>
  <c r="CN18" i="2" s="1"/>
  <c r="N202" i="3"/>
  <c r="CI18" i="2" s="1"/>
  <c r="N203" i="3"/>
  <c r="CD18" i="2" s="1"/>
  <c r="N204" i="3"/>
  <c r="BY18" i="2" s="1"/>
  <c r="N205" i="3"/>
  <c r="BT18" i="2" s="1"/>
  <c r="N206" i="3"/>
  <c r="BO18" i="2" s="1"/>
  <c r="N207" i="3"/>
  <c r="BJ18" i="2" s="1"/>
  <c r="N208" i="3"/>
  <c r="BE18" i="2" s="1"/>
  <c r="N209" i="3"/>
  <c r="AZ18" i="2" s="1"/>
  <c r="N210" i="3"/>
  <c r="AU18" i="2" s="1"/>
  <c r="N211" i="3"/>
  <c r="AP18" i="2" s="1"/>
  <c r="N212" i="3"/>
  <c r="AK18" i="2" s="1"/>
  <c r="N213" i="3"/>
  <c r="AF18" i="2" s="1"/>
  <c r="N214" i="3"/>
  <c r="AA18" i="2" s="1"/>
  <c r="N215" i="3"/>
  <c r="V18" i="2" s="1"/>
  <c r="N216" i="3"/>
  <c r="Q18" i="2" s="1"/>
  <c r="N217" i="3"/>
  <c r="L18" i="2" s="1"/>
  <c r="N218" i="3"/>
  <c r="G18" i="2" s="1"/>
  <c r="N219" i="3"/>
  <c r="DC18" i="2" s="1"/>
  <c r="N199" i="3"/>
  <c r="CX18" i="2" s="1"/>
  <c r="DC15" i="2"/>
  <c r="CX15" i="2"/>
  <c r="CS15" i="2"/>
  <c r="CN15" i="2"/>
  <c r="CI15" i="2"/>
  <c r="CD15" i="2"/>
  <c r="BY15" i="2"/>
  <c r="BT15" i="2"/>
  <c r="BO15" i="2"/>
  <c r="BE15" i="2"/>
  <c r="AZ15" i="2"/>
  <c r="AU15" i="2"/>
  <c r="AP15" i="2"/>
  <c r="AK15" i="2"/>
  <c r="AF15" i="2"/>
  <c r="AA15" i="2"/>
  <c r="V15" i="2"/>
  <c r="Q15" i="2"/>
  <c r="L15" i="2"/>
  <c r="G15" i="2"/>
  <c r="D183" i="3"/>
  <c r="BJ15" i="2" s="1"/>
  <c r="G7" i="2"/>
  <c r="G24" i="2" s="1"/>
  <c r="L7" i="2"/>
  <c r="L24" i="2" s="1"/>
  <c r="L27" i="2" s="1"/>
  <c r="L28" i="2" s="1"/>
  <c r="Q7" i="2"/>
  <c r="Q24" i="2" s="1"/>
  <c r="Q27" i="2" s="1"/>
  <c r="Q28" i="2" s="1"/>
  <c r="V7" i="2"/>
  <c r="V24" i="2" s="1"/>
  <c r="V27" i="2" s="1"/>
  <c r="V28" i="2" s="1"/>
  <c r="AA7" i="2"/>
  <c r="AF7" i="2"/>
  <c r="AF24" i="2" s="1"/>
  <c r="AF27" i="2" s="1"/>
  <c r="AF28" i="2" s="1"/>
  <c r="AK7" i="2"/>
  <c r="AK24" i="2" s="1"/>
  <c r="AK27" i="2" s="1"/>
  <c r="AK28" i="2" s="1"/>
  <c r="AP7" i="2"/>
  <c r="AP24" i="2" s="1"/>
  <c r="AP27" i="2" s="1"/>
  <c r="AP28" i="2" s="1"/>
  <c r="AU7" i="2"/>
  <c r="AU24" i="2" s="1"/>
  <c r="AU27" i="2" s="1"/>
  <c r="AU28" i="2" s="1"/>
  <c r="AZ7" i="2"/>
  <c r="AZ24" i="2" s="1"/>
  <c r="AZ27" i="2" s="1"/>
  <c r="AZ28" i="2" s="1"/>
  <c r="BE7" i="2"/>
  <c r="BE24" i="2" s="1"/>
  <c r="BE27" i="2" s="1"/>
  <c r="BE28" i="2" s="1"/>
  <c r="BJ7" i="2"/>
  <c r="BO7" i="2"/>
  <c r="BT7" i="2"/>
  <c r="BT24" i="2" s="1"/>
  <c r="BT27" i="2" s="1"/>
  <c r="BT28" i="2" s="1"/>
  <c r="BY7" i="2"/>
  <c r="BY24" i="2" s="1"/>
  <c r="BY27" i="2" s="1"/>
  <c r="BY28" i="2" s="1"/>
  <c r="CA27" i="2" s="1"/>
  <c r="CD7" i="2"/>
  <c r="CD24" i="2" s="1"/>
  <c r="CD27" i="2" s="1"/>
  <c r="CD28" i="2" s="1"/>
  <c r="CI7" i="2"/>
  <c r="CI24" i="2" s="1"/>
  <c r="CI27" i="2" s="1"/>
  <c r="CI28" i="2" s="1"/>
  <c r="CN7" i="2"/>
  <c r="CN24" i="2" s="1"/>
  <c r="CN27" i="2" s="1"/>
  <c r="CN28" i="2" s="1"/>
  <c r="CS7" i="2"/>
  <c r="CS24" i="2" s="1"/>
  <c r="CS27" i="2" s="1"/>
  <c r="CS28" i="2" s="1"/>
  <c r="CX7" i="2"/>
  <c r="CX24" i="2" s="1"/>
  <c r="CX27" i="2" s="1"/>
  <c r="CX28" i="2" s="1"/>
  <c r="DC7" i="2"/>
  <c r="DC24" i="2" s="1"/>
  <c r="AA29" i="2"/>
  <c r="AF29" i="2"/>
  <c r="AK29" i="2"/>
  <c r="AP29" i="2"/>
  <c r="AU29" i="2"/>
  <c r="AZ29" i="2"/>
  <c r="BE29" i="2"/>
  <c r="BJ29" i="2"/>
  <c r="BO29" i="2"/>
  <c r="BT29" i="2"/>
  <c r="BY29" i="2"/>
  <c r="CD29" i="2"/>
  <c r="DF26" i="2"/>
  <c r="DB7" i="2"/>
  <c r="DB24" i="2" s="1"/>
  <c r="DB27" i="2" s="1"/>
  <c r="DB28" i="2" s="1"/>
  <c r="CW7" i="2"/>
  <c r="CR7" i="2"/>
  <c r="CR24" i="2" s="1"/>
  <c r="CR27" i="2" s="1"/>
  <c r="CR28" i="2" s="1"/>
  <c r="CM7" i="2"/>
  <c r="CM24" i="2" s="1"/>
  <c r="CM27" i="2" s="1"/>
  <c r="CM28" i="2" s="1"/>
  <c r="CH7" i="2"/>
  <c r="CH24" i="2" s="1"/>
  <c r="CH27" i="2" s="1"/>
  <c r="CH28" i="2" s="1"/>
  <c r="CC7" i="2"/>
  <c r="CC24" i="2" s="1"/>
  <c r="CC27" i="2" s="1"/>
  <c r="CC28" i="2" s="1"/>
  <c r="BX7" i="2"/>
  <c r="BX24" i="2" s="1"/>
  <c r="BX27" i="2" s="1"/>
  <c r="BX28" i="2" s="1"/>
  <c r="BS7" i="2"/>
  <c r="BS24" i="2" s="1"/>
  <c r="BS27" i="2" s="1"/>
  <c r="BS28" i="2" s="1"/>
  <c r="BV27" i="2" s="1"/>
  <c r="BN7" i="2"/>
  <c r="BI7" i="2"/>
  <c r="BD7" i="2"/>
  <c r="AY7" i="2"/>
  <c r="AY24" i="2" s="1"/>
  <c r="AY27" i="2" s="1"/>
  <c r="AY28" i="2" s="1"/>
  <c r="BB27" i="2" s="1"/>
  <c r="AT7" i="2"/>
  <c r="AT24" i="2" s="1"/>
  <c r="AT27" i="2" s="1"/>
  <c r="AT28" i="2" s="1"/>
  <c r="AO7" i="2"/>
  <c r="AO24" i="2" s="1"/>
  <c r="AO27" i="2" s="1"/>
  <c r="AO28" i="2" s="1"/>
  <c r="AJ7" i="2"/>
  <c r="AJ24" i="2" s="1"/>
  <c r="AJ27" i="2" s="1"/>
  <c r="AJ28" i="2" s="1"/>
  <c r="AE7" i="2"/>
  <c r="Z7" i="2"/>
  <c r="U7" i="2"/>
  <c r="U24" i="2" s="1"/>
  <c r="U27" i="2" s="1"/>
  <c r="U28" i="2" s="1"/>
  <c r="P7" i="2"/>
  <c r="P24" i="2" s="1"/>
  <c r="P27" i="2" s="1"/>
  <c r="P28" i="2" s="1"/>
  <c r="K7" i="2"/>
  <c r="K24" i="2" s="1"/>
  <c r="K27" i="2" s="1"/>
  <c r="K28" i="2" s="1"/>
  <c r="F7" i="2"/>
  <c r="F24" i="2" s="1"/>
  <c r="F27" i="2" s="1"/>
  <c r="F28" i="2" s="1"/>
  <c r="J24" i="2"/>
  <c r="J27" i="2" s="1"/>
  <c r="O24" i="2"/>
  <c r="O27" i="2" s="1"/>
  <c r="T24" i="2"/>
  <c r="T27" i="2" s="1"/>
  <c r="Y24" i="2"/>
  <c r="Y27" i="2" s="1"/>
  <c r="AD24" i="2"/>
  <c r="AD27" i="2" s="1"/>
  <c r="AI24" i="2"/>
  <c r="AI27" i="2" s="1"/>
  <c r="AN24" i="2"/>
  <c r="AN27" i="2" s="1"/>
  <c r="AS24" i="2"/>
  <c r="AS27" i="2" s="1"/>
  <c r="AX24" i="2"/>
  <c r="AX27" i="2" s="1"/>
  <c r="BC24" i="2"/>
  <c r="BC27" i="2" s="1"/>
  <c r="BG24" i="2"/>
  <c r="BH24" i="2"/>
  <c r="BH27" i="2" s="1"/>
  <c r="BM24" i="2"/>
  <c r="BM27" i="2" s="1"/>
  <c r="BR24" i="2"/>
  <c r="BR27" i="2" s="1"/>
  <c r="BW24" i="2"/>
  <c r="BW27" i="2" s="1"/>
  <c r="CB24" i="2"/>
  <c r="CB27" i="2" s="1"/>
  <c r="CG24" i="2"/>
  <c r="CG27" i="2" s="1"/>
  <c r="CL24" i="2"/>
  <c r="CL27" i="2" s="1"/>
  <c r="CQ24" i="2"/>
  <c r="CQ27" i="2" s="1"/>
  <c r="CV24" i="2"/>
  <c r="CV27" i="2" s="1"/>
  <c r="CZ24" i="2"/>
  <c r="DA24" i="2"/>
  <c r="DA27" i="2" s="1"/>
  <c r="Z22" i="2"/>
  <c r="CW22" i="2"/>
  <c r="BN22" i="2"/>
  <c r="BI22" i="2"/>
  <c r="BD22" i="2"/>
  <c r="DB20" i="2"/>
  <c r="CW20" i="2"/>
  <c r="CR20" i="2"/>
  <c r="CM20" i="2"/>
  <c r="CH20" i="2"/>
  <c r="CC20" i="2"/>
  <c r="BX20" i="2"/>
  <c r="BS20" i="2"/>
  <c r="BN20" i="2"/>
  <c r="BI20" i="2"/>
  <c r="BD20" i="2"/>
  <c r="AY20" i="2"/>
  <c r="AT20" i="2"/>
  <c r="AO20" i="2"/>
  <c r="AJ20" i="2"/>
  <c r="AE20" i="2"/>
  <c r="Z20" i="2"/>
  <c r="U20" i="2"/>
  <c r="P20" i="2"/>
  <c r="K20" i="2"/>
  <c r="F20" i="2"/>
  <c r="DB19" i="2"/>
  <c r="DE19" i="2" s="1"/>
  <c r="CW19" i="2"/>
  <c r="CR19" i="2"/>
  <c r="CM19" i="2"/>
  <c r="CH19" i="2"/>
  <c r="CC19" i="2"/>
  <c r="BX19" i="2"/>
  <c r="BS19" i="2"/>
  <c r="BN19" i="2"/>
  <c r="BI19" i="2"/>
  <c r="BD19" i="2"/>
  <c r="AY19" i="2"/>
  <c r="AT19" i="2"/>
  <c r="AO19" i="2"/>
  <c r="AJ19" i="2"/>
  <c r="AE19" i="2"/>
  <c r="Z19" i="2"/>
  <c r="AC19" i="2" s="1"/>
  <c r="U19" i="2"/>
  <c r="P19" i="2"/>
  <c r="K19" i="2"/>
  <c r="N19" i="2" s="1"/>
  <c r="F19" i="2"/>
  <c r="F18" i="2"/>
  <c r="P18" i="2"/>
  <c r="AJ18" i="2"/>
  <c r="AT18" i="2"/>
  <c r="CH18" i="2"/>
  <c r="CW18" i="2"/>
  <c r="DB18" i="2"/>
  <c r="CR18" i="2"/>
  <c r="CM18" i="2"/>
  <c r="CC18" i="2"/>
  <c r="BX18" i="2"/>
  <c r="BS18" i="2"/>
  <c r="BN18" i="2"/>
  <c r="BI18" i="2"/>
  <c r="BD18" i="2"/>
  <c r="AY18" i="2"/>
  <c r="AO18" i="2"/>
  <c r="AE18" i="2"/>
  <c r="Z18" i="2"/>
  <c r="U18" i="2"/>
  <c r="K18" i="2"/>
  <c r="DB15" i="2"/>
  <c r="CW15" i="2"/>
  <c r="CR15" i="2"/>
  <c r="CM15" i="2"/>
  <c r="CH15" i="2"/>
  <c r="CC15" i="2"/>
  <c r="BX15" i="2"/>
  <c r="BS15" i="2"/>
  <c r="BN15" i="2"/>
  <c r="BQ15" i="2" s="1"/>
  <c r="BD15" i="2"/>
  <c r="AY15" i="2"/>
  <c r="AT15" i="2"/>
  <c r="AW15" i="2" s="1"/>
  <c r="AO15" i="2"/>
  <c r="AJ15" i="2"/>
  <c r="AE15" i="2"/>
  <c r="Z15" i="2"/>
  <c r="U15" i="2"/>
  <c r="P15" i="2"/>
  <c r="K15" i="2"/>
  <c r="F15" i="2"/>
  <c r="H15" i="2" s="1"/>
  <c r="Z14" i="2"/>
  <c r="AC14" i="2" s="1"/>
  <c r="DB4" i="2"/>
  <c r="CW4" i="2"/>
  <c r="CR4" i="2"/>
  <c r="CM4" i="2"/>
  <c r="CH4" i="2"/>
  <c r="CC4" i="2"/>
  <c r="BX4" i="2"/>
  <c r="BS4" i="2"/>
  <c r="BN4" i="2"/>
  <c r="CZ23" i="2"/>
  <c r="CP23" i="2"/>
  <c r="CK23" i="2"/>
  <c r="CF23" i="2"/>
  <c r="CA23" i="2"/>
  <c r="BV23" i="2"/>
  <c r="BQ23" i="2"/>
  <c r="DE22" i="2"/>
  <c r="DE24" i="2" s="1"/>
  <c r="CU22" i="2"/>
  <c r="CU24" i="2" s="1"/>
  <c r="CP22" i="2"/>
  <c r="CP24" i="2" s="1"/>
  <c r="CK22" i="2"/>
  <c r="CK24" i="2" s="1"/>
  <c r="CF22" i="2"/>
  <c r="CF24" i="2" s="1"/>
  <c r="CA22" i="2"/>
  <c r="CA24" i="2" s="1"/>
  <c r="BV22" i="2"/>
  <c r="BV24" i="2" s="1"/>
  <c r="DE17" i="2"/>
  <c r="CZ17" i="2"/>
  <c r="CU17" i="2"/>
  <c r="CP17" i="2"/>
  <c r="CK17" i="2"/>
  <c r="CF17" i="2"/>
  <c r="CA17" i="2"/>
  <c r="BV17" i="2"/>
  <c r="BQ17" i="2"/>
  <c r="DE16" i="2"/>
  <c r="CZ16" i="2"/>
  <c r="CU16" i="2"/>
  <c r="CP16" i="2"/>
  <c r="CK16" i="2"/>
  <c r="CF16" i="2"/>
  <c r="CA16" i="2"/>
  <c r="BV16" i="2"/>
  <c r="BQ16" i="2"/>
  <c r="DE14" i="2"/>
  <c r="CZ14" i="2"/>
  <c r="CU14" i="2"/>
  <c r="CP14" i="2"/>
  <c r="CK14" i="2"/>
  <c r="CF14" i="2"/>
  <c r="CA14" i="2"/>
  <c r="BV14" i="2"/>
  <c r="BQ14" i="2"/>
  <c r="DC9" i="2"/>
  <c r="DB9" i="2"/>
  <c r="CX9" i="2"/>
  <c r="CW9" i="2"/>
  <c r="CS9" i="2"/>
  <c r="CR9" i="2"/>
  <c r="CN9" i="2"/>
  <c r="CM9" i="2"/>
  <c r="CK9" i="2"/>
  <c r="CI9" i="2"/>
  <c r="CH9" i="2"/>
  <c r="CD9" i="2"/>
  <c r="CC9" i="2"/>
  <c r="CA9" i="2"/>
  <c r="BY9" i="2"/>
  <c r="BX9" i="2"/>
  <c r="BV9" i="2"/>
  <c r="BT9" i="2"/>
  <c r="BS9" i="2"/>
  <c r="BO9" i="2"/>
  <c r="BN9" i="2"/>
  <c r="BI4" i="2"/>
  <c r="BD4" i="2"/>
  <c r="AY4" i="2"/>
  <c r="AT4" i="2"/>
  <c r="AO4" i="2"/>
  <c r="AJ4" i="2"/>
  <c r="AE4" i="2"/>
  <c r="Z4" i="2"/>
  <c r="U4" i="2"/>
  <c r="P4" i="2"/>
  <c r="K4" i="2"/>
  <c r="F4" i="2"/>
  <c r="AC23" i="2"/>
  <c r="S23" i="2"/>
  <c r="N23" i="2"/>
  <c r="AH22" i="2"/>
  <c r="AH24" i="2" s="1"/>
  <c r="X22" i="2"/>
  <c r="X24" i="2" s="1"/>
  <c r="S22" i="2"/>
  <c r="S24" i="2" s="1"/>
  <c r="N22" i="2"/>
  <c r="N24" i="2" s="1"/>
  <c r="I22" i="2"/>
  <c r="I24" i="2" s="1"/>
  <c r="AH17" i="2"/>
  <c r="AC17" i="2"/>
  <c r="X17" i="2"/>
  <c r="S17" i="2"/>
  <c r="N17" i="2"/>
  <c r="I17" i="2"/>
  <c r="AH16" i="2"/>
  <c r="AC16" i="2"/>
  <c r="X16" i="2"/>
  <c r="S16" i="2"/>
  <c r="N16" i="2"/>
  <c r="I16" i="2"/>
  <c r="AH14" i="2"/>
  <c r="X14" i="2"/>
  <c r="S14" i="2"/>
  <c r="N14" i="2"/>
  <c r="I14" i="2"/>
  <c r="AH9" i="2"/>
  <c r="AF9" i="2"/>
  <c r="AE9" i="2"/>
  <c r="AC9" i="2"/>
  <c r="AA9" i="2"/>
  <c r="Z9" i="2"/>
  <c r="X9" i="2"/>
  <c r="V9" i="2"/>
  <c r="U9" i="2"/>
  <c r="S9" i="2"/>
  <c r="Q9" i="2"/>
  <c r="P9" i="2"/>
  <c r="L9" i="2"/>
  <c r="K9" i="2"/>
  <c r="G9" i="2"/>
  <c r="F9" i="2"/>
  <c r="AW23" i="2"/>
  <c r="AR23" i="2"/>
  <c r="AM23" i="2"/>
  <c r="AW22" i="2"/>
  <c r="AW24" i="2" s="1"/>
  <c r="AR24" i="2"/>
  <c r="AM22" i="2"/>
  <c r="AM24" i="2" s="1"/>
  <c r="AW17" i="2"/>
  <c r="AR17" i="2"/>
  <c r="AM17" i="2"/>
  <c r="AW16" i="2"/>
  <c r="AR16" i="2"/>
  <c r="AM16" i="2"/>
  <c r="AW14" i="2"/>
  <c r="AR14" i="2"/>
  <c r="AM14" i="2"/>
  <c r="AW9" i="2"/>
  <c r="AU9" i="2"/>
  <c r="AT9" i="2"/>
  <c r="AP9" i="2"/>
  <c r="AO9" i="2"/>
  <c r="AM9" i="2"/>
  <c r="AK9" i="2"/>
  <c r="AJ9" i="2"/>
  <c r="BL23" i="2"/>
  <c r="BL17" i="2"/>
  <c r="BL16" i="2"/>
  <c r="BL14" i="2"/>
  <c r="BL9" i="2"/>
  <c r="BJ9" i="2"/>
  <c r="BI9" i="2"/>
  <c r="BG23" i="2"/>
  <c r="BG17" i="2"/>
  <c r="BG16" i="2"/>
  <c r="BG14" i="2"/>
  <c r="BE9" i="2"/>
  <c r="BD9" i="2"/>
  <c r="BB16" i="2"/>
  <c r="BB17" i="2"/>
  <c r="BB24" i="2"/>
  <c r="BB23" i="2"/>
  <c r="BB14" i="2"/>
  <c r="AZ9" i="2"/>
  <c r="BB9" i="2"/>
  <c r="AY9" i="2"/>
  <c r="L94" i="3"/>
  <c r="L49" i="3"/>
  <c r="D16" i="3"/>
  <c r="BI15" i="2" s="1"/>
  <c r="BB18" i="2" l="1"/>
  <c r="BA18" i="2" s="1"/>
  <c r="BV18" i="2"/>
  <c r="BU18" i="2" s="1"/>
  <c r="S18" i="2"/>
  <c r="R18" i="2" s="1"/>
  <c r="AU20" i="2"/>
  <c r="DE10" i="2"/>
  <c r="C7" i="6"/>
  <c r="A7" i="6" s="1"/>
  <c r="DD9" i="2" s="1"/>
  <c r="DD8" i="2" s="1"/>
  <c r="CU10" i="2"/>
  <c r="C16" i="6"/>
  <c r="A16" i="6" s="1"/>
  <c r="CT9" i="2" s="1"/>
  <c r="CT8" i="2" s="1"/>
  <c r="CP10" i="2"/>
  <c r="C8" i="6"/>
  <c r="A8" i="6" s="1"/>
  <c r="CO9" i="2" s="1"/>
  <c r="CO8" i="2" s="1"/>
  <c r="CZ10" i="2"/>
  <c r="C17" i="6"/>
  <c r="A17" i="6" s="1"/>
  <c r="CY9" i="2" s="1"/>
  <c r="CY8" i="2" s="1"/>
  <c r="DE36" i="2"/>
  <c r="K30" i="7"/>
  <c r="L30" i="7" s="1"/>
  <c r="BU9" i="2"/>
  <c r="BU8" i="2" s="1"/>
  <c r="AR10" i="2"/>
  <c r="AR9" i="2" s="1"/>
  <c r="AZ20" i="2"/>
  <c r="CP19" i="2"/>
  <c r="O10" i="5"/>
  <c r="O12" i="5"/>
  <c r="O14" i="5"/>
  <c r="O16" i="5"/>
  <c r="L22" i="5"/>
  <c r="O22" i="5" s="1"/>
  <c r="P22" i="5" s="1"/>
  <c r="O23" i="5"/>
  <c r="P23" i="5" s="1"/>
  <c r="P24" i="5"/>
  <c r="O26" i="5"/>
  <c r="P26" i="5" s="1"/>
  <c r="O28" i="5"/>
  <c r="P28" i="5" s="1"/>
  <c r="O30" i="5"/>
  <c r="P30" i="5" s="1"/>
  <c r="G34" i="6"/>
  <c r="CF10" i="2"/>
  <c r="CF9" i="2" s="1"/>
  <c r="C9" i="6"/>
  <c r="A9" i="6" s="1"/>
  <c r="CE9" i="2" s="1"/>
  <c r="CE8" i="2" s="1"/>
  <c r="K26" i="6"/>
  <c r="BG10" i="2"/>
  <c r="BG9" i="2" s="1"/>
  <c r="C21" i="6"/>
  <c r="A21" i="6" s="1"/>
  <c r="BF9" i="2" s="1"/>
  <c r="BF8" i="2" s="1"/>
  <c r="M9" i="2"/>
  <c r="M10" i="2"/>
  <c r="M8" i="2" s="1"/>
  <c r="X15" i="2"/>
  <c r="AR15" i="2"/>
  <c r="CF15" i="2"/>
  <c r="CZ15" i="2"/>
  <c r="CW24" i="2"/>
  <c r="CW27" i="2" s="1"/>
  <c r="CW28" i="2" s="1"/>
  <c r="AM15" i="2"/>
  <c r="BG15" i="2"/>
  <c r="CU15" i="2"/>
  <c r="AW18" i="2"/>
  <c r="AV18" i="2" s="1"/>
  <c r="AM20" i="2"/>
  <c r="BG20" i="2"/>
  <c r="AC18" i="2"/>
  <c r="AB18" i="2" s="1"/>
  <c r="BJ24" i="2"/>
  <c r="BJ27" i="2" s="1"/>
  <c r="BJ28" i="2" s="1"/>
  <c r="S20" i="2"/>
  <c r="AH20" i="2"/>
  <c r="BD24" i="2"/>
  <c r="BD27" i="2" s="1"/>
  <c r="BD28" i="2" s="1"/>
  <c r="BG27" i="2" s="1"/>
  <c r="AC22" i="2"/>
  <c r="AB22" i="2" s="1"/>
  <c r="DE18" i="2"/>
  <c r="DD18" i="2" s="1"/>
  <c r="AH18" i="2"/>
  <c r="AG18" i="2" s="1"/>
  <c r="N18" i="2"/>
  <c r="M18" i="2" s="1"/>
  <c r="CP18" i="2"/>
  <c r="CO18" i="2" s="1"/>
  <c r="CK18" i="2"/>
  <c r="CJ18" i="2" s="1"/>
  <c r="CA20" i="2"/>
  <c r="CU20" i="2"/>
  <c r="BL22" i="2"/>
  <c r="BK22" i="2" s="1"/>
  <c r="CZ9" i="2"/>
  <c r="I18" i="2"/>
  <c r="H18" i="2" s="1"/>
  <c r="CP15" i="2"/>
  <c r="CF18" i="2"/>
  <c r="CE18" i="2" s="1"/>
  <c r="CZ18" i="2"/>
  <c r="CY18" i="2" s="1"/>
  <c r="BQ10" i="2"/>
  <c r="BQ9" i="2" s="1"/>
  <c r="C13" i="6"/>
  <c r="A13" i="6" s="1"/>
  <c r="BP9" i="2" s="1"/>
  <c r="BP8" i="2" s="1"/>
  <c r="D33" i="4"/>
  <c r="AT13" i="2"/>
  <c r="AT8" i="2" s="1"/>
  <c r="CF29" i="2"/>
  <c r="DB13" i="2"/>
  <c r="DB8" i="2" s="1"/>
  <c r="BL18" i="2"/>
  <c r="BK18" i="2" s="1"/>
  <c r="N15" i="2"/>
  <c r="AR18" i="2"/>
  <c r="G13" i="2"/>
  <c r="G8" i="2" s="1"/>
  <c r="AA13" i="2"/>
  <c r="AA8" i="2" s="1"/>
  <c r="AU13" i="2"/>
  <c r="AU8" i="2" s="1"/>
  <c r="CI13" i="2"/>
  <c r="CI8" i="2" s="1"/>
  <c r="DC13" i="2"/>
  <c r="DC8" i="2" s="1"/>
  <c r="CU9" i="2"/>
  <c r="AW27" i="2"/>
  <c r="CA18" i="2"/>
  <c r="BZ18" i="2" s="1"/>
  <c r="CU18" i="2"/>
  <c r="CT18" i="2" s="1"/>
  <c r="X20" i="2"/>
  <c r="U29" i="2" s="1"/>
  <c r="AR20" i="2"/>
  <c r="BL20" i="2"/>
  <c r="CF20" i="2"/>
  <c r="CC29" i="2" s="1"/>
  <c r="CZ20" i="2"/>
  <c r="BC29" i="2"/>
  <c r="CP9" i="2"/>
  <c r="AE13" i="2"/>
  <c r="AE8" i="2" s="1"/>
  <c r="AW29" i="2"/>
  <c r="BS13" i="2"/>
  <c r="BS8" i="2" s="1"/>
  <c r="CM13" i="2"/>
  <c r="CM8" i="2" s="1"/>
  <c r="AS29" i="2"/>
  <c r="L13" i="2"/>
  <c r="L8" i="2" s="1"/>
  <c r="AZ13" i="2"/>
  <c r="AZ8" i="2" s="1"/>
  <c r="BT13" i="2"/>
  <c r="BT8" i="2" s="1"/>
  <c r="CN13" i="2"/>
  <c r="CN8" i="2" s="1"/>
  <c r="AC20" i="2"/>
  <c r="AW20" i="2"/>
  <c r="AT29" i="2" s="1"/>
  <c r="BQ20" i="2"/>
  <c r="DF12" i="2"/>
  <c r="BX13" i="2"/>
  <c r="BX8" i="2" s="1"/>
  <c r="T29" i="2"/>
  <c r="BB15" i="2"/>
  <c r="AY29" i="2" s="1"/>
  <c r="CA15" i="2"/>
  <c r="U13" i="2"/>
  <c r="U8" i="2" s="1"/>
  <c r="BI13" i="2"/>
  <c r="BI8" i="2" s="1"/>
  <c r="CC13" i="2"/>
  <c r="CC8" i="2" s="1"/>
  <c r="BN24" i="2"/>
  <c r="BN27" i="2" s="1"/>
  <c r="BN28" i="2" s="1"/>
  <c r="CL29" i="2"/>
  <c r="AA24" i="2"/>
  <c r="AA27" i="2" s="1"/>
  <c r="AA28" i="2" s="1"/>
  <c r="Q13" i="2"/>
  <c r="Q8" i="2" s="1"/>
  <c r="AK13" i="2"/>
  <c r="AK8" i="2" s="1"/>
  <c r="BE13" i="2"/>
  <c r="BE8" i="2" s="1"/>
  <c r="BY13" i="2"/>
  <c r="BY8" i="2" s="1"/>
  <c r="CS13" i="2"/>
  <c r="CS8" i="2" s="1"/>
  <c r="BV15" i="2"/>
  <c r="BV21" i="2" s="1"/>
  <c r="P13" i="2"/>
  <c r="P8" i="2" s="1"/>
  <c r="CR13" i="2"/>
  <c r="CR8" i="2" s="1"/>
  <c r="DE15" i="2"/>
  <c r="F13" i="2"/>
  <c r="F8" i="2" s="1"/>
  <c r="AC15" i="2"/>
  <c r="BN13" i="2"/>
  <c r="BN8" i="2" s="1"/>
  <c r="AM18" i="2"/>
  <c r="AL18" i="2" s="1"/>
  <c r="I20" i="2"/>
  <c r="CK20" i="2"/>
  <c r="DE20" i="2"/>
  <c r="V13" i="2"/>
  <c r="V8" i="2" s="1"/>
  <c r="BJ13" i="2"/>
  <c r="BJ8" i="2" s="1"/>
  <c r="K19" i="7"/>
  <c r="L19" i="7" s="1"/>
  <c r="DF36" i="2"/>
  <c r="K32" i="6"/>
  <c r="Q30" i="6" s="1"/>
  <c r="R30" i="6" s="1"/>
  <c r="P12" i="7"/>
  <c r="K12" i="7"/>
  <c r="L12" i="7" s="1"/>
  <c r="O12" i="7"/>
  <c r="P22" i="7"/>
  <c r="K22" i="7"/>
  <c r="L22" i="7" s="1"/>
  <c r="O22" i="7"/>
  <c r="P23" i="7"/>
  <c r="K23" i="7"/>
  <c r="L23" i="7" s="1"/>
  <c r="O23" i="7"/>
  <c r="P15" i="7"/>
  <c r="K15" i="7"/>
  <c r="L15" i="7" s="1"/>
  <c r="O15" i="7"/>
  <c r="P21" i="7"/>
  <c r="K21" i="7"/>
  <c r="L21" i="7" s="1"/>
  <c r="O21" i="7"/>
  <c r="P16" i="7"/>
  <c r="K16" i="7"/>
  <c r="L16" i="7" s="1"/>
  <c r="O16" i="7"/>
  <c r="P24" i="7"/>
  <c r="K24" i="7"/>
  <c r="L24" i="7" s="1"/>
  <c r="O24" i="7"/>
  <c r="O29" i="7"/>
  <c r="P29" i="7"/>
  <c r="K29" i="7"/>
  <c r="L29" i="7" s="1"/>
  <c r="P25" i="7"/>
  <c r="K25" i="7"/>
  <c r="L25" i="7" s="1"/>
  <c r="O25" i="7"/>
  <c r="O17" i="7"/>
  <c r="P17" i="7"/>
  <c r="K17" i="7"/>
  <c r="L17" i="7" s="1"/>
  <c r="P13" i="7"/>
  <c r="K13" i="7"/>
  <c r="L13" i="7" s="1"/>
  <c r="O13" i="7"/>
  <c r="P27" i="7"/>
  <c r="K27" i="7"/>
  <c r="L27" i="7" s="1"/>
  <c r="O27" i="7"/>
  <c r="P14" i="7"/>
  <c r="K14" i="7"/>
  <c r="L14" i="7" s="1"/>
  <c r="O14" i="7"/>
  <c r="G29" i="6"/>
  <c r="G32" i="6" s="1"/>
  <c r="DE9" i="2"/>
  <c r="I9" i="2"/>
  <c r="D26" i="6"/>
  <c r="DF16" i="2"/>
  <c r="DF17" i="2"/>
  <c r="CD13" i="2"/>
  <c r="CD8" i="2" s="1"/>
  <c r="CX13" i="2"/>
  <c r="CX8" i="2" s="1"/>
  <c r="Z13" i="2"/>
  <c r="Z8" i="2" s="1"/>
  <c r="CW13" i="2"/>
  <c r="CW8" i="2" s="1"/>
  <c r="J29" i="2"/>
  <c r="AX29" i="2"/>
  <c r="DF14" i="2"/>
  <c r="BI24" i="2"/>
  <c r="BI27" i="2" s="1"/>
  <c r="BI28" i="2" s="1"/>
  <c r="AE24" i="2"/>
  <c r="AE27" i="2" s="1"/>
  <c r="AE28" i="2" s="1"/>
  <c r="AF13" i="2"/>
  <c r="AF8" i="2" s="1"/>
  <c r="CK28" i="2"/>
  <c r="BB21" i="2"/>
  <c r="N27" i="2"/>
  <c r="AH15" i="2"/>
  <c r="BL15" i="2"/>
  <c r="BR29" i="2"/>
  <c r="CG29" i="2"/>
  <c r="CH13" i="2"/>
  <c r="CH8" i="2" s="1"/>
  <c r="AO13" i="2"/>
  <c r="AO8" i="2" s="1"/>
  <c r="AJ13" i="2"/>
  <c r="AJ8" i="2" s="1"/>
  <c r="BQ22" i="2"/>
  <c r="BP22" i="2" s="1"/>
  <c r="Z24" i="2"/>
  <c r="Z27" i="2" s="1"/>
  <c r="Z28" i="2" s="1"/>
  <c r="CK15" i="2"/>
  <c r="N20" i="2"/>
  <c r="CP20" i="2"/>
  <c r="AR19" i="2"/>
  <c r="BW29" i="2"/>
  <c r="BD13" i="2"/>
  <c r="BD8" i="2" s="1"/>
  <c r="AY13" i="2"/>
  <c r="AY8" i="2" s="1"/>
  <c r="Y29" i="2"/>
  <c r="CB29" i="2"/>
  <c r="DA29" i="2"/>
  <c r="K13" i="2"/>
  <c r="K8" i="2" s="1"/>
  <c r="BO24" i="2"/>
  <c r="BO27" i="2" s="1"/>
  <c r="BO28" i="2" s="1"/>
  <c r="I15" i="2"/>
  <c r="X18" i="2"/>
  <c r="W18" i="2" s="1"/>
  <c r="AI29" i="2"/>
  <c r="CU19" i="2"/>
  <c r="AP13" i="2"/>
  <c r="AP8" i="2" s="1"/>
  <c r="G32" i="4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5" i="5"/>
  <c r="P29" i="5"/>
  <c r="P27" i="5"/>
  <c r="C31" i="5"/>
  <c r="G31" i="5" s="1"/>
  <c r="BO13" i="2"/>
  <c r="BO8" i="2" s="1"/>
  <c r="BM29" i="2"/>
  <c r="CV29" i="2"/>
  <c r="CQ29" i="2"/>
  <c r="BH29" i="2"/>
  <c r="BD29" i="2"/>
  <c r="AN29" i="2"/>
  <c r="AJ29" i="2"/>
  <c r="O29" i="2"/>
  <c r="BQ18" i="2"/>
  <c r="BG18" i="2"/>
  <c r="BF18" i="2" s="1"/>
  <c r="AD29" i="2"/>
  <c r="S15" i="2"/>
  <c r="P29" i="2" s="1"/>
  <c r="DC27" i="2"/>
  <c r="DC28" i="2" s="1"/>
  <c r="BU13" i="2" l="1"/>
  <c r="BU7" i="2" s="1"/>
  <c r="BU33" i="2" s="1"/>
  <c r="BU37" i="2" s="1"/>
  <c r="BU39" i="2" s="1"/>
  <c r="BK13" i="2"/>
  <c r="BK7" i="2" s="1"/>
  <c r="BK33" i="2" s="1"/>
  <c r="BK37" i="2" s="1"/>
  <c r="BK39" i="2" s="1"/>
  <c r="C26" i="6"/>
  <c r="L31" i="5"/>
  <c r="O31" i="5" s="1"/>
  <c r="A26" i="6"/>
  <c r="BA13" i="2"/>
  <c r="BA7" i="2" s="1"/>
  <c r="BA33" i="2" s="1"/>
  <c r="BA37" i="2" s="1"/>
  <c r="BA39" i="2" s="1"/>
  <c r="CM29" i="2"/>
  <c r="CZ21" i="2"/>
  <c r="BN29" i="2"/>
  <c r="BV13" i="2"/>
  <c r="BV8" i="2" s="1"/>
  <c r="BV33" i="2" s="1"/>
  <c r="BV37" i="2" s="1"/>
  <c r="BV40" i="2" s="1"/>
  <c r="BU21" i="2"/>
  <c r="BQ21" i="2"/>
  <c r="BP21" i="2" s="1"/>
  <c r="BP18" i="2"/>
  <c r="BB13" i="2"/>
  <c r="BB8" i="2" s="1"/>
  <c r="BB33" i="2" s="1"/>
  <c r="BB37" i="2" s="1"/>
  <c r="BB40" i="2" s="1"/>
  <c r="BA21" i="2"/>
  <c r="AM21" i="2"/>
  <c r="AL21" i="2" s="1"/>
  <c r="AL13" i="2" s="1"/>
  <c r="AL7" i="2" s="1"/>
  <c r="AL33" i="2" s="1"/>
  <c r="AQ18" i="2"/>
  <c r="K29" i="2"/>
  <c r="Z29" i="2"/>
  <c r="AC21" i="2"/>
  <c r="AC13" i="2" s="1"/>
  <c r="AC8" i="2" s="1"/>
  <c r="AC33" i="2" s="1"/>
  <c r="BX29" i="2"/>
  <c r="AO29" i="2"/>
  <c r="BG21" i="2"/>
  <c r="CH29" i="2"/>
  <c r="I21" i="2"/>
  <c r="H21" i="2" s="1"/>
  <c r="H13" i="2" s="1"/>
  <c r="CW29" i="2"/>
  <c r="DF10" i="2"/>
  <c r="CU21" i="2"/>
  <c r="AH21" i="2"/>
  <c r="AG21" i="2" s="1"/>
  <c r="AG13" i="2" s="1"/>
  <c r="AG6" i="2" s="1"/>
  <c r="AG33" i="2" s="1"/>
  <c r="CF21" i="2"/>
  <c r="DB29" i="2"/>
  <c r="BI29" i="2"/>
  <c r="CA21" i="2"/>
  <c r="DF9" i="2"/>
  <c r="BL21" i="2"/>
  <c r="BK21" i="2" s="1"/>
  <c r="AW21" i="2"/>
  <c r="DF20" i="2"/>
  <c r="CK21" i="2"/>
  <c r="CJ21" i="2" s="1"/>
  <c r="CJ13" i="2" s="1"/>
  <c r="CJ7" i="2" s="1"/>
  <c r="CJ33" i="2" s="1"/>
  <c r="CJ37" i="2" s="1"/>
  <c r="CR29" i="2"/>
  <c r="N21" i="2"/>
  <c r="M21" i="2" s="1"/>
  <c r="M13" i="2" s="1"/>
  <c r="M7" i="2" s="1"/>
  <c r="M33" i="2" s="1"/>
  <c r="M37" i="2" s="1"/>
  <c r="M40" i="2" s="1"/>
  <c r="X21" i="2"/>
  <c r="O31" i="7"/>
  <c r="P31" i="7"/>
  <c r="CP21" i="2"/>
  <c r="CO21" i="2" s="1"/>
  <c r="CO13" i="2" s="1"/>
  <c r="CO7" i="2" s="1"/>
  <c r="CO33" i="2" s="1"/>
  <c r="CO37" i="2" s="1"/>
  <c r="CO40" i="2" s="1"/>
  <c r="DE21" i="2"/>
  <c r="DD21" i="2" s="1"/>
  <c r="DD13" i="2" s="1"/>
  <c r="DD7" i="2" s="1"/>
  <c r="DD33" i="2" s="1"/>
  <c r="DD37" i="2" s="1"/>
  <c r="DD39" i="2" s="1"/>
  <c r="DH28" i="2"/>
  <c r="DF18" i="2"/>
  <c r="S21" i="2"/>
  <c r="DF19" i="2"/>
  <c r="AR21" i="2"/>
  <c r="DF15" i="2"/>
  <c r="Q29" i="6"/>
  <c r="R29" i="6" s="1"/>
  <c r="G33" i="6"/>
  <c r="P31" i="5"/>
  <c r="BQ24" i="2"/>
  <c r="BS29" i="2"/>
  <c r="AE29" i="2"/>
  <c r="F29" i="2"/>
  <c r="G27" i="2"/>
  <c r="G28" i="2" s="1"/>
  <c r="AL37" i="2" l="1"/>
  <c r="AL39" i="2" s="1"/>
  <c r="AG37" i="2"/>
  <c r="AG39" i="2"/>
  <c r="AG40" i="2" s="1"/>
  <c r="CZ13" i="2"/>
  <c r="CZ8" i="2" s="1"/>
  <c r="CZ33" i="2" s="1"/>
  <c r="CZ37" i="2" s="1"/>
  <c r="CZ40" i="2" s="1"/>
  <c r="CY21" i="2"/>
  <c r="CY13" i="2" s="1"/>
  <c r="CY7" i="2" s="1"/>
  <c r="CY33" i="2" s="1"/>
  <c r="CY37" i="2" s="1"/>
  <c r="CY39" i="2" s="1"/>
  <c r="H8" i="2"/>
  <c r="H33" i="2" s="1"/>
  <c r="AQ13" i="2"/>
  <c r="AQ7" i="2" s="1"/>
  <c r="AQ33" i="2" s="1"/>
  <c r="AQ37" i="2" s="1"/>
  <c r="AQ39" i="2" s="1"/>
  <c r="BP13" i="2"/>
  <c r="BP7" i="2" s="1"/>
  <c r="BP33" i="2" s="1"/>
  <c r="BP37" i="2" s="1"/>
  <c r="BP39" i="2" s="1"/>
  <c r="CU13" i="2"/>
  <c r="CU8" i="2" s="1"/>
  <c r="CU33" i="2" s="1"/>
  <c r="CT21" i="2"/>
  <c r="CT13" i="2" s="1"/>
  <c r="CT7" i="2" s="1"/>
  <c r="CT33" i="2" s="1"/>
  <c r="CP13" i="2"/>
  <c r="CP8" i="2" s="1"/>
  <c r="CP33" i="2" s="1"/>
  <c r="CP37" i="2" s="1"/>
  <c r="CP40" i="2" s="1"/>
  <c r="CK13" i="2"/>
  <c r="CK8" i="2" s="1"/>
  <c r="CK33" i="2" s="1"/>
  <c r="CK37" i="2" s="1"/>
  <c r="CK40" i="2" s="1"/>
  <c r="CF13" i="2"/>
  <c r="CF8" i="2" s="1"/>
  <c r="CF33" i="2" s="1"/>
  <c r="CF37" i="2" s="1"/>
  <c r="CF40" i="2" s="1"/>
  <c r="CE21" i="2"/>
  <c r="CE13" i="2" s="1"/>
  <c r="CE7" i="2" s="1"/>
  <c r="CE33" i="2" s="1"/>
  <c r="CA13" i="2"/>
  <c r="CA8" i="2" s="1"/>
  <c r="CA33" i="2" s="1"/>
  <c r="CA37" i="2" s="1"/>
  <c r="CA40" i="2" s="1"/>
  <c r="BZ21" i="2"/>
  <c r="BZ13" i="2" s="1"/>
  <c r="BZ7" i="2" s="1"/>
  <c r="BZ33" i="2" s="1"/>
  <c r="BZ37" i="2" s="1"/>
  <c r="BQ13" i="2"/>
  <c r="BQ8" i="2" s="1"/>
  <c r="BQ33" i="2" s="1"/>
  <c r="BQ37" i="2" s="1"/>
  <c r="BQ40" i="2" s="1"/>
  <c r="BL13" i="2"/>
  <c r="BL8" i="2" s="1"/>
  <c r="BG13" i="2"/>
  <c r="BG8" i="2" s="1"/>
  <c r="BG33" i="2" s="1"/>
  <c r="BG37" i="2" s="1"/>
  <c r="BG40" i="2" s="1"/>
  <c r="BF21" i="2"/>
  <c r="BF13" i="2" s="1"/>
  <c r="BF7" i="2" s="1"/>
  <c r="BF33" i="2" s="1"/>
  <c r="BF37" i="2" s="1"/>
  <c r="BF39" i="2" s="1"/>
  <c r="AW13" i="2"/>
  <c r="AW8" i="2" s="1"/>
  <c r="AW33" i="2" s="1"/>
  <c r="AW37" i="2" s="1"/>
  <c r="AW40" i="2" s="1"/>
  <c r="AV21" i="2"/>
  <c r="AV13" i="2" s="1"/>
  <c r="AV7" i="2" s="1"/>
  <c r="AV33" i="2" s="1"/>
  <c r="AV37" i="2" s="1"/>
  <c r="AR13" i="2"/>
  <c r="AR8" i="2" s="1"/>
  <c r="AR33" i="2" s="1"/>
  <c r="AR37" i="2" s="1"/>
  <c r="AR40" i="2" s="1"/>
  <c r="AQ21" i="2"/>
  <c r="AM13" i="2"/>
  <c r="AM8" i="2" s="1"/>
  <c r="AM33" i="2" s="1"/>
  <c r="AM37" i="2" s="1"/>
  <c r="AM40" i="2" s="1"/>
  <c r="I13" i="2"/>
  <c r="I8" i="2" s="1"/>
  <c r="I33" i="2" s="1"/>
  <c r="I37" i="2" s="1"/>
  <c r="I40" i="2" s="1"/>
  <c r="AH13" i="2"/>
  <c r="AH8" i="2" s="1"/>
  <c r="AH33" i="2" s="1"/>
  <c r="AH37" i="2" s="1"/>
  <c r="AH40" i="2" s="1"/>
  <c r="X13" i="2"/>
  <c r="X8" i="2" s="1"/>
  <c r="X33" i="2" s="1"/>
  <c r="X37" i="2" s="1"/>
  <c r="X40" i="2" s="1"/>
  <c r="W21" i="2"/>
  <c r="N13" i="2"/>
  <c r="N8" i="2" s="1"/>
  <c r="N33" i="2" s="1"/>
  <c r="N40" i="2" s="1"/>
  <c r="S13" i="2"/>
  <c r="S8" i="2" s="1"/>
  <c r="S33" i="2" s="1"/>
  <c r="S40" i="2" s="1"/>
  <c r="R21" i="2"/>
  <c r="R13" i="2" s="1"/>
  <c r="R7" i="2" s="1"/>
  <c r="R33" i="2" s="1"/>
  <c r="R37" i="2" s="1"/>
  <c r="R40" i="2" s="1"/>
  <c r="H7" i="2"/>
  <c r="CU37" i="2"/>
  <c r="CU40" i="2" s="1"/>
  <c r="AC37" i="2"/>
  <c r="AC40" i="2" s="1"/>
  <c r="DE13" i="2"/>
  <c r="DF21" i="2"/>
  <c r="DF28" i="2"/>
  <c r="DF29" i="2"/>
  <c r="AB21" i="2" l="1"/>
  <c r="AB13" i="2" s="1"/>
  <c r="AB7" i="2" s="1"/>
  <c r="AB33" i="2" s="1"/>
  <c r="AB37" i="2" s="1"/>
  <c r="AB39" i="2" s="1"/>
  <c r="AB40" i="2" s="1"/>
  <c r="W13" i="2"/>
  <c r="W7" i="2" s="1"/>
  <c r="W33" i="2" s="1"/>
  <c r="BL33" i="2"/>
  <c r="BL37" i="2" s="1"/>
  <c r="BL40" i="2" s="1"/>
  <c r="BL7" i="2"/>
  <c r="BL24" i="2" s="1"/>
  <c r="CE37" i="2"/>
  <c r="CE39" i="2"/>
  <c r="CT37" i="2"/>
  <c r="CT39" i="2" s="1"/>
  <c r="H37" i="2"/>
  <c r="H24" i="2"/>
  <c r="DF24" i="2" s="1"/>
  <c r="DE8" i="2"/>
  <c r="DF13" i="2"/>
  <c r="W37" i="2" l="1"/>
  <c r="W39" i="2"/>
  <c r="W40" i="2" s="1"/>
  <c r="DF7" i="2"/>
  <c r="H39" i="2"/>
  <c r="DF39" i="2" s="1"/>
  <c r="DE33" i="2"/>
  <c r="DF8" i="2"/>
  <c r="DG8" i="2" s="1"/>
  <c r="H40" i="2" l="1"/>
  <c r="DE37" i="2"/>
  <c r="DF37" i="2" s="1"/>
  <c r="DF33" i="2"/>
  <c r="DE40" i="2" l="1"/>
  <c r="DF40" i="2" s="1"/>
</calcChain>
</file>

<file path=xl/sharedStrings.xml><?xml version="1.0" encoding="utf-8"?>
<sst xmlns="http://schemas.openxmlformats.org/spreadsheetml/2006/main" count="832" uniqueCount="231">
  <si>
    <t>Наименование показателя</t>
  </si>
  <si>
    <t>по расходам</t>
  </si>
  <si>
    <t>Расчетный объем социально-значимых и первоочередных расходов</t>
  </si>
  <si>
    <t>Итого социально значимые и первоочередные</t>
  </si>
  <si>
    <t>Пенсии муниципальным служащим</t>
  </si>
  <si>
    <t>Раздел II. Первоочередные</t>
  </si>
  <si>
    <t>Прочие выплаты в пользу работников (вид расхода 112, 122 )</t>
  </si>
  <si>
    <t>Исполнение судебных актов**</t>
  </si>
  <si>
    <t>Х</t>
  </si>
  <si>
    <t>Обслуживание муниципального долга</t>
  </si>
  <si>
    <t>Раздел I. Социально-значимые (согласно согласованного по результатам инвентаризации)</t>
  </si>
  <si>
    <t>Заработная плата с начислениями (согласно согласованного по результатам инвентаризации)</t>
  </si>
  <si>
    <t>х</t>
  </si>
  <si>
    <t>Ожидаемый объем расходов бюджета поселения в  отчетном финансовом году</t>
  </si>
  <si>
    <r>
      <t xml:space="preserve">Фактический объем расходов бюджета поселения в году предшествующем отчетному финансовому году </t>
    </r>
    <r>
      <rPr>
        <sz val="10"/>
        <color rgb="FFFF0000"/>
        <rFont val="Times New Roman"/>
        <family val="1"/>
        <charset val="204"/>
      </rPr>
      <t>( исполнено форма ..117,..737)</t>
    </r>
  </si>
  <si>
    <t>Резервный фонд (но не менее 10,0 руб.на человека) раздел 0111 вид 870</t>
  </si>
  <si>
    <t>Благоустройство (для сельских поселений без содержания мест захоронения) раздел 0503 вид 244</t>
  </si>
  <si>
    <t>Содержание полномочий культур,раздел 08 вид 611</t>
  </si>
  <si>
    <t>Содержание муниципального имущества, иные расходы (за исключением расходов  на текущий и капитальный ремонт) вид 242,244 (за исключение косгу 349)</t>
  </si>
  <si>
    <t>Уплата налогов, (вид 852 )</t>
  </si>
  <si>
    <t>Коммунальные услуги* (с учетом косгу 349)</t>
  </si>
  <si>
    <t>не учитывается вид 412,831,853,880,241. косгу 296,297</t>
  </si>
  <si>
    <t>Прочие, включая межбюджетные трансферты на осуществление переданных полномочий не включаемые в расчет сбалансированности</t>
  </si>
  <si>
    <t>(план форма ..117,..737 по состоянию на 1 октября года)</t>
  </si>
  <si>
    <t>Нижестоящие отчеты</t>
  </si>
  <si>
    <t>АДМИНИСТРАЦИЯ СЕЛЬСКОГО ПОСЕЛЕНИЯ "АЛЕКСАНДРОВСКОЕ"</t>
  </si>
  <si>
    <t>АДМИНИСТРАЦИЯ СЕЛЬСКОГО ПОСЕЛЕНИЯ "АРАХЛЕЙСКОЕ"</t>
  </si>
  <si>
    <t>АДМИНИСТРАЦИЯ СЕЛЬСКОГО ПОСЕЛЕНИЯ "БЕКЛЕМИШЕВСКОЕ"</t>
  </si>
  <si>
    <t>АДМИНИСТРАЦИЯ СЕЛЬСКОГО ПОСЕЛЕНИЯ "ВЕРХ- ЧИТИНСКОЕ"</t>
  </si>
  <si>
    <t>АДМИНИСТРАЦИЯ СЕЛЬСКОГО ПОСЕЛЕНИЯ "ДОМНИНСКОЕ"</t>
  </si>
  <si>
    <t>АДМИНИСТРАЦИЯ СЕЛЬСКОГО ПОСЕЛЕНИЯ "ЕЛИЗАВЕТИНСКОЕ"</t>
  </si>
  <si>
    <t>АДМИНИСТРАЦИЯ СЕЛЬСКОГО ПОСЕЛЕНИЯ "ЗАСОПКИНСКОЕ"</t>
  </si>
  <si>
    <t>АДМИНИСТРАЦИЯ СЕЛЬСКОГО ПОСЕЛЕНИЯ "ИНГОДИНСКОЕ"</t>
  </si>
  <si>
    <t>АДМИНИСТРАЦИЯ СЕЛЬСКОГО ПОСЕЛЕНИЯ "КОЛОЧНИНСКОЕ"</t>
  </si>
  <si>
    <t>АДМИНИСТРАЦИЯ СЕЛЬСКОГО ПОСЕЛЕНИЯ "ЛЕНИНСКОЕ"</t>
  </si>
  <si>
    <t>АДМИНИСТРАЦИЯ СЕЛЬСКОГО ПОСЕЛЕНИЯ "ЛЕСНИНСКОЕ"</t>
  </si>
  <si>
    <t>АДМИНИСТРАЦИЯ СЕЛЬСКОГО ПОСЕЛЕНИЯ "МАККАВЕЕВСКОЕ"</t>
  </si>
  <si>
    <t>АДМИНИСТРАЦИЯ СЕЛЬСКОГО ПОСЕЛЕНИЯ "НОВОКУКИНСКОЕ"</t>
  </si>
  <si>
    <t>АДМИНИСТРАЦИЯ СЕЛЬСКОГО ПОСЕЛЕНИЯ "НОВОТРОИЦКОЕ"</t>
  </si>
  <si>
    <t>АДМИНИСТРАЦИЯ СЕЛЬСКОГО ПОСЕЛЕНИЯ "ОЛЕНГУЙСКОЕ"</t>
  </si>
  <si>
    <t>АДМИНИСТРАЦИЯ СЕЛЬСКОГО ПОСЕЛЕНИЯ "СИВЯКОВСКОЕ"</t>
  </si>
  <si>
    <t>АДМИНИСТРАЦИЯ СЕЛЬСКОГО ПОСЕЛЕНИЯ "СМОЛЕНСКОЕ"</t>
  </si>
  <si>
    <t>АДМИНИСТРАЦИЯ СЕЛЬСКОГО ПОСЕЛЕНИЯ "СОХОНДИНСКОЕ"</t>
  </si>
  <si>
    <t>АДМИНИСТРАЦИЯ СЕЛЬСКОГО ПОСЕЛЕНИЯ "УГДАНСКОЕ"</t>
  </si>
  <si>
    <t>АДМИНИСТРАЦИЯ СЕЛЬСКОГО ПОСЕЛЕНИЯ "ШИШКИНСКОЕ"</t>
  </si>
  <si>
    <t>АДМИНИСТРАЦИЯ СЕЛЬСКОГО ПОСЕЛЕНИЯ "ЯБЛОНОВСКОЕ"</t>
  </si>
  <si>
    <t>2020 год</t>
  </si>
  <si>
    <t>факт</t>
  </si>
  <si>
    <t>ФАКТ</t>
  </si>
  <si>
    <t>Резервный фонд (но не менее 10,0 руб.на человека) раздел 0111 вид 870, учитывается план</t>
  </si>
  <si>
    <t>Резервный фонд</t>
  </si>
  <si>
    <t>.0309</t>
  </si>
  <si>
    <t>Содержание полномочий культур,вид 611</t>
  </si>
  <si>
    <t>611 вид</t>
  </si>
  <si>
    <t>2021 год</t>
  </si>
  <si>
    <t>на 2022 год</t>
  </si>
  <si>
    <t>численность</t>
  </si>
  <si>
    <t>ИТОГО РАСХОДЫ</t>
  </si>
  <si>
    <t>затраты на 1 человека</t>
  </si>
  <si>
    <t>расходы</t>
  </si>
  <si>
    <t>Итого расходы за минусом 75 на первоочередные и социальные</t>
  </si>
  <si>
    <t>ИТОГО РАСХОДЫ первоочерные на 1 человека</t>
  </si>
  <si>
    <t>ИТОГО РАСХОДЫ (БЕЗ 600тых и межбюджетных)</t>
  </si>
  <si>
    <t xml:space="preserve">2021 год </t>
  </si>
  <si>
    <t>Период: Сентябрь 2021 год</t>
  </si>
  <si>
    <t>Организация</t>
  </si>
  <si>
    <t>8-Утвержденные бюджетные назначения</t>
  </si>
  <si>
    <t>СЕЛЬСКОЕ ПОСЕЛЕНИЕ "ШИШКИНСКОЕ"</t>
  </si>
  <si>
    <t>СЕЛЬСКОЕ ПОСЕЛЕНИЕ "УГДАНСКОЕ"</t>
  </si>
  <si>
    <t>СЕЛЬСКОЕ ПОСЕЛЕНИЕ "СОХОНДИНСКОЕ"</t>
  </si>
  <si>
    <t>СЕЛЬСКОЕ ПОСЕЛЕНИЕ "СМОЛЕНСКОЕ"</t>
  </si>
  <si>
    <t>СЕЛЬСКОЕ ПОСЕЛЕНИЕ "СИВЯКОВСКОЕ"</t>
  </si>
  <si>
    <t>СЕЛЬСКОЕ ПОСЕЛЕНИЕ "ОЛЕНГУЙСКОЕ"</t>
  </si>
  <si>
    <t>СЕЛЬСКОЕ ПОСЕЛЕНИЕ "НОВОТРОИЦКОЕ"</t>
  </si>
  <si>
    <t>СЕЛЬСКОЕ ПОСЕЛЕНИЕ "НОВОКУКИНСКОЕ"</t>
  </si>
  <si>
    <t>СЕЛЬСКОЕ ПОСЕЛЕНИЕ "МАККАВЕЕВСКОЕ"</t>
  </si>
  <si>
    <t>СЕЛЬСКОЕ ПОСЕЛЕНИЕ "ЛЕСНИНСКОЕ"</t>
  </si>
  <si>
    <t>СЕЛЬСКОЕ ПОСЕЛЕНИЕ "ЛЕНИНСКОЕ"</t>
  </si>
  <si>
    <t>СЕЛЬСКОЕ ПОСЕЛЕНИЕ "КОЛОЧНИНСКОЕ"</t>
  </si>
  <si>
    <t>СЕЛЬСКОЕ ПОСЕЛЕНИЕ "ИНГОДИНСКОЕ"</t>
  </si>
  <si>
    <t>СЕЛЬСКОЕ ПОСЕЛЕНИЕ "ЗАСОПКИНСКОЕ"</t>
  </si>
  <si>
    <t>СЕЛЬСКОЕ ПОСЕЛЕНИЕ "ЕЛИЗАВЕТИНСКОЕ"</t>
  </si>
  <si>
    <t>СЕЛЬСКОЕ ПОСЕЛЕНИЕ "ДОМНИНСКОЕ"</t>
  </si>
  <si>
    <t>СЕЛЬСКОЕ ПОСЕЛЕНИЕ "ВЕРХ- ЧИТИНСКОЕ"</t>
  </si>
  <si>
    <t>СЕЛЬСКОЕ ПОСЕЛЕНИЕ "БЕКЛЕМИШЕВСКОЕ"</t>
  </si>
  <si>
    <t>СЕЛЬСКОЕ ПОСЕЛЕНИЕ "АРАХЛЕЙСКОЕ"</t>
  </si>
  <si>
    <t>СЕЛЬСКОЕ ПОСЕЛЕНИЕ "АЛЕКСАНДРОВСКОЕ"</t>
  </si>
  <si>
    <t>СЕЛЬСКОЕ ПОСЕЛЕНИЕ "ЯБЛОНОВСКОЕ"</t>
  </si>
  <si>
    <t>Итого</t>
  </si>
  <si>
    <t>Сводные данные</t>
  </si>
  <si>
    <t>благоустр</t>
  </si>
  <si>
    <t>Защита населения от ЧС, Обеспечение пожарной безопасности (проведение опашки и отжигов) раздел 0309,0310 вид 242,244</t>
  </si>
  <si>
    <t>Защита населения от ЧС, Обеспечение пожарной безопасности (проведение опашки и отжигов) раздел 0309,0310, вид 242,244</t>
  </si>
  <si>
    <t>резервы</t>
  </si>
  <si>
    <t>с инд.</t>
  </si>
  <si>
    <t>расчетно но не менее слож</t>
  </si>
  <si>
    <t>фактически</t>
  </si>
  <si>
    <t>№ п/п</t>
  </si>
  <si>
    <t>наименование поселений</t>
  </si>
  <si>
    <t xml:space="preserve">всего финансовой помощи </t>
  </si>
  <si>
    <t>в т.ч. дотации</t>
  </si>
  <si>
    <t>налоговые и неналоговые доходы в 2021 году</t>
  </si>
  <si>
    <t>всего доходов</t>
  </si>
  <si>
    <t>всего первоочередных расходов</t>
  </si>
  <si>
    <t>остаток средств после оплаты первоочередных</t>
  </si>
  <si>
    <t>дотация на сбалансированность</t>
  </si>
  <si>
    <t xml:space="preserve">дотация на выравнивание бюджетной обеспеченности </t>
  </si>
  <si>
    <t>дотация по расчёту и предоставлению дотаций</t>
  </si>
  <si>
    <t>3=4+5</t>
  </si>
  <si>
    <t>7=3+6</t>
  </si>
  <si>
    <t>10=8+9</t>
  </si>
  <si>
    <t>11=7-10</t>
  </si>
  <si>
    <t>Арахлейское</t>
  </si>
  <si>
    <t>Александровское</t>
  </si>
  <si>
    <t>Атамановское</t>
  </si>
  <si>
    <t>Беклемишевское</t>
  </si>
  <si>
    <t>Верх-Читинское</t>
  </si>
  <si>
    <t>Домнинское</t>
  </si>
  <si>
    <t>Елизаветинское</t>
  </si>
  <si>
    <t>Засопкинское</t>
  </si>
  <si>
    <t>Ингодинское</t>
  </si>
  <si>
    <t>Колочнинское</t>
  </si>
  <si>
    <t>Леснинское</t>
  </si>
  <si>
    <t>Ленинское</t>
  </si>
  <si>
    <t>Маккавеевское</t>
  </si>
  <si>
    <t>Новотроицкое</t>
  </si>
  <si>
    <t>Новокукинское</t>
  </si>
  <si>
    <t>Новокручининское</t>
  </si>
  <si>
    <t>Оленгуйское</t>
  </si>
  <si>
    <t>Сохондинское</t>
  </si>
  <si>
    <t>Сивяковское</t>
  </si>
  <si>
    <t>Смоленское</t>
  </si>
  <si>
    <t>Угданское</t>
  </si>
  <si>
    <t>Шишкинское</t>
  </si>
  <si>
    <t>Яблоновское</t>
  </si>
  <si>
    <t>ВСЕГО:</t>
  </si>
  <si>
    <t>Таблица расчёта дотаций на поддержку мер по обеспечению сбалансированности бюджетов поселений на 2020 год</t>
  </si>
  <si>
    <t>налоговые и неналоговые доходы в 2020 году</t>
  </si>
  <si>
    <t>планируемый ФОТ 2020 года</t>
  </si>
  <si>
    <t>планируемые коммунальные и КПТ 2020 года</t>
  </si>
  <si>
    <t>ОМСУ</t>
  </si>
  <si>
    <t>культура</t>
  </si>
  <si>
    <t>проч</t>
  </si>
  <si>
    <t>Новотроицк</t>
  </si>
  <si>
    <t>Глава</t>
  </si>
  <si>
    <t>оклад</t>
  </si>
  <si>
    <t>год 211</t>
  </si>
  <si>
    <t>зам</t>
  </si>
  <si>
    <t>год</t>
  </si>
  <si>
    <t>пр.муницип</t>
  </si>
  <si>
    <t>прочие</t>
  </si>
  <si>
    <t>в т.ч. Технич</t>
  </si>
  <si>
    <t>водитель</t>
  </si>
  <si>
    <t>истопник</t>
  </si>
  <si>
    <t>сторож</t>
  </si>
  <si>
    <t>Маккавеево</t>
  </si>
  <si>
    <t>Колочное</t>
  </si>
  <si>
    <t>Домна</t>
  </si>
  <si>
    <t>в т.ч.гл.бухгалтер,экон,кассир,делопроизв,юрист</t>
  </si>
  <si>
    <t>сивяково</t>
  </si>
  <si>
    <t>новокукинское</t>
  </si>
  <si>
    <t>яблоновское</t>
  </si>
  <si>
    <t>ингодинское</t>
  </si>
  <si>
    <t>оленгуйское</t>
  </si>
  <si>
    <t>угдан</t>
  </si>
  <si>
    <t>дворник</t>
  </si>
  <si>
    <t>елизаветино</t>
  </si>
  <si>
    <t>атамановка</t>
  </si>
  <si>
    <t>сохондо</t>
  </si>
  <si>
    <t>засопка</t>
  </si>
  <si>
    <t>шишкинское</t>
  </si>
  <si>
    <t>беклемишево</t>
  </si>
  <si>
    <t>новокручининск</t>
  </si>
  <si>
    <t>ИТОГО ФОТ ГЛАВ</t>
  </si>
  <si>
    <t>ИТОГО ФОТ МУН</t>
  </si>
  <si>
    <t>ИТОГО ФОТ ПРОЧИЕ</t>
  </si>
  <si>
    <t>ИТОГО ФОТ КУЛЬУРА</t>
  </si>
  <si>
    <t>численность шт</t>
  </si>
  <si>
    <t>на сокращение</t>
  </si>
  <si>
    <t>ФОТ</t>
  </si>
  <si>
    <t>ВСЕГО ФОТ</t>
  </si>
  <si>
    <t>фот</t>
  </si>
  <si>
    <t>Леснинск</t>
  </si>
  <si>
    <t>Смоленка</t>
  </si>
  <si>
    <t>Ленинск</t>
  </si>
  <si>
    <t>из них поселения</t>
  </si>
  <si>
    <t>из них городские</t>
  </si>
  <si>
    <t>ИТОГО</t>
  </si>
  <si>
    <t>=</t>
  </si>
  <si>
    <t>ИТОГО ДОХОДЫ ПОСЕЛЕНИЙ</t>
  </si>
  <si>
    <t>Подушевые по численности</t>
  </si>
  <si>
    <t>Выравнивание</t>
  </si>
  <si>
    <t>Сбалансированность</t>
  </si>
  <si>
    <t>0,5 месяца</t>
  </si>
  <si>
    <t>минусом 0,5 месяца</t>
  </si>
  <si>
    <t>по нормативу и культура</t>
  </si>
  <si>
    <t>Наименование муниципального образования</t>
  </si>
  <si>
    <t>1 этап</t>
  </si>
  <si>
    <t>2 этап</t>
  </si>
  <si>
    <t>Всего финансовой помощи</t>
  </si>
  <si>
    <t>Собственные доходы (налоговые, неналоговые) на 2022</t>
  </si>
  <si>
    <t>Численность</t>
  </si>
  <si>
    <t>У(1)</t>
  </si>
  <si>
    <t>БОn</t>
  </si>
  <si>
    <t>ИБР</t>
  </si>
  <si>
    <t>Размер Тn</t>
  </si>
  <si>
    <t>Размер дотации на выравнивание бюджетной обеспеченности</t>
  </si>
  <si>
    <t>Размер подушевой дотации</t>
  </si>
  <si>
    <t>РАЗНИЦА 2018-2017</t>
  </si>
  <si>
    <t>Итого по поселениям</t>
  </si>
  <si>
    <t xml:space="preserve"> 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</si>
  <si>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</si>
  <si>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</si>
  <si>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</si>
  <si>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ОДП - оценка объема налоговых и неналоговых доходов бюджетов поселений, входящих в состав муниципального района в планируемом году</t>
  </si>
  <si>
    <t>Объем дотации подушевой</t>
  </si>
  <si>
    <t>Всего финансовой помощи поселениям</t>
  </si>
  <si>
    <t>Внимание: заполнять только ячейки, выделенные желтым цветом!!!!!!!!</t>
  </si>
  <si>
    <t>содержание автотранспорта</t>
  </si>
  <si>
    <r>
      <t xml:space="preserve">Таблица расчёта дотаций на поддержку мер по обеспечению сбалансированности бюджетов поселений </t>
    </r>
    <r>
      <rPr>
        <sz val="12"/>
        <color rgb="FFFF0000"/>
        <rFont val="Arial"/>
        <family val="2"/>
        <charset val="204"/>
      </rPr>
      <t>на 2023 го</t>
    </r>
    <r>
      <rPr>
        <sz val="12"/>
        <rFont val="Arial"/>
        <family val="2"/>
        <charset val="204"/>
      </rPr>
      <t>д</t>
    </r>
  </si>
  <si>
    <t>2023/2022</t>
  </si>
  <si>
    <t>финпомощь 2022 года (первоначально утверждена</t>
  </si>
  <si>
    <t>с ув.14%</t>
  </si>
  <si>
    <t>водители</t>
  </si>
  <si>
    <t>2023 год</t>
  </si>
  <si>
    <t>2023 год с водми</t>
  </si>
  <si>
    <t>11 поселений замещение водителя затратами</t>
  </si>
  <si>
    <t>на 2023 год</t>
  </si>
  <si>
    <t>это проект 21-22 года</t>
  </si>
  <si>
    <t>Расчет дотации на выравнивание бюджетной обеспеченности сельских поселений муниципального района "Читинский район"  на 2023 год</t>
  </si>
  <si>
    <t>РАСЧЕТ ФИНАНСОВО ПОМОЩИ НА 2023-2025 ГОДА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</si>
</sst>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,##0.0"/>
    <numFmt numFmtId="166" formatCode="_-* #,##0.0_р_._-;\-* #,##0.0_р_._-;_-* &quot;-&quot;?_р_._-;_-@_-"/>
    <numFmt numFmtId="167" formatCode="#,##0.00_ ;\-#,##0.00\ "/>
    <numFmt numFmtId="168" formatCode="_-* #,##0.000_р_._-;\-* #,##0.000_р_._-;_-* &quot;-&quot;???_р_._-;_-@_-"/>
    <numFmt numFmtId="169" formatCode="_-* #,##0_р_._-;\-* #,##0_р_._-;_-* &quot;-&quot;_р_._-;_-@_-"/>
    <numFmt numFmtId="170" formatCode="_-* #,##0.00_р_._-;\-* #,##0.00_р_._-;_-* &quot;-&quot;??_р_._-;_-@_-"/>
    <numFmt numFmtId="171" formatCode="#,##0.000000_ ;\-#,##0.000000\ "/>
  </numFmts>
  <fonts count="3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4"/>
      <name val="Times New Roman Cyr"/>
      <family val="1"/>
      <charset val="204"/>
    </font>
    <font>
      <sz val="10"/>
      <name val="MS Sans Serif"/>
      <family val="2"/>
      <charset val="204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4"/>
      <name val="Times New Roman Cyr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4"/>
      <name val="Arial Cyr"/>
      <charset val="204"/>
    </font>
    <font>
      <b/>
      <sz val="9"/>
      <name val="Times New Roman Cyr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FF000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ADD8E6"/>
        <bgColor rgb="FF000000"/>
      </patternFill>
    </fill>
    <fill>
      <patternFill patternType="solid">
        <fgColor rgb="FFDCFFDC"/>
        <bgColor rgb="FF000000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8" fillId="0" borderId="0"/>
    <xf numFmtId="0" fontId="20" fillId="0" borderId="0"/>
    <xf numFmtId="0" fontId="23" fillId="0" borderId="0"/>
    <xf numFmtId="0" fontId="16" fillId="0" borderId="0"/>
  </cellStyleXfs>
  <cellXfs count="2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8" fillId="0" borderId="0" xfId="0" applyFont="1"/>
    <xf numFmtId="0" fontId="8" fillId="2" borderId="7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right"/>
    </xf>
    <xf numFmtId="4" fontId="0" fillId="0" borderId="0" xfId="0" applyNumberFormat="1"/>
    <xf numFmtId="4" fontId="8" fillId="2" borderId="7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/>
    <xf numFmtId="0" fontId="0" fillId="3" borderId="16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5" borderId="16" xfId="0" applyFill="1" applyBorder="1" applyAlignment="1">
      <alignment wrapText="1"/>
    </xf>
    <xf numFmtId="0" fontId="0" fillId="6" borderId="16" xfId="0" applyFill="1" applyBorder="1" applyAlignment="1">
      <alignment wrapText="1"/>
    </xf>
    <xf numFmtId="0" fontId="0" fillId="6" borderId="10" xfId="0" applyFill="1" applyBorder="1" applyAlignment="1">
      <alignment wrapText="1"/>
    </xf>
    <xf numFmtId="4" fontId="0" fillId="0" borderId="16" xfId="0" applyNumberFormat="1" applyBorder="1" applyAlignment="1">
      <alignment wrapText="1"/>
    </xf>
    <xf numFmtId="0" fontId="5" fillId="8" borderId="3" xfId="0" applyFont="1" applyFill="1" applyBorder="1" applyAlignment="1">
      <alignment horizontal="justify" vertical="center" wrapText="1"/>
    </xf>
    <xf numFmtId="0" fontId="3" fillId="8" borderId="6" xfId="0" applyFont="1" applyFill="1" applyBorder="1" applyAlignment="1">
      <alignment horizontal="justify" vertical="center"/>
    </xf>
    <xf numFmtId="0" fontId="0" fillId="8" borderId="0" xfId="0" applyFill="1" applyAlignment="1">
      <alignment wrapText="1"/>
    </xf>
    <xf numFmtId="0" fontId="0" fillId="8" borderId="16" xfId="0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0" fillId="8" borderId="17" xfId="0" applyFill="1" applyBorder="1" applyAlignment="1">
      <alignment wrapText="1"/>
    </xf>
    <xf numFmtId="0" fontId="3" fillId="9" borderId="6" xfId="0" applyFont="1" applyFill="1" applyBorder="1" applyAlignment="1">
      <alignment horizontal="justify" vertical="center"/>
    </xf>
    <xf numFmtId="0" fontId="0" fillId="9" borderId="0" xfId="0" applyFill="1" applyAlignment="1">
      <alignment wrapText="1"/>
    </xf>
    <xf numFmtId="0" fontId="0" fillId="9" borderId="17" xfId="0" applyFill="1" applyBorder="1" applyAlignment="1">
      <alignment wrapText="1"/>
    </xf>
    <xf numFmtId="4" fontId="0" fillId="8" borderId="16" xfId="0" applyNumberFormat="1" applyFill="1" applyBorder="1" applyAlignment="1">
      <alignment wrapText="1"/>
    </xf>
    <xf numFmtId="4" fontId="0" fillId="0" borderId="0" xfId="0" applyNumberFormat="1" applyAlignment="1">
      <alignment wrapText="1"/>
    </xf>
    <xf numFmtId="0" fontId="3" fillId="9" borderId="3" xfId="0" applyFont="1" applyFill="1" applyBorder="1" applyAlignment="1">
      <alignment horizontal="justify" vertical="center" wrapText="1"/>
    </xf>
    <xf numFmtId="0" fontId="0" fillId="9" borderId="18" xfId="0" applyFill="1" applyBorder="1" applyAlignment="1">
      <alignment wrapText="1"/>
    </xf>
    <xf numFmtId="0" fontId="0" fillId="9" borderId="19" xfId="0" applyFill="1" applyBorder="1" applyAlignment="1">
      <alignment wrapText="1"/>
    </xf>
    <xf numFmtId="0" fontId="0" fillId="10" borderId="0" xfId="0" applyFont="1" applyFill="1" applyAlignment="1">
      <alignment wrapText="1"/>
    </xf>
    <xf numFmtId="4" fontId="0" fillId="10" borderId="12" xfId="0" applyNumberFormat="1" applyFont="1" applyFill="1" applyBorder="1" applyAlignment="1">
      <alignment wrapText="1"/>
    </xf>
    <xf numFmtId="0" fontId="0" fillId="10" borderId="12" xfId="0" applyFont="1" applyFill="1" applyBorder="1" applyAlignment="1">
      <alignment wrapText="1"/>
    </xf>
    <xf numFmtId="4" fontId="0" fillId="10" borderId="0" xfId="0" applyNumberFormat="1" applyFont="1" applyFill="1" applyAlignment="1">
      <alignment wrapText="1"/>
    </xf>
    <xf numFmtId="0" fontId="0" fillId="10" borderId="10" xfId="0" applyFont="1" applyFill="1" applyBorder="1" applyAlignment="1">
      <alignment wrapText="1"/>
    </xf>
    <xf numFmtId="2" fontId="0" fillId="10" borderId="0" xfId="0" applyNumberFormat="1" applyFont="1" applyFill="1" applyAlignment="1">
      <alignment wrapText="1"/>
    </xf>
    <xf numFmtId="2" fontId="0" fillId="10" borderId="0" xfId="0" applyNumberFormat="1" applyFont="1" applyFill="1"/>
    <xf numFmtId="2" fontId="0" fillId="10" borderId="10" xfId="0" applyNumberFormat="1" applyFont="1" applyFill="1" applyBorder="1"/>
    <xf numFmtId="0" fontId="0" fillId="10" borderId="0" xfId="0" applyFont="1" applyFill="1"/>
    <xf numFmtId="0" fontId="0" fillId="10" borderId="10" xfId="0" applyFont="1" applyFill="1" applyBorder="1"/>
    <xf numFmtId="0" fontId="0" fillId="10" borderId="11" xfId="0" applyFont="1" applyFill="1" applyBorder="1"/>
    <xf numFmtId="0" fontId="0" fillId="0" borderId="12" xfId="0" applyBorder="1"/>
    <xf numFmtId="0" fontId="12" fillId="11" borderId="7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left" wrapText="1"/>
    </xf>
    <xf numFmtId="4" fontId="8" fillId="12" borderId="7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/>
    </xf>
    <xf numFmtId="0" fontId="0" fillId="3" borderId="0" xfId="0" applyFill="1" applyAlignment="1">
      <alignment wrapText="1"/>
    </xf>
    <xf numFmtId="4" fontId="0" fillId="3" borderId="16" xfId="0" applyNumberFormat="1" applyFill="1" applyBorder="1" applyAlignment="1">
      <alignment wrapText="1"/>
    </xf>
    <xf numFmtId="4" fontId="0" fillId="3" borderId="10" xfId="0" applyNumberFormat="1" applyFill="1" applyBorder="1" applyAlignment="1">
      <alignment wrapText="1"/>
    </xf>
    <xf numFmtId="4" fontId="0" fillId="4" borderId="16" xfId="0" applyNumberFormat="1" applyFill="1" applyBorder="1" applyAlignment="1">
      <alignment wrapText="1"/>
    </xf>
    <xf numFmtId="2" fontId="0" fillId="0" borderId="17" xfId="0" applyNumberFormat="1" applyBorder="1" applyAlignment="1">
      <alignment wrapText="1"/>
    </xf>
    <xf numFmtId="4" fontId="0" fillId="8" borderId="10" xfId="0" applyNumberFormat="1" applyFill="1" applyBorder="1" applyAlignment="1">
      <alignment wrapText="1"/>
    </xf>
    <xf numFmtId="0" fontId="14" fillId="0" borderId="0" xfId="0" applyFont="1"/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0" fillId="0" borderId="21" xfId="0" applyBorder="1"/>
    <xf numFmtId="0" fontId="19" fillId="0" borderId="10" xfId="1" applyFont="1" applyFill="1" applyBorder="1"/>
    <xf numFmtId="3" fontId="21" fillId="13" borderId="10" xfId="2" applyNumberFormat="1" applyFont="1" applyFill="1" applyBorder="1" applyAlignment="1">
      <alignment horizontal="right" vertical="center" wrapText="1"/>
    </xf>
    <xf numFmtId="0" fontId="22" fillId="0" borderId="10" xfId="0" applyFont="1" applyBorder="1"/>
    <xf numFmtId="1" fontId="22" fillId="0" borderId="10" xfId="2" applyNumberFormat="1" applyFont="1" applyFill="1" applyBorder="1" applyAlignment="1">
      <alignment horizontal="right" vertical="center" wrapText="1"/>
    </xf>
    <xf numFmtId="1" fontId="22" fillId="14" borderId="10" xfId="3" applyNumberFormat="1" applyFont="1" applyFill="1" applyBorder="1" applyProtection="1">
      <protection hidden="1"/>
    </xf>
    <xf numFmtId="1" fontId="21" fillId="13" borderId="22" xfId="2" applyNumberFormat="1" applyFont="1" applyFill="1" applyBorder="1" applyAlignment="1">
      <alignment horizontal="right" vertical="center" wrapText="1"/>
    </xf>
    <xf numFmtId="164" fontId="24" fillId="14" borderId="10" xfId="0" applyNumberFormat="1" applyFont="1" applyFill="1" applyBorder="1"/>
    <xf numFmtId="1" fontId="25" fillId="0" borderId="10" xfId="0" applyNumberFormat="1" applyFont="1" applyBorder="1"/>
    <xf numFmtId="1" fontId="25" fillId="0" borderId="21" xfId="0" applyNumberFormat="1" applyFont="1" applyBorder="1"/>
    <xf numFmtId="1" fontId="0" fillId="0" borderId="21" xfId="0" applyNumberFormat="1" applyBorder="1"/>
    <xf numFmtId="1" fontId="26" fillId="0" borderId="21" xfId="0" applyNumberFormat="1" applyFont="1" applyBorder="1"/>
    <xf numFmtId="1" fontId="25" fillId="15" borderId="10" xfId="0" applyNumberFormat="1" applyFont="1" applyFill="1" applyBorder="1"/>
    <xf numFmtId="1" fontId="22" fillId="0" borderId="10" xfId="2" applyNumberFormat="1" applyFont="1" applyFill="1" applyBorder="1" applyAlignment="1">
      <alignment horizontal="right" wrapText="1"/>
    </xf>
    <xf numFmtId="3" fontId="22" fillId="0" borderId="10" xfId="2" applyNumberFormat="1" applyFont="1" applyFill="1" applyBorder="1" applyAlignment="1">
      <alignment vertical="center"/>
    </xf>
    <xf numFmtId="3" fontId="22" fillId="0" borderId="11" xfId="2" applyNumberFormat="1" applyFont="1" applyFill="1" applyBorder="1" applyAlignment="1">
      <alignment vertical="center"/>
    </xf>
    <xf numFmtId="1" fontId="22" fillId="0" borderId="11" xfId="2" applyNumberFormat="1" applyFont="1" applyFill="1" applyBorder="1" applyAlignment="1">
      <alignment horizontal="right" vertical="center" wrapText="1"/>
    </xf>
    <xf numFmtId="1" fontId="22" fillId="14" borderId="11" xfId="3" applyNumberFormat="1" applyFont="1" applyFill="1" applyBorder="1" applyProtection="1">
      <protection hidden="1"/>
    </xf>
    <xf numFmtId="164" fontId="24" fillId="14" borderId="11" xfId="0" applyNumberFormat="1" applyFont="1" applyFill="1" applyBorder="1"/>
    <xf numFmtId="0" fontId="27" fillId="0" borderId="10" xfId="1" applyFont="1" applyFill="1" applyBorder="1"/>
    <xf numFmtId="1" fontId="21" fillId="13" borderId="10" xfId="2" applyNumberFormat="1" applyFont="1" applyFill="1" applyBorder="1" applyAlignment="1">
      <alignment horizontal="right" vertical="center" wrapText="1"/>
    </xf>
    <xf numFmtId="164" fontId="21" fillId="13" borderId="10" xfId="2" applyNumberFormat="1" applyFont="1" applyFill="1" applyBorder="1" applyAlignment="1">
      <alignment horizontal="right" vertical="center" wrapText="1"/>
    </xf>
    <xf numFmtId="1" fontId="25" fillId="15" borderId="21" xfId="0" applyNumberFormat="1" applyFont="1" applyFill="1" applyBorder="1"/>
    <xf numFmtId="3" fontId="0" fillId="0" borderId="0" xfId="0" applyNumberFormat="1"/>
    <xf numFmtId="3" fontId="22" fillId="0" borderId="20" xfId="2" applyNumberFormat="1" applyFont="1" applyFill="1" applyBorder="1" applyAlignment="1">
      <alignment vertical="center"/>
    </xf>
    <xf numFmtId="3" fontId="22" fillId="0" borderId="20" xfId="2" applyNumberFormat="1" applyFont="1" applyFill="1" applyBorder="1" applyAlignment="1">
      <alignment horizontal="right" vertical="center" wrapText="1"/>
    </xf>
    <xf numFmtId="0" fontId="22" fillId="14" borderId="20" xfId="3" applyFont="1" applyFill="1" applyBorder="1" applyProtection="1">
      <protection hidden="1"/>
    </xf>
    <xf numFmtId="3" fontId="21" fillId="13" borderId="0" xfId="2" applyNumberFormat="1" applyFont="1" applyFill="1" applyBorder="1" applyAlignment="1">
      <alignment horizontal="right" vertical="center" wrapText="1"/>
    </xf>
    <xf numFmtId="165" fontId="25" fillId="0" borderId="0" xfId="0" applyNumberFormat="1" applyFont="1" applyBorder="1"/>
    <xf numFmtId="0" fontId="25" fillId="0" borderId="0" xfId="0" applyFont="1" applyBorder="1"/>
    <xf numFmtId="0" fontId="16" fillId="0" borderId="0" xfId="0" applyFont="1"/>
    <xf numFmtId="164" fontId="21" fillId="14" borderId="10" xfId="2" applyNumberFormat="1" applyFont="1" applyFill="1" applyBorder="1"/>
    <xf numFmtId="1" fontId="25" fillId="0" borderId="21" xfId="0" applyNumberFormat="1" applyFont="1" applyBorder="1" applyAlignment="1">
      <alignment horizontal="center"/>
    </xf>
    <xf numFmtId="164" fontId="24" fillId="15" borderId="10" xfId="0" applyNumberFormat="1" applyFont="1" applyFill="1" applyBorder="1"/>
    <xf numFmtId="164" fontId="24" fillId="16" borderId="11" xfId="0" applyNumberFormat="1" applyFont="1" applyFill="1" applyBorder="1"/>
    <xf numFmtId="164" fontId="21" fillId="14" borderId="11" xfId="2" applyNumberFormat="1" applyFont="1" applyFill="1" applyBorder="1"/>
    <xf numFmtId="1" fontId="25" fillId="15" borderId="21" xfId="0" applyNumberFormat="1" applyFont="1" applyFill="1" applyBorder="1" applyAlignment="1">
      <alignment horizontal="center"/>
    </xf>
    <xf numFmtId="165" fontId="21" fillId="13" borderId="0" xfId="2" applyNumberFormat="1" applyFont="1" applyFill="1" applyBorder="1" applyAlignment="1">
      <alignment horizontal="right" vertical="center" wrapText="1"/>
    </xf>
    <xf numFmtId="0" fontId="11" fillId="7" borderId="17" xfId="0" applyFont="1" applyFill="1" applyBorder="1" applyAlignment="1">
      <alignment wrapText="1"/>
    </xf>
    <xf numFmtId="1" fontId="0" fillId="17" borderId="17" xfId="0" applyNumberFormat="1" applyFill="1" applyBorder="1" applyAlignment="1">
      <alignment wrapText="1"/>
    </xf>
    <xf numFmtId="0" fontId="0" fillId="8" borderId="0" xfId="0" applyFill="1"/>
    <xf numFmtId="0" fontId="0" fillId="18" borderId="0" xfId="0" applyFill="1"/>
    <xf numFmtId="0" fontId="0" fillId="3" borderId="0" xfId="0" applyFill="1"/>
    <xf numFmtId="0" fontId="28" fillId="0" borderId="0" xfId="0" applyFont="1"/>
    <xf numFmtId="0" fontId="0" fillId="9" borderId="0" xfId="0" applyFill="1"/>
    <xf numFmtId="0" fontId="29" fillId="0" borderId="0" xfId="0" applyFont="1"/>
    <xf numFmtId="0" fontId="28" fillId="18" borderId="0" xfId="0" applyFont="1" applyFill="1"/>
    <xf numFmtId="0" fontId="0" fillId="0" borderId="0" xfId="0" applyFont="1"/>
    <xf numFmtId="0" fontId="0" fillId="7" borderId="10" xfId="0" applyFill="1" applyBorder="1"/>
    <xf numFmtId="0" fontId="0" fillId="13" borderId="0" xfId="0" applyFill="1"/>
    <xf numFmtId="0" fontId="31" fillId="13" borderId="10" xfId="4" applyFont="1" applyFill="1" applyBorder="1" applyAlignment="1" applyProtection="1">
      <alignment horizontal="center" vertical="center" wrapText="1"/>
      <protection hidden="1"/>
    </xf>
    <xf numFmtId="0" fontId="0" fillId="13" borderId="10" xfId="0" applyFill="1" applyBorder="1" applyAlignment="1">
      <alignment horizontal="center"/>
    </xf>
    <xf numFmtId="0" fontId="31" fillId="13" borderId="10" xfId="4" applyFont="1" applyFill="1" applyBorder="1" applyAlignment="1" applyProtection="1">
      <alignment horizontal="center" vertical="top"/>
      <protection hidden="1"/>
    </xf>
    <xf numFmtId="0" fontId="31" fillId="14" borderId="10" xfId="4" applyFont="1" applyFill="1" applyBorder="1" applyAlignment="1" applyProtection="1">
      <alignment horizontal="center" vertical="top"/>
      <protection hidden="1"/>
    </xf>
    <xf numFmtId="0" fontId="27" fillId="13" borderId="10" xfId="4" applyFont="1" applyFill="1" applyBorder="1" applyAlignment="1" applyProtection="1">
      <alignment horizontal="center"/>
      <protection hidden="1"/>
    </xf>
    <xf numFmtId="0" fontId="23" fillId="13" borderId="10" xfId="3" applyFont="1" applyFill="1" applyBorder="1" applyProtection="1">
      <protection hidden="1"/>
    </xf>
    <xf numFmtId="0" fontId="23" fillId="14" borderId="10" xfId="3" applyFont="1" applyFill="1" applyBorder="1" applyProtection="1">
      <protection hidden="1"/>
    </xf>
    <xf numFmtId="166" fontId="24" fillId="13" borderId="10" xfId="0" applyNumberFormat="1" applyFont="1" applyFill="1" applyBorder="1" applyAlignment="1">
      <alignment horizontal="center" vertical="center" wrapText="1"/>
    </xf>
    <xf numFmtId="167" fontId="24" fillId="13" borderId="10" xfId="0" applyNumberFormat="1" applyFont="1" applyFill="1" applyBorder="1" applyAlignment="1">
      <alignment horizontal="center" vertical="center" wrapText="1"/>
    </xf>
    <xf numFmtId="168" fontId="24" fillId="13" borderId="10" xfId="0" applyNumberFormat="1" applyFont="1" applyFill="1" applyBorder="1" applyAlignment="1">
      <alignment horizontal="center" vertical="center" wrapText="1"/>
    </xf>
    <xf numFmtId="169" fontId="32" fillId="13" borderId="10" xfId="0" applyNumberFormat="1" applyFont="1" applyFill="1" applyBorder="1" applyAlignment="1">
      <alignment horizontal="center" vertical="center" wrapText="1"/>
    </xf>
    <xf numFmtId="167" fontId="32" fillId="13" borderId="10" xfId="0" applyNumberFormat="1" applyFont="1" applyFill="1" applyBorder="1" applyAlignment="1">
      <alignment horizontal="center" vertical="center" wrapText="1"/>
    </xf>
    <xf numFmtId="169" fontId="32" fillId="13" borderId="10" xfId="0" applyNumberFormat="1" applyFont="1" applyFill="1" applyBorder="1"/>
    <xf numFmtId="169" fontId="24" fillId="13" borderId="10" xfId="0" applyNumberFormat="1" applyFont="1" applyFill="1" applyBorder="1"/>
    <xf numFmtId="166" fontId="23" fillId="13" borderId="10" xfId="3" applyNumberFormat="1" applyFont="1" applyFill="1" applyBorder="1" applyProtection="1">
      <protection hidden="1"/>
    </xf>
    <xf numFmtId="166" fontId="32" fillId="13" borderId="10" xfId="0" applyNumberFormat="1" applyFont="1" applyFill="1" applyBorder="1" applyAlignment="1">
      <alignment horizontal="center" vertical="center" wrapText="1"/>
    </xf>
    <xf numFmtId="169" fontId="33" fillId="13" borderId="10" xfId="0" applyNumberFormat="1" applyFont="1" applyFill="1" applyBorder="1" applyAlignment="1">
      <alignment horizontal="center" vertical="center" wrapText="1"/>
    </xf>
    <xf numFmtId="0" fontId="24" fillId="0" borderId="0" xfId="0" applyFont="1"/>
    <xf numFmtId="170" fontId="2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/>
    <xf numFmtId="169" fontId="32" fillId="13" borderId="0" xfId="0" applyNumberFormat="1" applyFont="1" applyFill="1" applyBorder="1" applyAlignment="1">
      <alignment horizontal="center" vertical="center" wrapText="1"/>
    </xf>
    <xf numFmtId="169" fontId="32" fillId="0" borderId="0" xfId="0" applyNumberFormat="1" applyFont="1"/>
    <xf numFmtId="169" fontId="0" fillId="13" borderId="10" xfId="0" applyNumberFormat="1" applyFill="1" applyBorder="1"/>
    <xf numFmtId="169" fontId="34" fillId="13" borderId="10" xfId="0" applyNumberFormat="1" applyFont="1" applyFill="1" applyBorder="1"/>
    <xf numFmtId="166" fontId="24" fillId="0" borderId="0" xfId="0" applyNumberFormat="1" applyFont="1" applyFill="1" applyBorder="1"/>
    <xf numFmtId="0" fontId="24" fillId="0" borderId="0" xfId="0" applyFont="1" applyFill="1" applyBorder="1"/>
    <xf numFmtId="170" fontId="32" fillId="0" borderId="0" xfId="0" applyNumberFormat="1" applyFont="1" applyFill="1" applyBorder="1"/>
    <xf numFmtId="169" fontId="34" fillId="20" borderId="10" xfId="0" applyNumberFormat="1" applyFont="1" applyFill="1" applyBorder="1"/>
    <xf numFmtId="0" fontId="32" fillId="13" borderId="0" xfId="0" applyFont="1" applyFill="1"/>
    <xf numFmtId="171" fontId="34" fillId="14" borderId="10" xfId="0" applyNumberFormat="1" applyFont="1" applyFill="1" applyBorder="1" applyAlignment="1">
      <alignment horizontal="center"/>
    </xf>
    <xf numFmtId="169" fontId="24" fillId="14" borderId="10" xfId="0" applyNumberFormat="1" applyFont="1" applyFill="1" applyBorder="1" applyAlignment="1">
      <alignment horizontal="center"/>
    </xf>
    <xf numFmtId="0" fontId="24" fillId="0" borderId="0" xfId="0" applyFont="1" applyBorder="1"/>
    <xf numFmtId="170" fontId="32" fillId="0" borderId="0" xfId="0" applyNumberFormat="1" applyFont="1"/>
    <xf numFmtId="169" fontId="24" fillId="19" borderId="10" xfId="0" applyNumberFormat="1" applyFont="1" applyFill="1" applyBorder="1"/>
    <xf numFmtId="169" fontId="35" fillId="21" borderId="0" xfId="0" applyNumberFormat="1" applyFont="1" applyFill="1"/>
    <xf numFmtId="0" fontId="0" fillId="22" borderId="0" xfId="0" applyFill="1" applyAlignment="1">
      <alignment wrapText="1"/>
    </xf>
    <xf numFmtId="0" fontId="0" fillId="22" borderId="0" xfId="0" applyFill="1"/>
    <xf numFmtId="0" fontId="0" fillId="22" borderId="10" xfId="0" applyFill="1" applyBorder="1"/>
    <xf numFmtId="0" fontId="0" fillId="0" borderId="21" xfId="0" applyBorder="1" applyAlignment="1">
      <alignment wrapText="1"/>
    </xf>
    <xf numFmtId="4" fontId="0" fillId="0" borderId="21" xfId="0" applyNumberFormat="1" applyBorder="1" applyAlignment="1">
      <alignment wrapText="1"/>
    </xf>
    <xf numFmtId="0" fontId="0" fillId="6" borderId="21" xfId="0" applyFill="1" applyBorder="1" applyAlignment="1">
      <alignment wrapText="1"/>
    </xf>
    <xf numFmtId="4" fontId="0" fillId="3" borderId="21" xfId="0" applyNumberFormat="1" applyFill="1" applyBorder="1" applyAlignment="1">
      <alignment wrapText="1"/>
    </xf>
    <xf numFmtId="0" fontId="0" fillId="8" borderId="21" xfId="0" applyFill="1" applyBorder="1" applyAlignment="1">
      <alignment wrapText="1"/>
    </xf>
    <xf numFmtId="0" fontId="0" fillId="9" borderId="23" xfId="0" applyFill="1" applyBorder="1" applyAlignment="1">
      <alignment wrapText="1"/>
    </xf>
    <xf numFmtId="0" fontId="0" fillId="23" borderId="10" xfId="0" applyFill="1" applyBorder="1"/>
    <xf numFmtId="2" fontId="0" fillId="0" borderId="21" xfId="0" applyNumberFormat="1" applyBorder="1" applyAlignment="1">
      <alignment wrapText="1"/>
    </xf>
    <xf numFmtId="4" fontId="0" fillId="8" borderId="21" xfId="0" applyNumberFormat="1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24" borderId="21" xfId="0" applyFill="1" applyBorder="1" applyAlignment="1">
      <alignment wrapText="1"/>
    </xf>
    <xf numFmtId="4" fontId="0" fillId="24" borderId="21" xfId="0" applyNumberFormat="1" applyFill="1" applyBorder="1" applyAlignment="1">
      <alignment wrapText="1"/>
    </xf>
    <xf numFmtId="4" fontId="0" fillId="7" borderId="10" xfId="0" applyNumberFormat="1" applyFill="1" applyBorder="1"/>
    <xf numFmtId="4" fontId="0" fillId="0" borderId="10" xfId="0" applyNumberFormat="1" applyBorder="1"/>
    <xf numFmtId="4" fontId="0" fillId="5" borderId="16" xfId="0" applyNumberFormat="1" applyFill="1" applyBorder="1" applyAlignment="1">
      <alignment wrapText="1"/>
    </xf>
    <xf numFmtId="0" fontId="0" fillId="24" borderId="10" xfId="0" applyFill="1" applyBorder="1"/>
    <xf numFmtId="4" fontId="0" fillId="24" borderId="26" xfId="0" applyNumberForma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4" fontId="10" fillId="0" borderId="13" xfId="0" applyNumberFormat="1" applyFont="1" applyBorder="1" applyAlignment="1">
      <alignment horizontal="center" wrapText="1"/>
    </xf>
    <xf numFmtId="0" fontId="10" fillId="7" borderId="13" xfId="0" applyFont="1" applyFill="1" applyBorder="1" applyAlignment="1">
      <alignment horizontal="center" wrapText="1"/>
    </xf>
    <xf numFmtId="0" fontId="10" fillId="7" borderId="14" xfId="0" applyFont="1" applyFill="1" applyBorder="1" applyAlignment="1">
      <alignment horizontal="center" wrapText="1"/>
    </xf>
    <xf numFmtId="0" fontId="10" fillId="7" borderId="25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 wrapText="1"/>
    </xf>
    <xf numFmtId="0" fontId="10" fillId="7" borderId="10" xfId="0" applyFont="1" applyFill="1" applyBorder="1" applyAlignment="1">
      <alignment horizontal="center" wrapText="1"/>
    </xf>
    <xf numFmtId="0" fontId="10" fillId="7" borderId="21" xfId="0" applyFont="1" applyFill="1" applyBorder="1" applyAlignment="1">
      <alignment horizontal="center" wrapText="1"/>
    </xf>
    <xf numFmtId="0" fontId="10" fillId="7" borderId="1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2" fillId="0" borderId="0" xfId="0" applyFont="1"/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19" borderId="21" xfId="0" applyFont="1" applyFill="1" applyBorder="1" applyAlignment="1">
      <alignment horizontal="left" wrapText="1"/>
    </xf>
    <xf numFmtId="0" fontId="30" fillId="19" borderId="22" xfId="0" applyFont="1" applyFill="1" applyBorder="1" applyAlignment="1">
      <alignment horizontal="left" wrapText="1"/>
    </xf>
    <xf numFmtId="0" fontId="31" fillId="13" borderId="10" xfId="4" applyFont="1" applyFill="1" applyBorder="1" applyAlignment="1" applyProtection="1">
      <alignment horizontal="center" vertical="center" wrapText="1"/>
      <protection hidden="1"/>
    </xf>
    <xf numFmtId="0" fontId="31" fillId="13" borderId="11" xfId="4" applyFont="1" applyFill="1" applyBorder="1" applyAlignment="1" applyProtection="1">
      <alignment horizontal="center" vertical="center" wrapText="1"/>
      <protection hidden="1"/>
    </xf>
    <xf numFmtId="0" fontId="31" fillId="13" borderId="20" xfId="4" applyFont="1" applyFill="1" applyBorder="1" applyAlignment="1" applyProtection="1">
      <alignment horizontal="center" vertical="center" wrapText="1"/>
      <protection hidden="1"/>
    </xf>
    <xf numFmtId="0" fontId="31" fillId="13" borderId="12" xfId="4" applyFont="1" applyFill="1" applyBorder="1" applyAlignment="1" applyProtection="1">
      <alignment horizontal="center" vertical="center" wrapText="1"/>
      <protection hidden="1"/>
    </xf>
    <xf numFmtId="0" fontId="30" fillId="19" borderId="10" xfId="0" applyFont="1" applyFill="1" applyBorder="1" applyAlignment="1">
      <alignment horizontal="left" wrapText="1"/>
    </xf>
    <xf numFmtId="0" fontId="24" fillId="13" borderId="10" xfId="0" applyFont="1" applyFill="1" applyBorder="1" applyAlignment="1">
      <alignment wrapText="1"/>
    </xf>
    <xf numFmtId="168" fontId="24" fillId="14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13" borderId="10" xfId="0" applyFill="1" applyBorder="1" applyAlignment="1">
      <alignment horizontal="center"/>
    </xf>
    <xf numFmtId="0" fontId="31" fillId="14" borderId="10" xfId="4" applyFont="1" applyFill="1" applyBorder="1" applyAlignment="1" applyProtection="1">
      <alignment horizontal="center" vertical="center" wrapText="1"/>
      <protection hidden="1"/>
    </xf>
  </cellXfs>
  <cellStyles count="5">
    <cellStyle name="Normal_own-reg-rev" xfId="2" xr:uid="{00000000-0005-0000-0000-000000000000}"/>
    <cellStyle name="Normal_Regional Data for IGR" xfId="1" xr:uid="{00000000-0005-0000-0000-000001000000}"/>
    <cellStyle name="Обычный" xfId="0" builtinId="0"/>
    <cellStyle name="Обычный_Лист1" xfId="4" xr:uid="{00000000-0005-0000-0000-000003000000}"/>
    <cellStyle name="Обычный_Лист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-2024\&#1073;&#1102;&#1076;&#1078;&#1077;&#1090;%2022%20&#1075;&#1086;&#1076;&#1072;%20&#1089;%20&#1076;&#1086;&#1084;&#1072;\&#1050;&#1086;&#1087;&#1080;&#1103;%202-%20&#1088;&#1072;&#1089;&#1095;&#1105;&#1090;%20&#1076;&#1086;&#1090;&#1072;&#1094;&#1080;&#1081;%20&#1057;&#1045;&#1051;&#1068;&#1057;&#1050;&#1048;&#1045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ИНП"/>
      <sheetName val="РАСЧЕТ ИБР"/>
      <sheetName val="РАСЧЕТ ДОТАЦИИ"/>
    </sheetNames>
    <sheetDataSet>
      <sheetData sheetId="0">
        <row r="10">
          <cell r="B10" t="str">
            <v>Арахлейский</v>
          </cell>
          <cell r="C10">
            <v>658</v>
          </cell>
        </row>
        <row r="11">
          <cell r="B11" t="str">
            <v>Александровский</v>
          </cell>
          <cell r="C11">
            <v>938</v>
          </cell>
        </row>
        <row r="12">
          <cell r="B12" t="str">
            <v>Беклемишевский</v>
          </cell>
          <cell r="C12">
            <v>1623</v>
          </cell>
        </row>
        <row r="13">
          <cell r="B13" t="str">
            <v xml:space="preserve">Верх-Читинский </v>
          </cell>
          <cell r="C13">
            <v>2096</v>
          </cell>
        </row>
        <row r="14">
          <cell r="B14" t="str">
            <v>Домнинский</v>
          </cell>
          <cell r="C14">
            <v>6309</v>
          </cell>
        </row>
        <row r="15">
          <cell r="B15" t="str">
            <v>Елизаветинский</v>
          </cell>
          <cell r="C15">
            <v>1094</v>
          </cell>
        </row>
        <row r="16">
          <cell r="B16" t="str">
            <v>Засопкинский</v>
          </cell>
          <cell r="C16">
            <v>5547</v>
          </cell>
        </row>
        <row r="17">
          <cell r="B17" t="str">
            <v>Ингодинский</v>
          </cell>
          <cell r="C17">
            <v>1196</v>
          </cell>
        </row>
        <row r="18">
          <cell r="B18" t="str">
            <v>Колочнинский</v>
          </cell>
          <cell r="C18">
            <v>967</v>
          </cell>
        </row>
        <row r="19">
          <cell r="B19" t="str">
            <v>Леснинский</v>
          </cell>
          <cell r="C19">
            <v>1383</v>
          </cell>
        </row>
        <row r="20">
          <cell r="B20" t="str">
            <v>Ленинский</v>
          </cell>
          <cell r="C20">
            <v>234</v>
          </cell>
        </row>
        <row r="21">
          <cell r="B21" t="str">
            <v>Маккавеевский</v>
          </cell>
          <cell r="C21">
            <v>3991</v>
          </cell>
        </row>
        <row r="22">
          <cell r="B22" t="str">
            <v>Новотроицкий</v>
          </cell>
          <cell r="C22">
            <v>1292</v>
          </cell>
        </row>
        <row r="23">
          <cell r="B23" t="str">
            <v>Новокукинский</v>
          </cell>
          <cell r="C23">
            <v>3052</v>
          </cell>
        </row>
        <row r="24">
          <cell r="B24" t="str">
            <v>Оленгуйский</v>
          </cell>
          <cell r="C24">
            <v>385</v>
          </cell>
        </row>
        <row r="25">
          <cell r="B25" t="str">
            <v>Сохондинский</v>
          </cell>
          <cell r="C25">
            <v>1602</v>
          </cell>
        </row>
        <row r="26">
          <cell r="B26" t="str">
            <v>Сивяковский</v>
          </cell>
          <cell r="C26">
            <v>1015</v>
          </cell>
        </row>
        <row r="27">
          <cell r="B27" t="str">
            <v>Смоленский</v>
          </cell>
          <cell r="C27">
            <v>7631</v>
          </cell>
        </row>
        <row r="28">
          <cell r="B28" t="str">
            <v>Угданский</v>
          </cell>
          <cell r="C28">
            <v>1326</v>
          </cell>
        </row>
        <row r="29">
          <cell r="C29">
            <v>2539</v>
          </cell>
        </row>
        <row r="30">
          <cell r="C30">
            <v>801</v>
          </cell>
        </row>
      </sheetData>
      <sheetData sheetId="1">
        <row r="26">
          <cell r="F26">
            <v>1.5069999999999999</v>
          </cell>
          <cell r="G26">
            <v>1.1100000000000001</v>
          </cell>
          <cell r="H26">
            <v>1.304</v>
          </cell>
          <cell r="I26">
            <v>1.113</v>
          </cell>
          <cell r="J26">
            <v>1.05</v>
          </cell>
          <cell r="K26">
            <v>1.216</v>
          </cell>
          <cell r="L26">
            <v>1.0449999999999999</v>
          </cell>
          <cell r="M26">
            <v>1.129</v>
          </cell>
          <cell r="N26">
            <v>1.161</v>
          </cell>
          <cell r="O26">
            <v>1.18</v>
          </cell>
          <cell r="P26">
            <v>1.619</v>
          </cell>
          <cell r="Q26">
            <v>1.1200000000000001</v>
          </cell>
          <cell r="R26">
            <v>1.1970000000000001</v>
          </cell>
          <cell r="S26">
            <v>1.137</v>
          </cell>
          <cell r="T26">
            <v>1.504</v>
          </cell>
          <cell r="U26">
            <v>1.321</v>
          </cell>
          <cell r="V26">
            <v>1.145</v>
          </cell>
          <cell r="W26">
            <v>1.036</v>
          </cell>
          <cell r="X26">
            <v>1.085</v>
          </cell>
          <cell r="Y26">
            <v>1.1180000000000001</v>
          </cell>
        </row>
        <row r="27">
          <cell r="Z27">
            <v>0.8</v>
          </cell>
        </row>
        <row r="28">
          <cell r="F28">
            <v>1.9139999999999999</v>
          </cell>
          <cell r="G28">
            <v>0.47099999999999997</v>
          </cell>
          <cell r="H28">
            <v>1.411</v>
          </cell>
          <cell r="I28">
            <v>0.82699999999999996</v>
          </cell>
          <cell r="J28">
            <v>0.85199999999999998</v>
          </cell>
          <cell r="K28">
            <v>0.28000000000000003</v>
          </cell>
          <cell r="L28">
            <v>1.036</v>
          </cell>
          <cell r="M28">
            <v>0.67600000000000005</v>
          </cell>
          <cell r="N28">
            <v>0.84799999999999998</v>
          </cell>
          <cell r="O28">
            <v>0.35799999999999998</v>
          </cell>
          <cell r="P28">
            <v>0.45</v>
          </cell>
          <cell r="Q28">
            <v>0.40300000000000002</v>
          </cell>
          <cell r="R28">
            <v>0.72799999999999998</v>
          </cell>
          <cell r="S28">
            <v>0.57099999999999995</v>
          </cell>
          <cell r="T28">
            <v>0.191</v>
          </cell>
          <cell r="U28">
            <v>0.38800000000000001</v>
          </cell>
          <cell r="V28">
            <v>0.45300000000000001</v>
          </cell>
          <cell r="W28">
            <v>1.881</v>
          </cell>
          <cell r="X28">
            <v>0.79100000000000004</v>
          </cell>
          <cell r="Y28">
            <v>0.32500000000000001</v>
          </cell>
          <cell r="Z28">
            <v>0.53300000000000003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52"/>
  <sheetViews>
    <sheetView topLeftCell="A5" workbookViewId="0">
      <selection activeCell="A45" sqref="A45"/>
    </sheetView>
  </sheetViews>
  <sheetFormatPr defaultRowHeight="15" x14ac:dyDescent="0.25"/>
  <cols>
    <col min="1" max="1" width="41.85546875" customWidth="1"/>
    <col min="2" max="2" width="17.140625" customWidth="1"/>
    <col min="3" max="3" width="17.28515625" customWidth="1"/>
    <col min="4" max="4" width="21.140625" customWidth="1"/>
  </cols>
  <sheetData>
    <row r="3" spans="1:4" ht="15.75" thickBot="1" x14ac:dyDescent="0.3"/>
    <row r="4" spans="1:4" s="3" customFormat="1" ht="63.75" x14ac:dyDescent="0.25">
      <c r="A4" s="1" t="s">
        <v>0</v>
      </c>
      <c r="B4" s="190" t="s">
        <v>14</v>
      </c>
      <c r="C4" s="2" t="s">
        <v>13</v>
      </c>
      <c r="D4" s="190" t="s">
        <v>2</v>
      </c>
    </row>
    <row r="5" spans="1:4" s="3" customFormat="1" ht="51" x14ac:dyDescent="0.25">
      <c r="A5" s="4"/>
      <c r="B5" s="191"/>
      <c r="C5" s="5" t="s">
        <v>23</v>
      </c>
      <c r="D5" s="191"/>
    </row>
    <row r="6" spans="1:4" s="3" customFormat="1" ht="15.75" thickBot="1" x14ac:dyDescent="0.3">
      <c r="A6" s="6" t="s">
        <v>1</v>
      </c>
      <c r="B6" s="192"/>
      <c r="C6" s="7"/>
      <c r="D6" s="192"/>
    </row>
    <row r="7" spans="1:4" s="3" customFormat="1" x14ac:dyDescent="0.25"/>
    <row r="8" spans="1:4" s="3" customFormat="1" ht="32.25" thickBot="1" x14ac:dyDescent="0.3">
      <c r="A8" s="15" t="s">
        <v>3</v>
      </c>
      <c r="B8" s="8">
        <v>0</v>
      </c>
      <c r="C8" s="8">
        <v>0</v>
      </c>
      <c r="D8" s="9">
        <v>0</v>
      </c>
    </row>
    <row r="9" spans="1:4" s="3" customFormat="1" ht="48" thickBot="1" x14ac:dyDescent="0.3">
      <c r="A9" s="14" t="s">
        <v>10</v>
      </c>
      <c r="B9" s="9" t="s">
        <v>8</v>
      </c>
      <c r="C9" s="9" t="s">
        <v>8</v>
      </c>
      <c r="D9" s="9">
        <v>0</v>
      </c>
    </row>
    <row r="10" spans="1:4" s="3" customFormat="1" ht="48" thickBot="1" x14ac:dyDescent="0.3">
      <c r="A10" s="10" t="s">
        <v>11</v>
      </c>
      <c r="B10" s="11" t="s">
        <v>12</v>
      </c>
      <c r="C10" s="11" t="s">
        <v>12</v>
      </c>
      <c r="D10" s="8">
        <v>0</v>
      </c>
    </row>
    <row r="11" spans="1:4" s="3" customFormat="1" ht="16.5" thickBot="1" x14ac:dyDescent="0.3">
      <c r="A11" s="10" t="s">
        <v>4</v>
      </c>
      <c r="B11" s="11" t="s">
        <v>12</v>
      </c>
      <c r="C11" s="11" t="s">
        <v>12</v>
      </c>
      <c r="D11" s="8">
        <v>0</v>
      </c>
    </row>
    <row r="12" spans="1:4" s="3" customFormat="1" ht="32.25" thickBot="1" x14ac:dyDescent="0.3">
      <c r="A12" s="10" t="s">
        <v>20</v>
      </c>
      <c r="B12" s="8" t="s">
        <v>12</v>
      </c>
      <c r="C12" s="8" t="s">
        <v>12</v>
      </c>
      <c r="D12" s="8">
        <v>0</v>
      </c>
    </row>
    <row r="13" spans="1:4" s="3" customFormat="1" ht="16.5" thickBot="1" x14ac:dyDescent="0.3">
      <c r="A13" s="14" t="s">
        <v>5</v>
      </c>
      <c r="B13" s="9">
        <v>0</v>
      </c>
      <c r="C13" s="9">
        <v>0</v>
      </c>
      <c r="D13" s="9">
        <v>0</v>
      </c>
    </row>
    <row r="14" spans="1:4" s="3" customFormat="1" ht="32.25" thickBot="1" x14ac:dyDescent="0.3">
      <c r="A14" s="10" t="s">
        <v>6</v>
      </c>
      <c r="B14" s="8"/>
      <c r="C14" s="8"/>
      <c r="D14" s="8">
        <v>0</v>
      </c>
    </row>
    <row r="15" spans="1:4" s="3" customFormat="1" ht="16.5" thickBot="1" x14ac:dyDescent="0.3">
      <c r="A15" s="10" t="s">
        <v>19</v>
      </c>
      <c r="B15" s="8"/>
      <c r="C15" s="8"/>
      <c r="D15" s="8">
        <v>0</v>
      </c>
    </row>
    <row r="16" spans="1:4" s="3" customFormat="1" ht="16.5" thickBot="1" x14ac:dyDescent="0.3">
      <c r="A16" s="10" t="s">
        <v>7</v>
      </c>
      <c r="B16" s="12" t="s">
        <v>8</v>
      </c>
      <c r="C16" s="12" t="s">
        <v>8</v>
      </c>
      <c r="D16" s="8">
        <v>0</v>
      </c>
    </row>
    <row r="17" spans="1:4" s="3" customFormat="1" ht="16.5" thickBot="1" x14ac:dyDescent="0.3">
      <c r="A17" s="10" t="s">
        <v>9</v>
      </c>
      <c r="B17" s="8"/>
      <c r="C17" s="8"/>
      <c r="D17" s="8">
        <v>0</v>
      </c>
    </row>
    <row r="18" spans="1:4" s="3" customFormat="1" ht="48" thickBot="1" x14ac:dyDescent="0.3">
      <c r="A18" s="10" t="s">
        <v>16</v>
      </c>
      <c r="B18" s="8"/>
      <c r="C18" s="8"/>
      <c r="D18" s="8">
        <v>0</v>
      </c>
    </row>
    <row r="19" spans="1:4" s="3" customFormat="1" ht="32.25" thickBot="1" x14ac:dyDescent="0.3">
      <c r="A19" s="10" t="s">
        <v>15</v>
      </c>
      <c r="B19" s="8"/>
      <c r="C19" s="8"/>
      <c r="D19" s="8"/>
    </row>
    <row r="20" spans="1:4" s="3" customFormat="1" ht="63.75" thickBot="1" x14ac:dyDescent="0.3">
      <c r="A20" s="10" t="s">
        <v>92</v>
      </c>
      <c r="B20" s="8"/>
      <c r="C20" s="8"/>
      <c r="D20" s="8"/>
    </row>
    <row r="21" spans="1:4" s="3" customFormat="1" ht="79.5" thickBot="1" x14ac:dyDescent="0.3">
      <c r="A21" s="13" t="s">
        <v>18</v>
      </c>
      <c r="B21" s="12" t="s">
        <v>12</v>
      </c>
      <c r="C21" s="12" t="s">
        <v>12</v>
      </c>
      <c r="D21" s="8">
        <v>0</v>
      </c>
    </row>
    <row r="22" spans="1:4" s="3" customFormat="1" ht="32.25" thickBot="1" x14ac:dyDescent="0.3">
      <c r="A22" s="13" t="s">
        <v>17</v>
      </c>
      <c r="B22" s="8"/>
      <c r="C22" s="8"/>
      <c r="D22" s="8">
        <v>0</v>
      </c>
    </row>
    <row r="23" spans="1:4" s="3" customFormat="1" ht="79.5" thickBot="1" x14ac:dyDescent="0.3">
      <c r="A23" s="10" t="s">
        <v>22</v>
      </c>
      <c r="B23" s="8"/>
      <c r="C23" s="8"/>
      <c r="D23" s="8">
        <v>0</v>
      </c>
    </row>
    <row r="24" spans="1:4" s="3" customFormat="1" x14ac:dyDescent="0.25"/>
    <row r="25" spans="1:4" s="3" customFormat="1" ht="30" x14ac:dyDescent="0.25">
      <c r="A25" s="3" t="s">
        <v>21</v>
      </c>
    </row>
    <row r="26" spans="1:4" s="3" customFormat="1" x14ac:dyDescent="0.25"/>
    <row r="27" spans="1:4" x14ac:dyDescent="0.25">
      <c r="A27" s="3" t="s">
        <v>57</v>
      </c>
      <c r="B27" s="3"/>
      <c r="C27" s="3"/>
      <c r="D27" s="3"/>
    </row>
    <row r="28" spans="1:4" x14ac:dyDescent="0.25">
      <c r="A28" s="3" t="s">
        <v>189</v>
      </c>
      <c r="B28" s="3"/>
      <c r="C28" s="3"/>
      <c r="D28" s="3"/>
    </row>
    <row r="29" spans="1:4" x14ac:dyDescent="0.25">
      <c r="A29" s="3" t="s">
        <v>190</v>
      </c>
      <c r="B29" s="3"/>
      <c r="C29" s="3"/>
      <c r="D29" s="3"/>
    </row>
    <row r="30" spans="1:4" x14ac:dyDescent="0.25">
      <c r="A30" s="3" t="s">
        <v>191</v>
      </c>
      <c r="B30" s="3"/>
      <c r="C30" s="3"/>
      <c r="D30" s="3"/>
    </row>
    <row r="31" spans="1:4" x14ac:dyDescent="0.25">
      <c r="A31" s="3" t="s">
        <v>194</v>
      </c>
      <c r="B31" s="3"/>
      <c r="C31" s="3"/>
      <c r="D31" s="3"/>
    </row>
    <row r="32" spans="1:4" x14ac:dyDescent="0.25">
      <c r="A32" s="3" t="s">
        <v>192</v>
      </c>
      <c r="B32" s="3"/>
      <c r="C32" s="3"/>
      <c r="D32" s="3"/>
    </row>
    <row r="33" spans="1:4" x14ac:dyDescent="0.25">
      <c r="A33" s="3"/>
      <c r="B33" s="3"/>
      <c r="C33" s="3"/>
      <c r="D33" s="3"/>
    </row>
    <row r="34" spans="1:4" x14ac:dyDescent="0.25">
      <c r="A34" s="3"/>
      <c r="B34" s="3"/>
      <c r="C34" s="3"/>
      <c r="D34" s="3"/>
    </row>
    <row r="35" spans="1:4" x14ac:dyDescent="0.25">
      <c r="A35" s="3"/>
      <c r="B35" s="3"/>
      <c r="C35" s="3"/>
      <c r="D35" s="3"/>
    </row>
    <row r="36" spans="1:4" x14ac:dyDescent="0.25">
      <c r="A36" s="3"/>
      <c r="B36" s="3"/>
      <c r="C36" s="3"/>
      <c r="D36" s="3"/>
    </row>
    <row r="37" spans="1:4" x14ac:dyDescent="0.25">
      <c r="A37" s="3"/>
      <c r="B37" s="3"/>
      <c r="C37" s="3"/>
      <c r="D37" s="3"/>
    </row>
    <row r="38" spans="1:4" x14ac:dyDescent="0.25">
      <c r="A38" s="3"/>
      <c r="B38" s="3"/>
      <c r="C38" s="3"/>
      <c r="D38" s="3"/>
    </row>
    <row r="39" spans="1:4" x14ac:dyDescent="0.25">
      <c r="A39" s="3"/>
      <c r="B39" s="3"/>
      <c r="C39" s="3"/>
      <c r="D39" s="3"/>
    </row>
    <row r="40" spans="1:4" x14ac:dyDescent="0.25">
      <c r="A40" s="3"/>
      <c r="B40" s="3"/>
      <c r="C40" s="3"/>
      <c r="D40" s="3"/>
    </row>
    <row r="41" spans="1:4" x14ac:dyDescent="0.25">
      <c r="A41" s="3"/>
      <c r="B41" s="3"/>
      <c r="C41" s="3"/>
      <c r="D41" s="3"/>
    </row>
    <row r="42" spans="1:4" x14ac:dyDescent="0.25">
      <c r="A42" s="3"/>
      <c r="B42" s="3"/>
      <c r="C42" s="3"/>
      <c r="D42" s="3"/>
    </row>
    <row r="43" spans="1:4" x14ac:dyDescent="0.25">
      <c r="A43" s="3"/>
      <c r="B43" s="3"/>
      <c r="C43" s="3"/>
      <c r="D43" s="3"/>
    </row>
    <row r="44" spans="1:4" x14ac:dyDescent="0.25">
      <c r="A44" s="3"/>
      <c r="B44" s="3"/>
      <c r="C44" s="3"/>
      <c r="D44" s="3"/>
    </row>
    <row r="45" spans="1:4" x14ac:dyDescent="0.25">
      <c r="A45" s="3"/>
      <c r="B45" s="3"/>
      <c r="C45" s="3"/>
      <c r="D45" s="3"/>
    </row>
    <row r="46" spans="1:4" x14ac:dyDescent="0.25">
      <c r="A46" s="3"/>
      <c r="B46" s="3"/>
      <c r="C46" s="3"/>
      <c r="D46" s="3"/>
    </row>
    <row r="47" spans="1:4" x14ac:dyDescent="0.25">
      <c r="A47" s="3"/>
      <c r="B47" s="3"/>
      <c r="C47" s="3"/>
      <c r="D47" s="3"/>
    </row>
    <row r="48" spans="1:4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</sheetData>
  <mergeCells count="2">
    <mergeCell ref="B4:B6"/>
    <mergeCell ref="D4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H54"/>
  <sheetViews>
    <sheetView tabSelected="1" zoomScale="61" zoomScaleNormal="61" workbookViewId="0">
      <selection activeCell="A2" sqref="A2"/>
    </sheetView>
  </sheetViews>
  <sheetFormatPr defaultRowHeight="15" x14ac:dyDescent="0.25"/>
  <cols>
    <col min="1" max="1" width="41.85546875" customWidth="1"/>
    <col min="2" max="2" width="17.140625" customWidth="1"/>
    <col min="3" max="3" width="17.28515625" customWidth="1"/>
    <col min="4" max="4" width="21.140625" customWidth="1"/>
    <col min="6" max="6" width="15.42578125" style="24" customWidth="1"/>
    <col min="7" max="7" width="15.7109375" style="24" customWidth="1"/>
    <col min="8" max="9" width="18.5703125" style="24" customWidth="1"/>
    <col min="10" max="10" width="11.85546875" customWidth="1"/>
    <col min="11" max="11" width="15" style="24" customWidth="1"/>
    <col min="12" max="12" width="16.42578125" style="24" customWidth="1"/>
    <col min="13" max="13" width="17.140625" style="24" customWidth="1"/>
    <col min="14" max="14" width="16.42578125" style="24" customWidth="1"/>
    <col min="15" max="15" width="11.7109375" customWidth="1"/>
    <col min="16" max="16" width="15.85546875" style="24" customWidth="1"/>
    <col min="17" max="17" width="14.7109375" style="24" customWidth="1"/>
    <col min="18" max="18" width="17.140625" style="24" customWidth="1"/>
    <col min="19" max="19" width="15" style="24" customWidth="1"/>
    <col min="20" max="20" width="10.7109375" customWidth="1"/>
    <col min="21" max="21" width="15.140625" style="24" customWidth="1"/>
    <col min="22" max="22" width="14.28515625" style="24" customWidth="1"/>
    <col min="23" max="23" width="16" style="24" customWidth="1"/>
    <col min="24" max="24" width="11.42578125" style="24" bestFit="1" customWidth="1"/>
    <col min="25" max="25" width="8.85546875" customWidth="1"/>
    <col min="26" max="26" width="15.7109375" style="24" customWidth="1"/>
    <col min="27" max="27" width="16.5703125" style="24" customWidth="1"/>
    <col min="28" max="28" width="18" style="24" customWidth="1"/>
    <col min="29" max="29" width="14.42578125" style="24" customWidth="1"/>
    <col min="30" max="30" width="11.5703125" customWidth="1"/>
    <col min="31" max="31" width="12.5703125" style="24" customWidth="1"/>
    <col min="32" max="32" width="15" style="24" customWidth="1"/>
    <col min="33" max="33" width="18" style="24" customWidth="1"/>
    <col min="34" max="34" width="11.42578125" style="24" bestFit="1" customWidth="1"/>
    <col min="35" max="35" width="13.85546875" customWidth="1"/>
    <col min="36" max="36" width="15.28515625" style="24" customWidth="1"/>
    <col min="37" max="38" width="18.7109375" style="24" customWidth="1"/>
    <col min="39" max="39" width="14.140625" style="24" customWidth="1"/>
    <col min="40" max="40" width="11.85546875" customWidth="1"/>
    <col min="41" max="41" width="14.28515625" style="24" customWidth="1"/>
    <col min="42" max="42" width="14.5703125" style="24" customWidth="1"/>
    <col min="43" max="43" width="18" style="24" customWidth="1"/>
    <col min="44" max="44" width="14.28515625" style="24" customWidth="1"/>
    <col min="45" max="45" width="11.7109375" customWidth="1"/>
    <col min="46" max="46" width="14.140625" style="24" customWidth="1"/>
    <col min="47" max="47" width="15" style="24" customWidth="1"/>
    <col min="48" max="48" width="18.28515625" style="24" customWidth="1"/>
    <col min="49" max="49" width="13.7109375" style="24" customWidth="1"/>
    <col min="50" max="50" width="9.85546875" customWidth="1"/>
    <col min="51" max="51" width="14.140625" style="24" customWidth="1"/>
    <col min="52" max="52" width="15.28515625" style="24" customWidth="1"/>
    <col min="53" max="53" width="15" style="24" customWidth="1"/>
    <col min="54" max="54" width="14.28515625" style="24" customWidth="1"/>
    <col min="55" max="55" width="9.5703125" customWidth="1"/>
    <col min="56" max="56" width="17" style="24" customWidth="1"/>
    <col min="57" max="57" width="16.7109375" style="24" customWidth="1"/>
    <col min="58" max="58" width="15.28515625" style="24" customWidth="1"/>
    <col min="59" max="59" width="12.140625" style="24" bestFit="1" customWidth="1"/>
    <col min="60" max="60" width="10.140625" customWidth="1"/>
    <col min="61" max="61" width="16.28515625" style="24" customWidth="1"/>
    <col min="62" max="62" width="15.7109375" style="24" customWidth="1"/>
    <col min="63" max="63" width="15.85546875" style="24" customWidth="1"/>
    <col min="64" max="64" width="16.85546875" style="24" customWidth="1"/>
    <col min="65" max="65" width="11.42578125" customWidth="1"/>
    <col min="66" max="66" width="15" style="24" customWidth="1"/>
    <col min="67" max="67" width="15.42578125" style="24" customWidth="1"/>
    <col min="68" max="68" width="15" style="24" customWidth="1"/>
    <col min="69" max="69" width="13.140625" style="24" bestFit="1" customWidth="1"/>
    <col min="70" max="70" width="9.7109375" customWidth="1"/>
    <col min="71" max="71" width="13.85546875" style="24" customWidth="1"/>
    <col min="72" max="72" width="14.5703125" style="24" customWidth="1"/>
    <col min="73" max="73" width="16.42578125" style="24" customWidth="1"/>
    <col min="74" max="74" width="12.42578125" style="24" bestFit="1" customWidth="1"/>
    <col min="75" max="75" width="14.42578125" customWidth="1"/>
    <col min="76" max="76" width="14.140625" style="24" customWidth="1"/>
    <col min="77" max="77" width="14.28515625" style="24" customWidth="1"/>
    <col min="78" max="78" width="16.42578125" style="24" customWidth="1"/>
    <col min="79" max="79" width="15.5703125" style="24" customWidth="1"/>
    <col min="80" max="80" width="9.28515625" customWidth="1"/>
    <col min="81" max="81" width="14" style="24" customWidth="1"/>
    <col min="82" max="82" width="14.7109375" style="24" customWidth="1"/>
    <col min="83" max="83" width="16.7109375" style="24" customWidth="1"/>
    <col min="84" max="84" width="15.85546875" style="24" customWidth="1"/>
    <col min="85" max="85" width="11.42578125" customWidth="1"/>
    <col min="86" max="86" width="13.7109375" style="24" customWidth="1"/>
    <col min="87" max="87" width="15.85546875" style="24" customWidth="1"/>
    <col min="88" max="88" width="16.42578125" style="24" customWidth="1"/>
    <col min="89" max="89" width="14" style="24" customWidth="1"/>
    <col min="90" max="90" width="10" customWidth="1"/>
    <col min="91" max="91" width="16.42578125" style="24" customWidth="1"/>
    <col min="92" max="92" width="15" style="24" customWidth="1"/>
    <col min="93" max="93" width="20.140625" style="24" customWidth="1"/>
    <col min="94" max="94" width="16.140625" style="24" customWidth="1"/>
    <col min="95" max="95" width="14.85546875" customWidth="1"/>
    <col min="96" max="96" width="19.85546875" style="24" customWidth="1"/>
    <col min="97" max="98" width="15.140625" style="24" customWidth="1"/>
    <col min="99" max="99" width="15.7109375" style="24" customWidth="1"/>
    <col min="100" max="100" width="13.140625" customWidth="1"/>
    <col min="101" max="101" width="14.28515625" style="24" customWidth="1"/>
    <col min="102" max="102" width="14.5703125" style="24" customWidth="1"/>
    <col min="103" max="103" width="16.140625" style="24" customWidth="1"/>
    <col min="104" max="104" width="14" style="24" customWidth="1"/>
    <col min="105" max="105" width="13.42578125" customWidth="1"/>
    <col min="106" max="106" width="14.140625" style="24" customWidth="1"/>
    <col min="107" max="107" width="14.7109375" style="24" customWidth="1"/>
    <col min="108" max="108" width="16" style="24" customWidth="1"/>
    <col min="109" max="109" width="14.140625" style="24" customWidth="1"/>
    <col min="110" max="110" width="18.7109375" customWidth="1"/>
    <col min="111" max="111" width="17.5703125" customWidth="1"/>
    <col min="112" max="112" width="12.42578125" bestFit="1" customWidth="1"/>
  </cols>
  <sheetData>
    <row r="2" spans="1:111" x14ac:dyDescent="0.25">
      <c r="A2" t="s">
        <v>230</v>
      </c>
      <c r="H2" s="179"/>
      <c r="CH2" s="188"/>
      <c r="CI2" s="188"/>
      <c r="CJ2" s="188"/>
      <c r="CK2" s="188"/>
    </row>
    <row r="3" spans="1:111" ht="15.75" thickBot="1" x14ac:dyDescent="0.3">
      <c r="F3" s="26"/>
      <c r="G3" s="26"/>
      <c r="H3" s="26"/>
      <c r="I3" s="26"/>
      <c r="K3" s="26"/>
      <c r="L3" s="26"/>
      <c r="M3" s="26"/>
      <c r="N3" s="26"/>
      <c r="P3" s="26"/>
      <c r="Q3" s="26"/>
      <c r="R3" s="26"/>
      <c r="S3" s="26"/>
      <c r="U3" s="26"/>
      <c r="V3" s="26"/>
      <c r="W3" s="26"/>
      <c r="X3" s="26"/>
      <c r="Z3" s="26"/>
      <c r="AA3" s="26"/>
      <c r="AB3" s="26"/>
      <c r="AC3" s="26"/>
      <c r="AE3" s="26"/>
      <c r="AF3" s="26"/>
      <c r="AG3" s="26"/>
      <c r="AH3" s="26"/>
      <c r="AJ3" s="26"/>
      <c r="AK3" s="26"/>
      <c r="AL3" s="26"/>
      <c r="AM3" s="26"/>
      <c r="AO3" s="26"/>
      <c r="AP3" s="26"/>
      <c r="AQ3" s="26"/>
      <c r="AR3" s="26"/>
      <c r="AT3" s="26"/>
      <c r="AU3" s="26"/>
      <c r="AV3" s="26"/>
      <c r="AW3" s="26"/>
      <c r="AY3" s="26"/>
      <c r="AZ3" s="26"/>
      <c r="BA3" s="26"/>
      <c r="BB3" s="26"/>
      <c r="BD3" s="26"/>
      <c r="BE3" s="26"/>
      <c r="BF3" s="26"/>
      <c r="BG3" s="26"/>
      <c r="BI3" s="26"/>
      <c r="BJ3" s="26"/>
      <c r="BK3" s="26"/>
      <c r="BL3" s="26"/>
      <c r="BN3" s="26"/>
      <c r="BO3" s="26"/>
      <c r="BP3" s="26"/>
      <c r="BQ3" s="26"/>
      <c r="BS3" s="26"/>
      <c r="BT3" s="26"/>
      <c r="BU3" s="26"/>
      <c r="BV3" s="26"/>
      <c r="BX3" s="26"/>
      <c r="BY3" s="26"/>
      <c r="BZ3" s="26"/>
      <c r="CA3" s="26"/>
      <c r="CC3" s="26"/>
      <c r="CD3" s="26"/>
      <c r="CE3" s="26"/>
      <c r="CF3" s="26"/>
      <c r="CH3" s="26"/>
      <c r="CI3" s="26"/>
      <c r="CJ3" s="26"/>
      <c r="CK3" s="26"/>
      <c r="CM3" s="26"/>
      <c r="CN3" s="26"/>
      <c r="CO3" s="26"/>
      <c r="CP3" s="26"/>
      <c r="CR3" s="26"/>
      <c r="CS3" s="26"/>
      <c r="CT3" s="26"/>
      <c r="CU3" s="26"/>
      <c r="CW3" s="26"/>
      <c r="CX3" s="26"/>
      <c r="CY3" s="26"/>
      <c r="CZ3" s="26"/>
      <c r="DB3" s="26"/>
      <c r="DC3" s="26"/>
      <c r="DD3" s="26"/>
      <c r="DE3" s="26"/>
    </row>
    <row r="4" spans="1:111" s="23" customFormat="1" ht="11.25" customHeight="1" x14ac:dyDescent="0.2">
      <c r="A4" s="21" t="s">
        <v>0</v>
      </c>
      <c r="B4" s="190" t="s">
        <v>14</v>
      </c>
      <c r="C4" s="22" t="s">
        <v>13</v>
      </c>
      <c r="D4" s="190" t="s">
        <v>2</v>
      </c>
      <c r="F4" s="193" t="str">
        <f>Лист3!C5</f>
        <v>АДМИНИСТРАЦИЯ СЕЛЬСКОГО ПОСЕЛЕНИЯ "АЛЕКСАНДРОВСКОЕ"</v>
      </c>
      <c r="G4" s="194"/>
      <c r="H4" s="195"/>
      <c r="I4" s="196"/>
      <c r="K4" s="202" t="str">
        <f>Лист3!C6</f>
        <v>АДМИНИСТРАЦИЯ СЕЛЬСКОГО ПОСЕЛЕНИЯ "АРАХЛЕЙСКОЕ"</v>
      </c>
      <c r="L4" s="203"/>
      <c r="M4" s="204"/>
      <c r="N4" s="205"/>
      <c r="P4" s="193" t="str">
        <f>Лист3!C7</f>
        <v>АДМИНИСТРАЦИЯ СЕЛЬСКОГО ПОСЕЛЕНИЯ "БЕКЛЕМИШЕВСКОЕ"</v>
      </c>
      <c r="Q4" s="194"/>
      <c r="R4" s="195"/>
      <c r="S4" s="196"/>
      <c r="U4" s="193" t="str">
        <f>Лист3!C8</f>
        <v>АДМИНИСТРАЦИЯ СЕЛЬСКОГО ПОСЕЛЕНИЯ "ВЕРХ- ЧИТИНСКОЕ"</v>
      </c>
      <c r="V4" s="194"/>
      <c r="W4" s="195"/>
      <c r="X4" s="196"/>
      <c r="Z4" s="193" t="str">
        <f>Лист3!C9</f>
        <v>АДМИНИСТРАЦИЯ СЕЛЬСКОГО ПОСЕЛЕНИЯ "ДОМНИНСКОЕ"</v>
      </c>
      <c r="AA4" s="194"/>
      <c r="AB4" s="195"/>
      <c r="AC4" s="196"/>
      <c r="AE4" s="193" t="str">
        <f>Лист3!C10</f>
        <v>АДМИНИСТРАЦИЯ СЕЛЬСКОГО ПОСЕЛЕНИЯ "ЕЛИЗАВЕТИНСКОЕ"</v>
      </c>
      <c r="AF4" s="194"/>
      <c r="AG4" s="195"/>
      <c r="AH4" s="196"/>
      <c r="AJ4" s="193" t="str">
        <f>Лист3!C11</f>
        <v>АДМИНИСТРАЦИЯ СЕЛЬСКОГО ПОСЕЛЕНИЯ "ЗАСОПКИНСКОЕ"</v>
      </c>
      <c r="AK4" s="194"/>
      <c r="AL4" s="195"/>
      <c r="AM4" s="196"/>
      <c r="AO4" s="201" t="str">
        <f>Лист3!C12</f>
        <v>АДМИНИСТРАЦИЯ СЕЛЬСКОГО ПОСЕЛЕНИЯ "ИНГОДИНСКОЕ"</v>
      </c>
      <c r="AP4" s="194"/>
      <c r="AQ4" s="195"/>
      <c r="AR4" s="196"/>
      <c r="AT4" s="193" t="str">
        <f>Лист3!C13</f>
        <v>АДМИНИСТРАЦИЯ СЕЛЬСКОГО ПОСЕЛЕНИЯ "КОЛОЧНИНСКОЕ"</v>
      </c>
      <c r="AU4" s="194"/>
      <c r="AV4" s="195"/>
      <c r="AW4" s="196"/>
      <c r="AY4" s="193" t="str">
        <f>Лист3!C14</f>
        <v>АДМИНИСТРАЦИЯ СЕЛЬСКОГО ПОСЕЛЕНИЯ "ЛЕНИНСКОЕ"</v>
      </c>
      <c r="AZ4" s="194"/>
      <c r="BA4" s="195"/>
      <c r="BB4" s="196"/>
      <c r="BD4" s="193" t="str">
        <f>Лист3!C15</f>
        <v>АДМИНИСТРАЦИЯ СЕЛЬСКОГО ПОСЕЛЕНИЯ "ЛЕСНИНСКОЕ"</v>
      </c>
      <c r="BE4" s="194"/>
      <c r="BF4" s="195"/>
      <c r="BG4" s="196"/>
      <c r="BI4" s="193" t="str">
        <f>Лист3!C16</f>
        <v>АДМИНИСТРАЦИЯ СЕЛЬСКОГО ПОСЕЛЕНИЯ "МАККАВЕЕВСКОЕ"</v>
      </c>
      <c r="BJ4" s="194"/>
      <c r="BK4" s="195"/>
      <c r="BL4" s="196"/>
      <c r="BN4" s="193" t="str">
        <f>Лист3!C17</f>
        <v>АДМИНИСТРАЦИЯ СЕЛЬСКОГО ПОСЕЛЕНИЯ "НОВОКУКИНСКОЕ"</v>
      </c>
      <c r="BO4" s="194"/>
      <c r="BP4" s="195"/>
      <c r="BQ4" s="196"/>
      <c r="BS4" s="193" t="str">
        <f>Лист3!C18</f>
        <v>АДМИНИСТРАЦИЯ СЕЛЬСКОГО ПОСЕЛЕНИЯ "НОВОТРОИЦКОЕ"</v>
      </c>
      <c r="BT4" s="194"/>
      <c r="BU4" s="195"/>
      <c r="BV4" s="196"/>
      <c r="BX4" s="193" t="str">
        <f>Лист3!C19</f>
        <v>АДМИНИСТРАЦИЯ СЕЛЬСКОГО ПОСЕЛЕНИЯ "ОЛЕНГУЙСКОЕ"</v>
      </c>
      <c r="BY4" s="194"/>
      <c r="BZ4" s="195"/>
      <c r="CA4" s="196"/>
      <c r="CC4" s="193" t="str">
        <f>Лист3!C20</f>
        <v>АДМИНИСТРАЦИЯ СЕЛЬСКОГО ПОСЕЛЕНИЯ "СИВЯКОВСКОЕ"</v>
      </c>
      <c r="CD4" s="194"/>
      <c r="CE4" s="195"/>
      <c r="CF4" s="196"/>
      <c r="CH4" s="201" t="str">
        <f>Лист3!C21</f>
        <v>АДМИНИСТРАЦИЯ СЕЛЬСКОГО ПОСЕЛЕНИЯ "СМОЛЕНСКОЕ"</v>
      </c>
      <c r="CI4" s="194"/>
      <c r="CJ4" s="195"/>
      <c r="CK4" s="196"/>
      <c r="CM4" s="193" t="str">
        <f>Лист3!C22</f>
        <v>АДМИНИСТРАЦИЯ СЕЛЬСКОГО ПОСЕЛЕНИЯ "СОХОНДИНСКОЕ"</v>
      </c>
      <c r="CN4" s="194"/>
      <c r="CO4" s="195"/>
      <c r="CP4" s="196"/>
      <c r="CR4" s="193" t="str">
        <f>Лист3!C23</f>
        <v>АДМИНИСТРАЦИЯ СЕЛЬСКОГО ПОСЕЛЕНИЯ "УГДАНСКОЕ"</v>
      </c>
      <c r="CS4" s="194"/>
      <c r="CT4" s="195"/>
      <c r="CU4" s="196"/>
      <c r="CW4" s="193" t="str">
        <f>Лист3!C24</f>
        <v>АДМИНИСТРАЦИЯ СЕЛЬСКОГО ПОСЕЛЕНИЯ "ШИШКИНСКОЕ"</v>
      </c>
      <c r="CX4" s="194"/>
      <c r="CY4" s="195"/>
      <c r="CZ4" s="196"/>
      <c r="DB4" s="193" t="str">
        <f>Лист3!C25</f>
        <v>АДМИНИСТРАЦИЯ СЕЛЬСКОГО ПОСЕЛЕНИЯ "ЯБЛОНОВСКОЕ"</v>
      </c>
      <c r="DC4" s="194"/>
      <c r="DD4" s="195"/>
      <c r="DE4" s="196"/>
    </row>
    <row r="5" spans="1:111" s="3" customFormat="1" ht="51" x14ac:dyDescent="0.25">
      <c r="A5" s="4"/>
      <c r="B5" s="191"/>
      <c r="C5" s="5" t="s">
        <v>23</v>
      </c>
      <c r="D5" s="191"/>
      <c r="F5" s="197"/>
      <c r="G5" s="198"/>
      <c r="H5" s="199"/>
      <c r="I5" s="200"/>
      <c r="K5" s="206"/>
      <c r="L5" s="207"/>
      <c r="M5" s="208"/>
      <c r="N5" s="209"/>
      <c r="P5" s="197"/>
      <c r="Q5" s="198"/>
      <c r="R5" s="199"/>
      <c r="S5" s="200"/>
      <c r="U5" s="197"/>
      <c r="V5" s="198"/>
      <c r="W5" s="199"/>
      <c r="X5" s="200"/>
      <c r="Z5" s="197"/>
      <c r="AA5" s="198"/>
      <c r="AB5" s="199"/>
      <c r="AC5" s="200"/>
      <c r="AE5" s="197"/>
      <c r="AF5" s="198"/>
      <c r="AG5" s="199"/>
      <c r="AH5" s="200"/>
      <c r="AJ5" s="197"/>
      <c r="AK5" s="198"/>
      <c r="AL5" s="199"/>
      <c r="AM5" s="200"/>
      <c r="AO5" s="197"/>
      <c r="AP5" s="198"/>
      <c r="AQ5" s="199"/>
      <c r="AR5" s="200"/>
      <c r="AT5" s="197"/>
      <c r="AU5" s="198"/>
      <c r="AV5" s="199"/>
      <c r="AW5" s="200"/>
      <c r="AY5" s="197"/>
      <c r="AZ5" s="198"/>
      <c r="BA5" s="199"/>
      <c r="BB5" s="200"/>
      <c r="BD5" s="197"/>
      <c r="BE5" s="198"/>
      <c r="BF5" s="199"/>
      <c r="BG5" s="200"/>
      <c r="BI5" s="197"/>
      <c r="BJ5" s="198"/>
      <c r="BK5" s="199"/>
      <c r="BL5" s="200"/>
      <c r="BN5" s="197"/>
      <c r="BO5" s="198"/>
      <c r="BP5" s="199"/>
      <c r="BQ5" s="200"/>
      <c r="BS5" s="197"/>
      <c r="BT5" s="198"/>
      <c r="BU5" s="199"/>
      <c r="BV5" s="200"/>
      <c r="BX5" s="197"/>
      <c r="BY5" s="198"/>
      <c r="BZ5" s="199"/>
      <c r="CA5" s="200"/>
      <c r="CC5" s="197"/>
      <c r="CD5" s="198"/>
      <c r="CE5" s="199"/>
      <c r="CF5" s="200"/>
      <c r="CH5" s="197"/>
      <c r="CI5" s="198"/>
      <c r="CJ5" s="199"/>
      <c r="CK5" s="200"/>
      <c r="CM5" s="197"/>
      <c r="CN5" s="198"/>
      <c r="CO5" s="199"/>
      <c r="CP5" s="200"/>
      <c r="CR5" s="197"/>
      <c r="CS5" s="198"/>
      <c r="CT5" s="199"/>
      <c r="CU5" s="200"/>
      <c r="CW5" s="197"/>
      <c r="CX5" s="198"/>
      <c r="CY5" s="199"/>
      <c r="CZ5" s="200"/>
      <c r="DB5" s="197"/>
      <c r="DC5" s="198"/>
      <c r="DD5" s="199"/>
      <c r="DE5" s="200"/>
    </row>
    <row r="6" spans="1:111" s="3" customFormat="1" ht="17.25" customHeight="1" thickBot="1" x14ac:dyDescent="0.3">
      <c r="A6" s="6" t="s">
        <v>1</v>
      </c>
      <c r="B6" s="192"/>
      <c r="C6" s="7"/>
      <c r="D6" s="192"/>
      <c r="F6" s="27" t="s">
        <v>46</v>
      </c>
      <c r="G6" s="25" t="s">
        <v>54</v>
      </c>
      <c r="H6" s="28" t="s">
        <v>227</v>
      </c>
      <c r="I6" s="28" t="s">
        <v>55</v>
      </c>
      <c r="K6" s="27" t="s">
        <v>46</v>
      </c>
      <c r="L6" s="25" t="s">
        <v>54</v>
      </c>
      <c r="M6" s="183">
        <v>2023</v>
      </c>
      <c r="N6" s="28" t="s">
        <v>55</v>
      </c>
      <c r="P6" s="27" t="s">
        <v>46</v>
      </c>
      <c r="Q6" s="25" t="s">
        <v>54</v>
      </c>
      <c r="R6" s="183">
        <v>2023</v>
      </c>
      <c r="S6" s="28" t="s">
        <v>55</v>
      </c>
      <c r="U6" s="27" t="s">
        <v>46</v>
      </c>
      <c r="V6" s="25" t="s">
        <v>54</v>
      </c>
      <c r="W6" s="183">
        <v>2023</v>
      </c>
      <c r="X6" s="28" t="s">
        <v>55</v>
      </c>
      <c r="Z6" s="27" t="s">
        <v>46</v>
      </c>
      <c r="AA6" s="25" t="s">
        <v>54</v>
      </c>
      <c r="AB6" s="183">
        <v>2023</v>
      </c>
      <c r="AC6" s="28" t="s">
        <v>55</v>
      </c>
      <c r="AE6" s="27" t="s">
        <v>46</v>
      </c>
      <c r="AF6" s="25" t="s">
        <v>54</v>
      </c>
      <c r="AG6" s="184">
        <f>AG8+AG13</f>
        <v>3828565.2079303679</v>
      </c>
      <c r="AH6" s="28" t="s">
        <v>55</v>
      </c>
      <c r="AJ6" s="27" t="s">
        <v>46</v>
      </c>
      <c r="AK6" s="25" t="s">
        <v>54</v>
      </c>
      <c r="AL6" s="183">
        <v>2023</v>
      </c>
      <c r="AM6" s="28" t="s">
        <v>55</v>
      </c>
      <c r="AO6" s="27" t="s">
        <v>46</v>
      </c>
      <c r="AP6" s="25" t="s">
        <v>54</v>
      </c>
      <c r="AQ6" s="183">
        <v>2023</v>
      </c>
      <c r="AR6" s="28" t="s">
        <v>55</v>
      </c>
      <c r="AT6" s="27" t="s">
        <v>46</v>
      </c>
      <c r="AU6" s="25" t="s">
        <v>54</v>
      </c>
      <c r="AV6" s="183"/>
      <c r="AW6" s="28" t="s">
        <v>55</v>
      </c>
      <c r="AY6" s="27" t="s">
        <v>46</v>
      </c>
      <c r="AZ6" s="25" t="s">
        <v>54</v>
      </c>
      <c r="BA6" s="183"/>
      <c r="BB6" s="28" t="s">
        <v>55</v>
      </c>
      <c r="BD6" s="27" t="s">
        <v>46</v>
      </c>
      <c r="BE6" s="25" t="s">
        <v>54</v>
      </c>
      <c r="BF6" s="183"/>
      <c r="BG6" s="28" t="s">
        <v>55</v>
      </c>
      <c r="BI6" s="27" t="s">
        <v>46</v>
      </c>
      <c r="BJ6" s="25" t="s">
        <v>54</v>
      </c>
      <c r="BK6" s="183"/>
      <c r="BL6" s="28" t="s">
        <v>55</v>
      </c>
      <c r="BN6" s="27" t="s">
        <v>46</v>
      </c>
      <c r="BO6" s="25" t="s">
        <v>54</v>
      </c>
      <c r="BP6" s="183"/>
      <c r="BQ6" s="28" t="s">
        <v>55</v>
      </c>
      <c r="BS6" s="27" t="s">
        <v>46</v>
      </c>
      <c r="BT6" s="25" t="s">
        <v>54</v>
      </c>
      <c r="BU6" s="183"/>
      <c r="BV6" s="28" t="s">
        <v>55</v>
      </c>
      <c r="BX6" s="27" t="s">
        <v>46</v>
      </c>
      <c r="BY6" s="25" t="s">
        <v>54</v>
      </c>
      <c r="BZ6" s="183"/>
      <c r="CA6" s="28" t="s">
        <v>55</v>
      </c>
      <c r="CC6" s="27" t="s">
        <v>46</v>
      </c>
      <c r="CD6" s="25" t="s">
        <v>54</v>
      </c>
      <c r="CE6" s="183"/>
      <c r="CF6" s="28" t="s">
        <v>55</v>
      </c>
      <c r="CH6" s="27" t="s">
        <v>46</v>
      </c>
      <c r="CI6" s="25" t="s">
        <v>54</v>
      </c>
      <c r="CJ6" s="183"/>
      <c r="CK6" s="28" t="s">
        <v>55</v>
      </c>
      <c r="CM6" s="27" t="s">
        <v>46</v>
      </c>
      <c r="CN6" s="25" t="s">
        <v>54</v>
      </c>
      <c r="CO6" s="183"/>
      <c r="CP6" s="28" t="s">
        <v>55</v>
      </c>
      <c r="CR6" s="27" t="s">
        <v>46</v>
      </c>
      <c r="CS6" s="25" t="s">
        <v>54</v>
      </c>
      <c r="CT6" s="183"/>
      <c r="CU6" s="28" t="s">
        <v>55</v>
      </c>
      <c r="CW6" s="27" t="s">
        <v>46</v>
      </c>
      <c r="CX6" s="25" t="s">
        <v>54</v>
      </c>
      <c r="CY6" s="183"/>
      <c r="CZ6" s="28" t="s">
        <v>55</v>
      </c>
      <c r="DB6" s="27" t="s">
        <v>46</v>
      </c>
      <c r="DC6" s="25" t="s">
        <v>54</v>
      </c>
      <c r="DD6" s="183"/>
      <c r="DE6" s="28" t="s">
        <v>55</v>
      </c>
    </row>
    <row r="7" spans="1:111" s="3" customFormat="1" x14ac:dyDescent="0.25">
      <c r="A7" s="3" t="s">
        <v>57</v>
      </c>
      <c r="F7" s="37">
        <f>Лист3!D121</f>
        <v>2606018.11</v>
      </c>
      <c r="G7" s="67">
        <f>Лист3!D169</f>
        <v>3640099.24</v>
      </c>
      <c r="H7" s="68">
        <f>H8+H13</f>
        <v>3234440.193231456</v>
      </c>
      <c r="I7" s="28"/>
      <c r="J7" s="3">
        <v>309.72000000000003</v>
      </c>
      <c r="K7" s="37">
        <f>Лист3!D122</f>
        <v>3551104.67</v>
      </c>
      <c r="L7" s="67">
        <f>Лист3!D168</f>
        <v>3688500</v>
      </c>
      <c r="M7" s="184">
        <f>M9+M13</f>
        <v>2897157.0352345183</v>
      </c>
      <c r="N7" s="123"/>
      <c r="O7" s="3">
        <v>3158.7</v>
      </c>
      <c r="P7" s="37">
        <f>Лист3!D123</f>
        <v>3781001.14</v>
      </c>
      <c r="Q7" s="67">
        <f>Лист3!D167</f>
        <v>3593675.2</v>
      </c>
      <c r="R7" s="184">
        <f>R8+R13</f>
        <v>3210977.8650588677</v>
      </c>
      <c r="S7" s="28"/>
      <c r="T7" s="3">
        <v>1361.62</v>
      </c>
      <c r="U7" s="37">
        <f>Лист3!D124</f>
        <v>5044966.95</v>
      </c>
      <c r="V7" s="67">
        <f>Лист3!D166</f>
        <v>5673111.5</v>
      </c>
      <c r="W7" s="184">
        <f>W8+W13</f>
        <v>4058416.3815965443</v>
      </c>
      <c r="X7" s="28"/>
      <c r="Y7" s="3">
        <v>2468</v>
      </c>
      <c r="Z7" s="37">
        <f>Лист3!D125</f>
        <v>12517741.57</v>
      </c>
      <c r="AA7" s="67">
        <f>Лист3!D165</f>
        <v>15240486.98</v>
      </c>
      <c r="AB7" s="184">
        <f>AB8+AB13</f>
        <v>10938993.545108367</v>
      </c>
      <c r="AC7" s="28"/>
      <c r="AD7" s="3">
        <v>8132.88</v>
      </c>
      <c r="AE7" s="27">
        <f>Лист3!D126</f>
        <v>5064446.9800000004</v>
      </c>
      <c r="AF7" s="67">
        <f>Лист3!D164</f>
        <v>4192655.12</v>
      </c>
      <c r="AG7" s="184"/>
      <c r="AH7" s="28"/>
      <c r="AI7" s="3">
        <v>860.48</v>
      </c>
      <c r="AJ7" s="37">
        <f>Лист3!D127</f>
        <v>6628324.21</v>
      </c>
      <c r="AK7" s="67">
        <f>Лист3!D163</f>
        <v>8654266.0299999993</v>
      </c>
      <c r="AL7" s="184">
        <f>AL8+AL13</f>
        <v>5625340.5111033991</v>
      </c>
      <c r="AM7" s="28"/>
      <c r="AN7" s="3">
        <v>3883.76</v>
      </c>
      <c r="AO7" s="37">
        <f>Лист3!D128</f>
        <v>5038134.51</v>
      </c>
      <c r="AP7" s="67">
        <f>Лист3!D162</f>
        <v>4746535.6900000004</v>
      </c>
      <c r="AQ7" s="184">
        <f>AQ8+AQ13</f>
        <v>4179294.6696684649</v>
      </c>
      <c r="AR7" s="28"/>
      <c r="AS7" s="3">
        <v>2938</v>
      </c>
      <c r="AT7" s="37">
        <f>Лист3!D129</f>
        <v>2982031.71</v>
      </c>
      <c r="AU7" s="67">
        <f>Лист3!D161</f>
        <v>3417400</v>
      </c>
      <c r="AV7" s="184">
        <f>AV8+AV13</f>
        <v>2486340.0529259364</v>
      </c>
      <c r="AW7" s="28"/>
      <c r="AX7" s="3">
        <v>2167.46</v>
      </c>
      <c r="AY7" s="37">
        <f>Лист3!D130</f>
        <v>2590673.66</v>
      </c>
      <c r="AZ7" s="67">
        <f>Лист3!D160</f>
        <v>2845168.6</v>
      </c>
      <c r="BA7" s="184">
        <f>BA8+BA13</f>
        <v>2415099.4171919362</v>
      </c>
      <c r="BB7" s="28"/>
      <c r="BC7" s="3">
        <v>120.01</v>
      </c>
      <c r="BD7" s="37">
        <f>Лист3!D131</f>
        <v>4327110.54</v>
      </c>
      <c r="BE7" s="67">
        <f>Лист3!D159</f>
        <v>4152848.69</v>
      </c>
      <c r="BF7" s="184">
        <f>BF8+BF13</f>
        <v>2915580.1489296076</v>
      </c>
      <c r="BG7" s="28"/>
      <c r="BH7" s="3">
        <v>1175</v>
      </c>
      <c r="BI7" s="37">
        <f>Лист3!D132</f>
        <v>21250481.27</v>
      </c>
      <c r="BJ7" s="67">
        <f>Лист3!D158</f>
        <v>10207290.890000001</v>
      </c>
      <c r="BK7" s="184">
        <f>BK8+BK13</f>
        <v>8364195.3068095613</v>
      </c>
      <c r="BL7" s="184">
        <f>BL8+BL13</f>
        <v>6383973.2300000004</v>
      </c>
      <c r="BM7" s="3">
        <v>2602.56</v>
      </c>
      <c r="BN7" s="37">
        <f>Лист3!D133</f>
        <v>12770964.41</v>
      </c>
      <c r="BO7" s="67">
        <f>Лист3!D157</f>
        <v>10014359.66</v>
      </c>
      <c r="BP7" s="184">
        <f>BP8+BP13</f>
        <v>9813164.7482248433</v>
      </c>
      <c r="BQ7" s="28"/>
      <c r="BR7" s="3">
        <v>2731.248</v>
      </c>
      <c r="BS7" s="37">
        <f>Лист3!D134</f>
        <v>4220199.59</v>
      </c>
      <c r="BT7" s="67">
        <f>Лист3!D156</f>
        <v>6388669.1500000004</v>
      </c>
      <c r="BU7" s="184">
        <f>BU8+BU13</f>
        <v>3964928.6636856007</v>
      </c>
      <c r="BV7" s="28"/>
      <c r="BW7" s="3">
        <v>1374.56</v>
      </c>
      <c r="BX7" s="37">
        <f>Лист3!D135</f>
        <v>1799690.52</v>
      </c>
      <c r="BY7" s="67">
        <f>Лист3!D155</f>
        <v>1981537.17</v>
      </c>
      <c r="BZ7" s="184">
        <f>BZ8+BZ13</f>
        <v>1483430.866456032</v>
      </c>
      <c r="CA7" s="28"/>
      <c r="CB7" s="3">
        <v>544.20000000000005</v>
      </c>
      <c r="CC7" s="37">
        <f>Лист3!D136</f>
        <v>3025861.16</v>
      </c>
      <c r="CD7" s="67">
        <f>Лист3!D154</f>
        <v>4071280</v>
      </c>
      <c r="CE7" s="184">
        <f>CE8+CE13</f>
        <v>3780677.5856700162</v>
      </c>
      <c r="CF7" s="28"/>
      <c r="CG7" s="3">
        <v>233.48</v>
      </c>
      <c r="CH7" s="37">
        <f>Лист3!D137</f>
        <v>9914878.5099999998</v>
      </c>
      <c r="CI7" s="67">
        <f>Лист3!D153</f>
        <v>11025120</v>
      </c>
      <c r="CJ7" s="184">
        <f>CJ8+CJ13</f>
        <v>8365151.3913576631</v>
      </c>
      <c r="CK7" s="28"/>
      <c r="CL7" s="3">
        <v>7163</v>
      </c>
      <c r="CM7" s="37">
        <f>Лист3!D138</f>
        <v>2723585.55</v>
      </c>
      <c r="CN7" s="67">
        <f>Лист3!D152</f>
        <v>3673560</v>
      </c>
      <c r="CO7" s="184">
        <f>CO8+CO13</f>
        <v>3113501.0366002689</v>
      </c>
      <c r="CP7" s="28"/>
      <c r="CQ7" s="3">
        <v>1429</v>
      </c>
      <c r="CR7" s="37">
        <f>Лист3!D139</f>
        <v>4615228.76</v>
      </c>
      <c r="CS7" s="37">
        <f>Лист3!D151</f>
        <v>4620230.2</v>
      </c>
      <c r="CT7" s="189">
        <f>CT8+CT13</f>
        <v>3685757.2444462082</v>
      </c>
      <c r="CU7" s="28"/>
      <c r="CV7" s="3">
        <v>2248</v>
      </c>
      <c r="CW7" s="37">
        <f>Лист3!D140</f>
        <v>6259175.1500000004</v>
      </c>
      <c r="CX7" s="67">
        <f>Лист3!D150</f>
        <v>6044028.1299999999</v>
      </c>
      <c r="CY7" s="184">
        <f>CY8+CY13</f>
        <v>4707917.9572403459</v>
      </c>
      <c r="CZ7" s="28"/>
      <c r="DA7" s="3">
        <v>1131</v>
      </c>
      <c r="DB7" s="37">
        <f>Лист3!D141</f>
        <v>3442814.19</v>
      </c>
      <c r="DC7" s="67">
        <f>Лист3!D170</f>
        <v>4403610</v>
      </c>
      <c r="DD7" s="184">
        <f>DD8+DD13</f>
        <v>3110987.5351608959</v>
      </c>
      <c r="DE7" s="28">
        <v>741.96</v>
      </c>
      <c r="DF7" s="48">
        <f>SUM(F7:DE7)</f>
        <v>345210965.4337005</v>
      </c>
    </row>
    <row r="8" spans="1:111" s="3" customFormat="1" ht="22.5" customHeight="1" thickBot="1" x14ac:dyDescent="0.3">
      <c r="A8" s="15" t="s">
        <v>3</v>
      </c>
      <c r="B8" s="8">
        <v>0</v>
      </c>
      <c r="C8" s="8">
        <v>0</v>
      </c>
      <c r="D8" s="9">
        <v>0</v>
      </c>
      <c r="F8" s="34">
        <f>F9+F13</f>
        <v>346425</v>
      </c>
      <c r="G8" s="34">
        <f t="shared" ref="G8" si="0">G9+G13</f>
        <v>917800</v>
      </c>
      <c r="H8" s="34">
        <f t="shared" ref="H8:I8" si="1">H9+H13</f>
        <v>2759706.693231456</v>
      </c>
      <c r="I8" s="34">
        <f t="shared" si="1"/>
        <v>2529832.5291504003</v>
      </c>
      <c r="K8" s="34">
        <f>K9+K13</f>
        <v>108650</v>
      </c>
      <c r="L8" s="34">
        <f t="shared" ref="L8" si="2">L9+L13</f>
        <v>350700</v>
      </c>
      <c r="M8" s="34">
        <f>M10+M12</f>
        <v>2177149.1424845187</v>
      </c>
      <c r="N8" s="34">
        <f t="shared" ref="N8" si="3">N9+N13</f>
        <v>3255426.0001925603</v>
      </c>
      <c r="P8" s="34">
        <f>P9+P13</f>
        <v>97765.67</v>
      </c>
      <c r="Q8" s="34">
        <f t="shared" ref="Q8" si="4">Q9+Q13</f>
        <v>250625.36</v>
      </c>
      <c r="R8" s="34">
        <f>R9+R12</f>
        <v>2399305.8650588677</v>
      </c>
      <c r="S8" s="34">
        <f t="shared" ref="S8" si="5">S9+S13</f>
        <v>2925113.1447884804</v>
      </c>
      <c r="U8" s="34">
        <f>U9+U13</f>
        <v>45000</v>
      </c>
      <c r="V8" s="34">
        <f t="shared" ref="V8" si="6">V9+V13</f>
        <v>1669535.7</v>
      </c>
      <c r="W8" s="34">
        <f>W9+W12</f>
        <v>3339721.4715965441</v>
      </c>
      <c r="X8" s="34">
        <f t="shared" ref="X8" si="7">X9+X13</f>
        <v>3628809.2710496001</v>
      </c>
      <c r="Z8" s="34">
        <f>Z9+Z13</f>
        <v>5108086.2300000004</v>
      </c>
      <c r="AA8" s="34">
        <f t="shared" ref="AA8" si="8">AA9+AA13</f>
        <v>3823250</v>
      </c>
      <c r="AB8" s="34">
        <f>AB9+AB12</f>
        <v>7809945.2304496644</v>
      </c>
      <c r="AC8" s="34">
        <f t="shared" ref="AC8" si="9">AC9+AC13</f>
        <v>12090054.720657602</v>
      </c>
      <c r="AE8" s="34">
        <f>AE9+AE13</f>
        <v>1041481</v>
      </c>
      <c r="AF8" s="34">
        <f t="shared" ref="AF8" si="10">AF9+AF13</f>
        <v>143900</v>
      </c>
      <c r="AG8" s="187">
        <f>AG9+AG12</f>
        <v>3086253.7079303679</v>
      </c>
      <c r="AH8" s="34">
        <f t="shared" ref="AH8" si="11">AH9+AH13</f>
        <v>3508595.1648511998</v>
      </c>
      <c r="AJ8" s="34">
        <f>AJ9+AJ13</f>
        <v>68275</v>
      </c>
      <c r="AK8" s="34">
        <f t="shared" ref="AK8" si="12">AK9+AK13</f>
        <v>1679820.45</v>
      </c>
      <c r="AL8" s="34">
        <f>AL9+AL12</f>
        <v>4275121.0465200655</v>
      </c>
      <c r="AM8" s="34">
        <f t="shared" ref="AM8" si="13">AM9+AM13</f>
        <v>3518300</v>
      </c>
      <c r="AO8" s="34">
        <f>AO9+AO13</f>
        <v>357085.98</v>
      </c>
      <c r="AP8" s="34">
        <f t="shared" ref="AP8" si="14">AP9+AP13</f>
        <v>514253</v>
      </c>
      <c r="AQ8" s="34">
        <f>AQ9+AQ12</f>
        <v>3381017.7931336961</v>
      </c>
      <c r="AR8" s="34">
        <f t="shared" ref="AR8" si="15">AR9+AR13</f>
        <v>4637406.3097664006</v>
      </c>
      <c r="AT8" s="34">
        <f>AT9+AT13</f>
        <v>95390</v>
      </c>
      <c r="AU8" s="34">
        <f t="shared" ref="AU8" si="16">AU9+AU13</f>
        <v>181400</v>
      </c>
      <c r="AV8" s="34">
        <f>AV9+AV12</f>
        <v>1682599.0891759363</v>
      </c>
      <c r="AW8" s="34">
        <f t="shared" ref="AW8" si="17">AW9+AW13</f>
        <v>906128.96375</v>
      </c>
      <c r="AY8" s="34">
        <f>AY9+AY13</f>
        <v>6800</v>
      </c>
      <c r="AZ8" s="34">
        <f t="shared" ref="AZ8:BB8" si="18">AZ9+AZ13</f>
        <v>1514400</v>
      </c>
      <c r="BA8" s="34">
        <f>BA9+BA12</f>
        <v>2080655.1911919361</v>
      </c>
      <c r="BB8" s="34">
        <f t="shared" si="18"/>
        <v>1054764.226</v>
      </c>
      <c r="BD8" s="34">
        <f>BD9+BD13</f>
        <v>803270.77</v>
      </c>
      <c r="BE8" s="34">
        <f t="shared" ref="BE8" si="19">BE9+BE13</f>
        <v>68845.600000000006</v>
      </c>
      <c r="BF8" s="34">
        <f>BF9+BF12</f>
        <v>2317058.0978184966</v>
      </c>
      <c r="BG8" s="34">
        <f t="shared" ref="BG8" si="20">BG9+BG13</f>
        <v>2606697.0491975117</v>
      </c>
      <c r="BI8" s="34">
        <f>BI9+BI13</f>
        <v>2078260.73</v>
      </c>
      <c r="BJ8" s="34">
        <f t="shared" ref="BJ8" si="21">BJ9+BJ13</f>
        <v>2652341</v>
      </c>
      <c r="BK8" s="34">
        <f>BK9+BK12</f>
        <v>7213373.2924345611</v>
      </c>
      <c r="BL8" s="34">
        <f t="shared" ref="BL8" si="22">BL9+BL13</f>
        <v>3700986.6150000002</v>
      </c>
      <c r="BN8" s="34">
        <f>BN9+BN13</f>
        <v>4121143.75</v>
      </c>
      <c r="BO8" s="34">
        <f t="shared" ref="BO8" si="23">BO9+BO13</f>
        <v>3322448.5</v>
      </c>
      <c r="BP8" s="34">
        <f>BP9+BP12</f>
        <v>8718571.8888498433</v>
      </c>
      <c r="BQ8" s="34">
        <f t="shared" ref="BQ8" si="24">BQ9+BQ13</f>
        <v>9103550.9003068805</v>
      </c>
      <c r="BS8" s="34">
        <f>BS9+BS13</f>
        <v>122688</v>
      </c>
      <c r="BT8" s="34">
        <f t="shared" ref="BT8" si="25">BT9+BT13</f>
        <v>346978.13</v>
      </c>
      <c r="BU8" s="34">
        <f>BU9+BU12</f>
        <v>2996143.6561856004</v>
      </c>
      <c r="BV8" s="34">
        <f t="shared" ref="BV8" si="26">BV9+BV13</f>
        <v>3633339.3435400007</v>
      </c>
      <c r="BX8" s="34">
        <f>BX9+BX13</f>
        <v>91910</v>
      </c>
      <c r="BY8" s="34">
        <f t="shared" ref="BY8" si="27">BY9+BY13</f>
        <v>338719.41000000003</v>
      </c>
      <c r="BZ8" s="34">
        <f>BZ9+BZ12</f>
        <v>1133801.2789560321</v>
      </c>
      <c r="CA8" s="34">
        <f t="shared" ref="CA8" si="28">CA9+CA13</f>
        <v>558574.29249999998</v>
      </c>
      <c r="CC8" s="34">
        <f>CC9+CC13</f>
        <v>61920</v>
      </c>
      <c r="CD8" s="34">
        <f t="shared" ref="CD8" si="29">CD9+CD13</f>
        <v>58020</v>
      </c>
      <c r="CE8" s="34">
        <f>CE9+CE12</f>
        <v>3042294.5856700162</v>
      </c>
      <c r="CF8" s="34">
        <f t="shared" ref="CF8" si="30">CF9+CF13</f>
        <v>3471104.9172544004</v>
      </c>
      <c r="CH8" s="34">
        <f>CH9+CH13</f>
        <v>647521.09</v>
      </c>
      <c r="CI8" s="34">
        <f t="shared" ref="CI8" si="31">CI9+CI13</f>
        <v>2568935.9</v>
      </c>
      <c r="CJ8" s="34">
        <f>CJ9+CJ12</f>
        <v>4989819.6438576635</v>
      </c>
      <c r="CK8" s="34">
        <f t="shared" ref="CK8" si="32">CK9+CK13</f>
        <v>8852794.7928576004</v>
      </c>
      <c r="CM8" s="34">
        <f>CM9+CM13</f>
        <v>79853</v>
      </c>
      <c r="CN8" s="34">
        <f t="shared" ref="CN8" si="33">CN9+CN13</f>
        <v>208181</v>
      </c>
      <c r="CO8" s="34">
        <f>CO9+CO12</f>
        <v>2219647.0366002689</v>
      </c>
      <c r="CP8" s="34">
        <f t="shared" ref="CP8" si="34">CP9+CP13</f>
        <v>2790949.9794739205</v>
      </c>
      <c r="CR8" s="34">
        <f>CR9+CR13</f>
        <v>88920</v>
      </c>
      <c r="CS8" s="34">
        <f t="shared" ref="CS8" si="35">CS9+CS13</f>
        <v>1150850</v>
      </c>
      <c r="CT8" s="34">
        <f>CT9+CT12</f>
        <v>2934947.2444462082</v>
      </c>
      <c r="CU8" s="34">
        <f t="shared" ref="CU8" si="36">CU9+CU13</f>
        <v>3381810.1267072</v>
      </c>
      <c r="CW8" s="34">
        <f>CW9+CW13</f>
        <v>1743908.5</v>
      </c>
      <c r="CX8" s="34">
        <f t="shared" ref="CX8" si="37">CX9+CX13</f>
        <v>325827</v>
      </c>
      <c r="CY8" s="34">
        <f>CY9+CY12</f>
        <v>3128773.9572403459</v>
      </c>
      <c r="CZ8" s="34">
        <f t="shared" ref="CZ8" si="38">CZ9+CZ13</f>
        <v>4397991.5238950402</v>
      </c>
      <c r="DB8" s="34">
        <f>DB9+DB13</f>
        <v>845265.45</v>
      </c>
      <c r="DC8" s="34">
        <f t="shared" ref="DC8" si="39">DC9+DC13</f>
        <v>351600</v>
      </c>
      <c r="DD8" s="34">
        <f>DD9+DD12</f>
        <v>2617096.260160896</v>
      </c>
      <c r="DE8" s="34">
        <f t="shared" ref="DE8" si="40">DE9+DE13</f>
        <v>2805829.8422464002</v>
      </c>
      <c r="DF8" s="48">
        <f t="shared" ref="DF8:DF21" si="41">DE8+CZ8+CU8+CP8+CK8+CF8+CA8+BV8+BQ8+BL8+BG8+BB8+AW8+AR8+AM8+AH8+AC8+X8+S8+N8+I8</f>
        <v>83358059.713185191</v>
      </c>
      <c r="DG8" s="3">
        <f>DF8/12*11</f>
        <v>76411554.737086415</v>
      </c>
    </row>
    <row r="9" spans="1:111" s="3" customFormat="1" ht="29.25" customHeight="1" thickBot="1" x14ac:dyDescent="0.3">
      <c r="A9" s="14" t="s">
        <v>10</v>
      </c>
      <c r="B9" s="9" t="s">
        <v>8</v>
      </c>
      <c r="C9" s="9" t="s">
        <v>8</v>
      </c>
      <c r="D9" s="9">
        <v>0</v>
      </c>
      <c r="F9" s="33">
        <f>F10+F11+F12</f>
        <v>0</v>
      </c>
      <c r="G9" s="33">
        <f t="shared" ref="G9" si="42">G10+G11+G12</f>
        <v>0</v>
      </c>
      <c r="H9" s="33">
        <f t="shared" ref="H9:I9" si="43">H10+H11+H12</f>
        <v>2284973.193231456</v>
      </c>
      <c r="I9" s="33">
        <f t="shared" si="43"/>
        <v>2011244.0291504003</v>
      </c>
      <c r="K9" s="33">
        <f>K10+K11+K12</f>
        <v>0</v>
      </c>
      <c r="L9" s="33">
        <f t="shared" ref="L9" si="44">L10+L11+L12</f>
        <v>0</v>
      </c>
      <c r="M9" s="33">
        <f>'фонд оплаты'!A5</f>
        <v>1915249.1424845185</v>
      </c>
      <c r="N9" s="33">
        <f t="shared" ref="N9" si="45">N10+N11+N12</f>
        <v>1925633.1074425601</v>
      </c>
      <c r="P9" s="33">
        <f>P10+P11+P12</f>
        <v>0</v>
      </c>
      <c r="Q9" s="33">
        <f t="shared" ref="Q9" si="46">Q10+Q11+Q12</f>
        <v>0</v>
      </c>
      <c r="R9" s="33">
        <f>'фонд оплаты'!A18</f>
        <v>2008115.8650588677</v>
      </c>
      <c r="S9" s="33">
        <f t="shared" ref="S9" si="47">S10+S11+S12</f>
        <v>2124515.1447884804</v>
      </c>
      <c r="U9" s="33">
        <f>U10+U11+U12</f>
        <v>0</v>
      </c>
      <c r="V9" s="33">
        <f t="shared" ref="V9" si="48">V10+V11+V12</f>
        <v>0</v>
      </c>
      <c r="W9" s="33">
        <f>'фонд оплаты'!A19</f>
        <v>2301921.4715965441</v>
      </c>
      <c r="X9" s="33">
        <f t="shared" ref="X9" si="49">X10+X11+X12</f>
        <v>2985449.3610495999</v>
      </c>
      <c r="Z9" s="33">
        <f>Z10+Z11+Z12</f>
        <v>0</v>
      </c>
      <c r="AA9" s="33">
        <f t="shared" ref="AA9" si="50">AA10+AA11+AA12</f>
        <v>0</v>
      </c>
      <c r="AB9" s="33">
        <f>'фонд оплаты'!A12</f>
        <v>6604945.2304496644</v>
      </c>
      <c r="AC9" s="33">
        <f t="shared" ref="AC9" si="51">AC10+AC11+AC12</f>
        <v>6930591.6056576008</v>
      </c>
      <c r="AE9" s="33">
        <f>AE10+AE11+AE12</f>
        <v>0</v>
      </c>
      <c r="AF9" s="33">
        <f t="shared" ref="AF9" si="52">AF10+AF11+AF12</f>
        <v>0</v>
      </c>
      <c r="AG9" s="33">
        <f>'фонд оплаты'!A10</f>
        <v>2278253.7079303679</v>
      </c>
      <c r="AH9" s="33">
        <f t="shared" ref="AH9" si="53">AH10+AH11+AH12</f>
        <v>2750628.1648511998</v>
      </c>
      <c r="AJ9" s="33">
        <f>AJ10+AJ11+AJ12</f>
        <v>0</v>
      </c>
      <c r="AK9" s="33">
        <f t="shared" ref="AK9" si="54">AK10+AK11+AK12</f>
        <v>0</v>
      </c>
      <c r="AL9" s="33">
        <f>'фонд оплаты'!A11</f>
        <v>4099581.0465200651</v>
      </c>
      <c r="AM9" s="33">
        <f t="shared" ref="AM9" si="55">AM10+AM11+AM12</f>
        <v>165600</v>
      </c>
      <c r="AO9" s="33">
        <f>AO10+AO11+AO12</f>
        <v>0</v>
      </c>
      <c r="AP9" s="33">
        <f t="shared" ref="AP9" si="56">AP10+AP11+AP12</f>
        <v>0</v>
      </c>
      <c r="AQ9" s="33">
        <f>'фонд оплаты'!A14</f>
        <v>2533417.7931336961</v>
      </c>
      <c r="AR9" s="33">
        <f t="shared" ref="AR9" si="57">AR10+AR11+AR12</f>
        <v>3594236.3097664001</v>
      </c>
      <c r="AT9" s="33">
        <f>AT10+AT11+AT12</f>
        <v>0</v>
      </c>
      <c r="AU9" s="33">
        <f t="shared" ref="AU9" si="58">AU10+AU11+AU12</f>
        <v>0</v>
      </c>
      <c r="AV9" s="33">
        <f>'фонд оплаты'!A6</f>
        <v>1570299.0891759363</v>
      </c>
      <c r="AW9" s="33">
        <f t="shared" ref="AW9" si="59">AW10+AW11+AW12</f>
        <v>106100</v>
      </c>
      <c r="AY9" s="33">
        <f>AY10+AY11+AY12</f>
        <v>0</v>
      </c>
      <c r="AZ9" s="33">
        <f t="shared" ref="AZ9:BB9" si="60">AZ10+AZ11+AZ12</f>
        <v>0</v>
      </c>
      <c r="BA9" s="33">
        <f>'фонд оплаты'!A23</f>
        <v>1373405.1911919361</v>
      </c>
      <c r="BB9" s="33">
        <f t="shared" si="60"/>
        <v>661180</v>
      </c>
      <c r="BD9" s="33">
        <f>BD10+BD11+BD12</f>
        <v>0</v>
      </c>
      <c r="BE9" s="33">
        <f t="shared" ref="BE9" si="61">BE10+BE11+BE12</f>
        <v>0</v>
      </c>
      <c r="BF9" s="33">
        <f>'фонд оплаты'!A21</f>
        <v>2278478.0978184966</v>
      </c>
      <c r="BG9" s="33">
        <f t="shared" ref="BG9" si="62">BG10+BG11+BG12</f>
        <v>2035064.9980864006</v>
      </c>
      <c r="BI9" s="33">
        <f>BI10+BI11+BI12</f>
        <v>0</v>
      </c>
      <c r="BJ9" s="33">
        <f t="shared" ref="BJ9" si="63">BJ10+BJ11+BJ12</f>
        <v>0</v>
      </c>
      <c r="BK9" s="33">
        <f>'фонд оплаты'!A4</f>
        <v>6133573.2924345611</v>
      </c>
      <c r="BL9" s="33">
        <f t="shared" ref="BL9" si="64">BL10+BL11+BL12</f>
        <v>1018000</v>
      </c>
      <c r="BN9" s="33">
        <f>BN10+BN11+BN12</f>
        <v>0</v>
      </c>
      <c r="BO9" s="33">
        <f t="shared" ref="BO9" si="65">BO10+BO11+BO12</f>
        <v>0</v>
      </c>
      <c r="BP9" s="33">
        <f>'фонд оплаты'!A13</f>
        <v>6620491.8888498433</v>
      </c>
      <c r="BQ9" s="33">
        <f t="shared" ref="BQ9" si="66">BQ10+BQ11+BQ12</f>
        <v>7846799.0253068805</v>
      </c>
      <c r="BS9" s="33">
        <f>BS10+BS11+BS12</f>
        <v>0</v>
      </c>
      <c r="BT9" s="33">
        <f t="shared" ref="BT9" si="67">BT10+BT11+BT12</f>
        <v>0</v>
      </c>
      <c r="BU9" s="33">
        <f>'фонд оплаты'!A3</f>
        <v>2216753.6561856004</v>
      </c>
      <c r="BV9" s="33">
        <f t="shared" ref="BV9" si="68">BV10+BV11+BV12</f>
        <v>2519420.7510400005</v>
      </c>
      <c r="BX9" s="33">
        <f>BX10+BX11+BX12</f>
        <v>0</v>
      </c>
      <c r="BY9" s="33">
        <f t="shared" ref="BY9" si="69">BY10+BY11+BY12</f>
        <v>0</v>
      </c>
      <c r="BZ9" s="33">
        <f>'фонд оплаты'!A15</f>
        <v>1064901.2789560321</v>
      </c>
      <c r="CA9" s="33">
        <f t="shared" ref="CA9" si="70">CA10+CA11+CA12</f>
        <v>63190</v>
      </c>
      <c r="CC9" s="33">
        <f>CC10+CC11+CC12</f>
        <v>0</v>
      </c>
      <c r="CD9" s="33">
        <f t="shared" ref="CD9" si="71">CD10+CD11+CD12</f>
        <v>0</v>
      </c>
      <c r="CE9" s="33">
        <f>'фонд оплаты'!A9</f>
        <v>2008294.5856700162</v>
      </c>
      <c r="CF9" s="33">
        <f t="shared" ref="CF9" si="72">CF10+CF11+CF12</f>
        <v>2736281.9172544004</v>
      </c>
      <c r="CH9" s="33">
        <f>CH10+CH11+CH12</f>
        <v>0</v>
      </c>
      <c r="CI9" s="33">
        <f t="shared" ref="CI9" si="73">CI10+CI11+CI12</f>
        <v>0</v>
      </c>
      <c r="CJ9" s="33">
        <f>'фонд оплаты'!A22</f>
        <v>3414119.643857664</v>
      </c>
      <c r="CK9" s="33">
        <f t="shared" ref="CK9" si="74">CK10+CK11+CK12</f>
        <v>4493221.7928576004</v>
      </c>
      <c r="CM9" s="33">
        <f>CM10+CM11+CM12</f>
        <v>0</v>
      </c>
      <c r="CN9" s="33">
        <f t="shared" ref="CN9" si="75">CN10+CN11+CN12</f>
        <v>0</v>
      </c>
      <c r="CO9" s="33">
        <f>'фонд оплаты'!A8</f>
        <v>2023647.0366002689</v>
      </c>
      <c r="CP9" s="33">
        <f t="shared" ref="CP9" si="76">CP10+CP11+CP12</f>
        <v>1865028.9794739203</v>
      </c>
      <c r="CR9" s="33">
        <f>CR10+CR11+CR12</f>
        <v>0</v>
      </c>
      <c r="CS9" s="33">
        <f t="shared" ref="CS9" si="77">CS10+CS11+CS12</f>
        <v>0</v>
      </c>
      <c r="CT9" s="33">
        <f>'фонд оплаты'!A16</f>
        <v>2131247.2444462082</v>
      </c>
      <c r="CU9" s="33">
        <f t="shared" ref="CU9" si="78">CU10+CU11+CU12</f>
        <v>2603515.1267072</v>
      </c>
      <c r="CW9" s="33">
        <f>CW10+CW11+CW12</f>
        <v>0</v>
      </c>
      <c r="CX9" s="33">
        <f t="shared" ref="CX9" si="79">CX10+CX11+CX12</f>
        <v>0</v>
      </c>
      <c r="CY9" s="33">
        <f>'фонд оплаты'!A17</f>
        <v>2625903.9572403459</v>
      </c>
      <c r="CZ9" s="33">
        <f t="shared" ref="CZ9" si="80">CZ10+CZ11+CZ12</f>
        <v>2885274.5238950406</v>
      </c>
      <c r="DB9" s="33">
        <f>DB10+DB11+DB12</f>
        <v>0</v>
      </c>
      <c r="DC9" s="33">
        <f t="shared" ref="DC9" si="81">DC10+DC11+DC12</f>
        <v>0</v>
      </c>
      <c r="DD9" s="33">
        <f>'фонд оплаты'!A7</f>
        <v>2018536.2601608958</v>
      </c>
      <c r="DE9" s="33">
        <f>DE10+DE11+DE12</f>
        <v>2334645.8422464002</v>
      </c>
      <c r="DF9" s="48">
        <f t="shared" si="41"/>
        <v>53655620.679574087</v>
      </c>
    </row>
    <row r="10" spans="1:111" s="3" customFormat="1" ht="29.25" customHeight="1" thickBot="1" x14ac:dyDescent="0.3">
      <c r="A10" s="10" t="s">
        <v>11</v>
      </c>
      <c r="B10" s="11" t="s">
        <v>12</v>
      </c>
      <c r="C10" s="11" t="s">
        <v>12</v>
      </c>
      <c r="D10" s="8">
        <v>0</v>
      </c>
      <c r="F10" s="35"/>
      <c r="G10" s="36"/>
      <c r="H10" s="28">
        <f>'фонд оплаты'!A20</f>
        <v>2116973.193231456</v>
      </c>
      <c r="I10" s="28">
        <f>'фонд оплаты'!D20</f>
        <v>1856994.0291504003</v>
      </c>
      <c r="K10" s="35"/>
      <c r="L10" s="36"/>
      <c r="M10" s="28">
        <f>'фонд оплаты'!A5</f>
        <v>1915249.1424845185</v>
      </c>
      <c r="N10" s="28">
        <f>'фонд оплаты'!D5</f>
        <v>1680043.1074425601</v>
      </c>
      <c r="P10" s="35"/>
      <c r="Q10" s="36"/>
      <c r="R10" s="175"/>
      <c r="S10" s="28">
        <f>'фонд оплаты'!D18</f>
        <v>1761505.1447884806</v>
      </c>
      <c r="U10" s="35"/>
      <c r="V10" s="36"/>
      <c r="W10" s="175"/>
      <c r="X10" s="28">
        <f>'фонд оплаты'!D19</f>
        <v>2019229.3610496002</v>
      </c>
      <c r="Z10" s="35"/>
      <c r="AA10" s="36"/>
      <c r="AB10" s="175"/>
      <c r="AC10" s="28">
        <f>'фонд оплаты'!D12</f>
        <v>5793811.6056576008</v>
      </c>
      <c r="AE10" s="35"/>
      <c r="AF10" s="36"/>
      <c r="AG10" s="175"/>
      <c r="AH10" s="28">
        <f>'фонд оплаты'!D10</f>
        <v>1998468.1648512001</v>
      </c>
      <c r="AJ10" s="35"/>
      <c r="AK10" s="36"/>
      <c r="AL10" s="175"/>
      <c r="AM10" s="28">
        <f>'рассчет 23 го'!I15*1.04*1000</f>
        <v>0</v>
      </c>
      <c r="AO10" s="35"/>
      <c r="AP10" s="36"/>
      <c r="AQ10" s="175"/>
      <c r="AR10" s="28">
        <f>'фонд оплаты'!D14</f>
        <v>2222296.3097664001</v>
      </c>
      <c r="AT10" s="35"/>
      <c r="AU10" s="36"/>
      <c r="AV10" s="175"/>
      <c r="AW10" s="28">
        <f>'рассчет 23 го'!I17*1.04*1000</f>
        <v>0</v>
      </c>
      <c r="AY10" s="35"/>
      <c r="AZ10" s="36"/>
      <c r="BA10" s="175"/>
      <c r="BB10" s="28">
        <f>'рассчет 23 го'!I19*1.04*1000</f>
        <v>0</v>
      </c>
      <c r="BD10" s="35"/>
      <c r="BE10" s="36"/>
      <c r="BF10" s="175"/>
      <c r="BG10" s="28">
        <f>'фонд оплаты'!D21</f>
        <v>1998664.9980864006</v>
      </c>
      <c r="BI10" s="35"/>
      <c r="BJ10" s="36"/>
      <c r="BK10" s="175"/>
      <c r="BL10" s="28">
        <f>'рассчет 23 го'!I20*1.04*1000</f>
        <v>0</v>
      </c>
      <c r="BN10" s="35"/>
      <c r="BO10" s="36"/>
      <c r="BP10" s="175"/>
      <c r="BQ10" s="124">
        <f>'фонд оплаты'!D13-300000</f>
        <v>5507449.0253068805</v>
      </c>
      <c r="BS10" s="35"/>
      <c r="BT10" s="36"/>
      <c r="BU10" s="175"/>
      <c r="BV10" s="28">
        <f>'фонд оплаты'!D3</f>
        <v>1944520.7510400005</v>
      </c>
      <c r="BX10" s="35"/>
      <c r="BY10" s="36"/>
      <c r="BZ10" s="175"/>
      <c r="CA10" s="28">
        <f>'рассчет 23 го'!I24*1.04*1000</f>
        <v>0</v>
      </c>
      <c r="CC10" s="35"/>
      <c r="CD10" s="36"/>
      <c r="CE10" s="175"/>
      <c r="CF10" s="28">
        <f>'фонд оплаты'!D9</f>
        <v>1761661.9172544004</v>
      </c>
      <c r="CH10" s="35"/>
      <c r="CI10" s="36"/>
      <c r="CJ10" s="175"/>
      <c r="CK10" s="28">
        <f>'фонд оплаты'!D22</f>
        <v>2994841.7928576004</v>
      </c>
      <c r="CM10" s="35"/>
      <c r="CN10" s="36"/>
      <c r="CO10" s="175"/>
      <c r="CP10" s="28">
        <f>'фонд оплаты'!D8</f>
        <v>1775128.9794739203</v>
      </c>
      <c r="CR10" s="35"/>
      <c r="CS10" s="36"/>
      <c r="CT10" s="175"/>
      <c r="CU10" s="28">
        <f>'фонд оплаты'!D16</f>
        <v>1869515.1267072002</v>
      </c>
      <c r="CW10" s="35"/>
      <c r="CX10" s="36"/>
      <c r="CY10" s="175"/>
      <c r="CZ10" s="28">
        <f>'фонд оплаты'!D17</f>
        <v>2303424.5238950406</v>
      </c>
      <c r="DB10" s="35"/>
      <c r="DC10" s="36"/>
      <c r="DD10" s="175"/>
      <c r="DE10" s="28">
        <f>'фонд оплаты'!D7</f>
        <v>1770645.8422464</v>
      </c>
      <c r="DF10" s="48">
        <f t="shared" si="41"/>
        <v>39258200.679574087</v>
      </c>
    </row>
    <row r="11" spans="1:111" s="3" customFormat="1" ht="29.25" customHeight="1" thickBot="1" x14ac:dyDescent="0.3">
      <c r="A11" s="10" t="s">
        <v>4</v>
      </c>
      <c r="B11" s="11" t="s">
        <v>12</v>
      </c>
      <c r="C11" s="11" t="s">
        <v>12</v>
      </c>
      <c r="D11" s="8">
        <v>0</v>
      </c>
      <c r="F11" s="35"/>
      <c r="G11" s="36"/>
      <c r="H11" s="28"/>
      <c r="I11" s="28"/>
      <c r="K11" s="35"/>
      <c r="L11" s="36"/>
      <c r="M11" s="175"/>
      <c r="N11" s="28"/>
      <c r="P11" s="35"/>
      <c r="Q11" s="36"/>
      <c r="R11" s="175"/>
      <c r="S11" s="28"/>
      <c r="U11" s="35"/>
      <c r="V11" s="36"/>
      <c r="W11" s="175"/>
      <c r="X11" s="28"/>
      <c r="Z11" s="35"/>
      <c r="AA11" s="36"/>
      <c r="AB11" s="175"/>
      <c r="AC11" s="28"/>
      <c r="AE11" s="35"/>
      <c r="AF11" s="36"/>
      <c r="AG11" s="175"/>
      <c r="AH11" s="28"/>
      <c r="AJ11" s="35"/>
      <c r="AK11" s="36"/>
      <c r="AL11" s="175"/>
      <c r="AM11" s="28"/>
      <c r="AO11" s="35"/>
      <c r="AP11" s="36"/>
      <c r="AQ11" s="175"/>
      <c r="AR11" s="28"/>
      <c r="AT11" s="35"/>
      <c r="AU11" s="36"/>
      <c r="AV11" s="175"/>
      <c r="AW11" s="28"/>
      <c r="AY11" s="35"/>
      <c r="AZ11" s="36"/>
      <c r="BA11" s="175"/>
      <c r="BB11" s="28"/>
      <c r="BD11" s="35"/>
      <c r="BE11" s="36"/>
      <c r="BF11" s="175"/>
      <c r="BG11" s="28"/>
      <c r="BI11" s="35"/>
      <c r="BJ11" s="36"/>
      <c r="BK11" s="175"/>
      <c r="BL11" s="28"/>
      <c r="BN11" s="35"/>
      <c r="BO11" s="36"/>
      <c r="BP11" s="175"/>
      <c r="BQ11" s="28"/>
      <c r="BS11" s="35"/>
      <c r="BT11" s="36"/>
      <c r="BU11" s="175"/>
      <c r="BV11" s="28"/>
      <c r="BX11" s="35"/>
      <c r="BY11" s="36"/>
      <c r="BZ11" s="175"/>
      <c r="CA11" s="28"/>
      <c r="CC11" s="35"/>
      <c r="CD11" s="36"/>
      <c r="CE11" s="175"/>
      <c r="CF11" s="28"/>
      <c r="CH11" s="35"/>
      <c r="CI11" s="36"/>
      <c r="CJ11" s="175"/>
      <c r="CK11" s="28"/>
      <c r="CM11" s="35"/>
      <c r="CN11" s="36"/>
      <c r="CO11" s="175"/>
      <c r="CP11" s="28"/>
      <c r="CR11" s="35"/>
      <c r="CS11" s="36"/>
      <c r="CT11" s="175"/>
      <c r="CU11" s="28"/>
      <c r="CW11" s="35"/>
      <c r="CX11" s="36"/>
      <c r="CY11" s="175"/>
      <c r="CZ11" s="28"/>
      <c r="DB11" s="35"/>
      <c r="DC11" s="36"/>
      <c r="DD11" s="175"/>
      <c r="DE11" s="28"/>
      <c r="DF11" s="48">
        <f t="shared" si="41"/>
        <v>0</v>
      </c>
    </row>
    <row r="12" spans="1:111" s="3" customFormat="1" ht="29.25" customHeight="1" thickBot="1" x14ac:dyDescent="0.3">
      <c r="A12" s="10" t="s">
        <v>20</v>
      </c>
      <c r="B12" s="8" t="s">
        <v>12</v>
      </c>
      <c r="C12" s="8" t="s">
        <v>12</v>
      </c>
      <c r="D12" s="8">
        <v>0</v>
      </c>
      <c r="F12" s="35"/>
      <c r="G12" s="36"/>
      <c r="H12" s="28">
        <f>42600+125400</f>
        <v>168000</v>
      </c>
      <c r="I12" s="28">
        <f>114000+40250</f>
        <v>154250</v>
      </c>
      <c r="K12" s="35"/>
      <c r="L12" s="36"/>
      <c r="M12" s="175">
        <f>217900+44000</f>
        <v>261900</v>
      </c>
      <c r="N12" s="28">
        <f>40000+205590</f>
        <v>245590</v>
      </c>
      <c r="P12" s="35"/>
      <c r="Q12" s="36"/>
      <c r="R12" s="175">
        <f>215190+176000</f>
        <v>391190</v>
      </c>
      <c r="S12" s="28">
        <f>160000+203010</f>
        <v>363010</v>
      </c>
      <c r="U12" s="35"/>
      <c r="V12" s="36"/>
      <c r="W12" s="175">
        <f>649800+388000</f>
        <v>1037800</v>
      </c>
      <c r="X12" s="28">
        <f>353190+613030</f>
        <v>966220</v>
      </c>
      <c r="Z12" s="35"/>
      <c r="AA12" s="36"/>
      <c r="AB12" s="175">
        <v>1205000</v>
      </c>
      <c r="AC12" s="28">
        <f>1136780</f>
        <v>1136780</v>
      </c>
      <c r="AE12" s="35"/>
      <c r="AF12" s="36"/>
      <c r="AG12" s="175">
        <f>500000+308000</f>
        <v>808000</v>
      </c>
      <c r="AH12" s="28">
        <f>280000+472160</f>
        <v>752160</v>
      </c>
      <c r="AJ12" s="35"/>
      <c r="AK12" s="36"/>
      <c r="AL12" s="175">
        <v>175540</v>
      </c>
      <c r="AM12" s="28">
        <v>165600</v>
      </c>
      <c r="AO12" s="35"/>
      <c r="AP12" s="36"/>
      <c r="AQ12" s="175">
        <v>847600</v>
      </c>
      <c r="AR12" s="28">
        <f>871940+500000</f>
        <v>1371940</v>
      </c>
      <c r="AT12" s="35"/>
      <c r="AU12" s="36"/>
      <c r="AV12" s="175">
        <v>112300</v>
      </c>
      <c r="AW12" s="28">
        <v>106100</v>
      </c>
      <c r="AY12" s="35"/>
      <c r="AZ12" s="36"/>
      <c r="BA12" s="175">
        <f>531250+176000</f>
        <v>707250</v>
      </c>
      <c r="BB12" s="28">
        <f>160000+501180</f>
        <v>661180</v>
      </c>
      <c r="BD12" s="35"/>
      <c r="BE12" s="36"/>
      <c r="BF12" s="175">
        <f>38580</f>
        <v>38580</v>
      </c>
      <c r="BG12" s="28">
        <v>36400</v>
      </c>
      <c r="BI12" s="35"/>
      <c r="BJ12" s="36"/>
      <c r="BK12" s="175">
        <v>1079800</v>
      </c>
      <c r="BL12" s="28">
        <v>1018000</v>
      </c>
      <c r="BN12" s="35"/>
      <c r="BO12" s="36"/>
      <c r="BP12" s="175">
        <v>2098080</v>
      </c>
      <c r="BQ12" s="28">
        <v>2339350</v>
      </c>
      <c r="BS12" s="35"/>
      <c r="BT12" s="36"/>
      <c r="BU12" s="175">
        <f>105390+500000+174000</f>
        <v>779390</v>
      </c>
      <c r="BV12" s="28">
        <f>159000+15900+400000</f>
        <v>574900</v>
      </c>
      <c r="BX12" s="35"/>
      <c r="BY12" s="36"/>
      <c r="BZ12" s="175">
        <f>16100+52800</f>
        <v>68900</v>
      </c>
      <c r="CA12" s="28">
        <f>48000+15190</f>
        <v>63190</v>
      </c>
      <c r="CC12" s="35"/>
      <c r="CD12" s="36"/>
      <c r="CE12" s="175">
        <f>1012000+22000</f>
        <v>1034000</v>
      </c>
      <c r="CF12" s="28">
        <f>20000+954620</f>
        <v>974620</v>
      </c>
      <c r="CH12" s="35"/>
      <c r="CI12" s="36"/>
      <c r="CJ12" s="175">
        <v>1575700</v>
      </c>
      <c r="CK12" s="28">
        <v>1498380</v>
      </c>
      <c r="CM12" s="35"/>
      <c r="CN12" s="36"/>
      <c r="CO12" s="175">
        <f>119000+77000</f>
        <v>196000</v>
      </c>
      <c r="CP12" s="28">
        <f>70000+19900</f>
        <v>89900</v>
      </c>
      <c r="CR12" s="35"/>
      <c r="CS12" s="36"/>
      <c r="CT12" s="175">
        <v>803700</v>
      </c>
      <c r="CU12" s="28">
        <f>80000+654000</f>
        <v>734000</v>
      </c>
      <c r="CW12" s="35"/>
      <c r="CX12" s="36"/>
      <c r="CY12" s="175">
        <f>387870+115000</f>
        <v>502870</v>
      </c>
      <c r="CZ12" s="28">
        <f>104520+477330</f>
        <v>581850</v>
      </c>
      <c r="DB12" s="35"/>
      <c r="DC12" s="36"/>
      <c r="DD12" s="175">
        <f>578760+19800</f>
        <v>598560</v>
      </c>
      <c r="DE12" s="28">
        <f>18000+546000</f>
        <v>564000</v>
      </c>
      <c r="DF12" s="48">
        <f t="shared" si="41"/>
        <v>14397420</v>
      </c>
    </row>
    <row r="13" spans="1:111" s="3" customFormat="1" ht="76.5" customHeight="1" thickBot="1" x14ac:dyDescent="0.3">
      <c r="A13" s="14" t="s">
        <v>5</v>
      </c>
      <c r="B13" s="9">
        <v>0</v>
      </c>
      <c r="C13" s="9">
        <v>0</v>
      </c>
      <c r="D13" s="9">
        <v>0</v>
      </c>
      <c r="F13" s="74">
        <f>F14+F15+F16+F17+F18+F19+F21+F22+F23+F20</f>
        <v>346425</v>
      </c>
      <c r="G13" s="74">
        <f t="shared" ref="G13:CH13" si="82">G14+G15+G16+G17+G18+G19+G21+G22+G23+G20</f>
        <v>917800</v>
      </c>
      <c r="H13" s="74">
        <f>H14+H15+H16+H17+H18+H19+H21+H22+H23+H20</f>
        <v>474733.5</v>
      </c>
      <c r="I13" s="74">
        <f t="shared" si="82"/>
        <v>518588.5</v>
      </c>
      <c r="J13" s="74">
        <f t="shared" si="82"/>
        <v>0</v>
      </c>
      <c r="K13" s="74">
        <f t="shared" si="82"/>
        <v>108650</v>
      </c>
      <c r="L13" s="74">
        <f t="shared" si="82"/>
        <v>350700</v>
      </c>
      <c r="M13" s="74">
        <f t="shared" si="82"/>
        <v>981907.89274999988</v>
      </c>
      <c r="N13" s="74">
        <f t="shared" si="82"/>
        <v>1329792.8927499999</v>
      </c>
      <c r="O13" s="74">
        <f t="shared" si="82"/>
        <v>0</v>
      </c>
      <c r="P13" s="74">
        <f t="shared" si="82"/>
        <v>97765.67</v>
      </c>
      <c r="Q13" s="74">
        <f t="shared" si="82"/>
        <v>250625.36</v>
      </c>
      <c r="R13" s="74">
        <f t="shared" si="82"/>
        <v>811672</v>
      </c>
      <c r="S13" s="74">
        <f t="shared" si="82"/>
        <v>800598</v>
      </c>
      <c r="T13" s="74">
        <f t="shared" si="82"/>
        <v>0</v>
      </c>
      <c r="U13" s="74">
        <f t="shared" si="82"/>
        <v>45000</v>
      </c>
      <c r="V13" s="74">
        <f t="shared" si="82"/>
        <v>1669535.7</v>
      </c>
      <c r="W13" s="74">
        <f t="shared" si="82"/>
        <v>718694.91</v>
      </c>
      <c r="X13" s="74">
        <f t="shared" si="82"/>
        <v>643359.91</v>
      </c>
      <c r="Y13" s="74">
        <f t="shared" si="82"/>
        <v>0</v>
      </c>
      <c r="Z13" s="74">
        <f t="shared" si="82"/>
        <v>5108086.2300000004</v>
      </c>
      <c r="AA13" s="74">
        <f t="shared" si="82"/>
        <v>3823250</v>
      </c>
      <c r="AB13" s="74">
        <f t="shared" si="82"/>
        <v>3129048.3146587033</v>
      </c>
      <c r="AC13" s="74">
        <f t="shared" si="82"/>
        <v>5159463.1150000002</v>
      </c>
      <c r="AD13" s="74">
        <f t="shared" si="82"/>
        <v>0</v>
      </c>
      <c r="AE13" s="74">
        <f t="shared" si="82"/>
        <v>1041481</v>
      </c>
      <c r="AF13" s="74">
        <f t="shared" si="82"/>
        <v>143900</v>
      </c>
      <c r="AG13" s="74">
        <f t="shared" si="82"/>
        <v>742311.5</v>
      </c>
      <c r="AH13" s="74">
        <f t="shared" si="82"/>
        <v>757967</v>
      </c>
      <c r="AI13" s="74">
        <f t="shared" si="82"/>
        <v>0</v>
      </c>
      <c r="AJ13" s="74">
        <f t="shared" si="82"/>
        <v>68275</v>
      </c>
      <c r="AK13" s="74">
        <f t="shared" si="82"/>
        <v>1679820.45</v>
      </c>
      <c r="AL13" s="74">
        <f t="shared" si="82"/>
        <v>1350219.4645833333</v>
      </c>
      <c r="AM13" s="74">
        <f t="shared" si="82"/>
        <v>3352700</v>
      </c>
      <c r="AN13" s="74">
        <f t="shared" si="82"/>
        <v>0</v>
      </c>
      <c r="AO13" s="74">
        <f t="shared" si="82"/>
        <v>357085.98</v>
      </c>
      <c r="AP13" s="74">
        <f t="shared" si="82"/>
        <v>514253</v>
      </c>
      <c r="AQ13" s="74">
        <f t="shared" si="82"/>
        <v>798276.87653476908</v>
      </c>
      <c r="AR13" s="74">
        <f t="shared" si="82"/>
        <v>1043170</v>
      </c>
      <c r="AS13" s="74">
        <f t="shared" si="82"/>
        <v>0</v>
      </c>
      <c r="AT13" s="74">
        <f t="shared" si="82"/>
        <v>95390</v>
      </c>
      <c r="AU13" s="74">
        <f t="shared" si="82"/>
        <v>181400</v>
      </c>
      <c r="AV13" s="74">
        <f t="shared" si="82"/>
        <v>803740.96375</v>
      </c>
      <c r="AW13" s="74">
        <f t="shared" si="82"/>
        <v>800028.96375</v>
      </c>
      <c r="AX13" s="74">
        <f t="shared" si="82"/>
        <v>0</v>
      </c>
      <c r="AY13" s="74">
        <f t="shared" si="82"/>
        <v>6800</v>
      </c>
      <c r="AZ13" s="74">
        <f t="shared" si="82"/>
        <v>1514400</v>
      </c>
      <c r="BA13" s="74">
        <f t="shared" si="82"/>
        <v>334444.22599999997</v>
      </c>
      <c r="BB13" s="74">
        <f t="shared" si="82"/>
        <v>393584.22599999997</v>
      </c>
      <c r="BC13" s="74">
        <f t="shared" si="82"/>
        <v>0</v>
      </c>
      <c r="BD13" s="74">
        <f t="shared" si="82"/>
        <v>803270.77</v>
      </c>
      <c r="BE13" s="74">
        <f t="shared" si="82"/>
        <v>68845.600000000006</v>
      </c>
      <c r="BF13" s="74">
        <f t="shared" si="82"/>
        <v>598522.05111111095</v>
      </c>
      <c r="BG13" s="74">
        <f t="shared" si="82"/>
        <v>571632.05111111095</v>
      </c>
      <c r="BH13" s="74">
        <f t="shared" si="82"/>
        <v>0</v>
      </c>
      <c r="BI13" s="74">
        <f t="shared" si="82"/>
        <v>2078260.73</v>
      </c>
      <c r="BJ13" s="74">
        <f t="shared" si="82"/>
        <v>2652341</v>
      </c>
      <c r="BK13" s="74">
        <f t="shared" si="82"/>
        <v>1150822.014375</v>
      </c>
      <c r="BL13" s="74">
        <f t="shared" si="82"/>
        <v>2682986.6150000002</v>
      </c>
      <c r="BM13" s="74">
        <f t="shared" si="82"/>
        <v>0</v>
      </c>
      <c r="BN13" s="74">
        <f t="shared" si="82"/>
        <v>4121143.75</v>
      </c>
      <c r="BO13" s="74">
        <f t="shared" si="82"/>
        <v>3322448.5</v>
      </c>
      <c r="BP13" s="74">
        <f>BP14+BP15+BP16+BP17+BP18+BP19+BP21+BP22+BP23+BP20</f>
        <v>1094592.859375</v>
      </c>
      <c r="BQ13" s="74">
        <f>BQ14+BQ15+BQ16+BQ17+BQ18+BQ19+BQ21+BQ22+BQ23+BQ20</f>
        <v>1256751.875</v>
      </c>
      <c r="BR13" s="74">
        <f t="shared" si="82"/>
        <v>0</v>
      </c>
      <c r="BS13" s="74">
        <f t="shared" si="82"/>
        <v>122688</v>
      </c>
      <c r="BT13" s="74">
        <f t="shared" si="82"/>
        <v>346978.13</v>
      </c>
      <c r="BU13" s="74">
        <f t="shared" si="82"/>
        <v>968785.0075000003</v>
      </c>
      <c r="BV13" s="74">
        <f t="shared" si="82"/>
        <v>1113918.5925000003</v>
      </c>
      <c r="BW13" s="74">
        <f t="shared" si="82"/>
        <v>0</v>
      </c>
      <c r="BX13" s="74">
        <f t="shared" si="82"/>
        <v>91910</v>
      </c>
      <c r="BY13" s="74">
        <f t="shared" si="82"/>
        <v>338719.41000000003</v>
      </c>
      <c r="BZ13" s="74">
        <f t="shared" si="82"/>
        <v>349629.58749999997</v>
      </c>
      <c r="CA13" s="74">
        <f t="shared" si="82"/>
        <v>495384.29249999998</v>
      </c>
      <c r="CB13" s="74">
        <f t="shared" si="82"/>
        <v>0</v>
      </c>
      <c r="CC13" s="74">
        <f t="shared" si="82"/>
        <v>61920</v>
      </c>
      <c r="CD13" s="74">
        <f t="shared" si="82"/>
        <v>58020</v>
      </c>
      <c r="CE13" s="74">
        <f t="shared" si="82"/>
        <v>738383</v>
      </c>
      <c r="CF13" s="74">
        <f t="shared" si="82"/>
        <v>734823</v>
      </c>
      <c r="CG13" s="74">
        <f t="shared" si="82"/>
        <v>0</v>
      </c>
      <c r="CH13" s="74">
        <f t="shared" si="82"/>
        <v>647521.09</v>
      </c>
      <c r="CI13" s="74">
        <f t="shared" ref="CI13:DE13" si="83">CI14+CI15+CI16+CI17+CI18+CI19+CI21+CI22+CI23+CI20</f>
        <v>2568935.9</v>
      </c>
      <c r="CJ13" s="74">
        <f t="shared" si="83"/>
        <v>3375331.7474999996</v>
      </c>
      <c r="CK13" s="74">
        <f t="shared" si="83"/>
        <v>4359573</v>
      </c>
      <c r="CL13" s="74">
        <f t="shared" si="83"/>
        <v>0</v>
      </c>
      <c r="CM13" s="74">
        <f t="shared" si="83"/>
        <v>79853</v>
      </c>
      <c r="CN13" s="74">
        <f t="shared" si="83"/>
        <v>208181</v>
      </c>
      <c r="CO13" s="74">
        <f t="shared" si="83"/>
        <v>893854</v>
      </c>
      <c r="CP13" s="74">
        <f t="shared" si="83"/>
        <v>925921</v>
      </c>
      <c r="CQ13" s="74">
        <f t="shared" si="83"/>
        <v>0</v>
      </c>
      <c r="CR13" s="74">
        <f t="shared" si="83"/>
        <v>88920</v>
      </c>
      <c r="CS13" s="74">
        <f t="shared" si="83"/>
        <v>1150850</v>
      </c>
      <c r="CT13" s="74">
        <f t="shared" si="83"/>
        <v>750810</v>
      </c>
      <c r="CU13" s="74">
        <f t="shared" si="83"/>
        <v>778295</v>
      </c>
      <c r="CV13" s="74">
        <f t="shared" si="83"/>
        <v>0</v>
      </c>
      <c r="CW13" s="74">
        <f t="shared" si="83"/>
        <v>1743908.5</v>
      </c>
      <c r="CX13" s="74">
        <f t="shared" si="83"/>
        <v>325827</v>
      </c>
      <c r="CY13" s="74">
        <f>CY14+CY15+CY16+CY17+CY18+CY19+CY21+CY22+CY23+CY20</f>
        <v>1579144</v>
      </c>
      <c r="CZ13" s="74">
        <f>CZ14+CZ15+CZ16+CZ17+CZ18+CZ19+CZ21+CZ22+CZ23+CZ20</f>
        <v>1512717</v>
      </c>
      <c r="DA13" s="74">
        <f t="shared" si="83"/>
        <v>0</v>
      </c>
      <c r="DB13" s="74">
        <f t="shared" si="83"/>
        <v>845265.45</v>
      </c>
      <c r="DC13" s="74">
        <f t="shared" si="83"/>
        <v>351600</v>
      </c>
      <c r="DD13" s="74">
        <f t="shared" si="83"/>
        <v>493891.27500000002</v>
      </c>
      <c r="DE13" s="74">
        <f t="shared" si="83"/>
        <v>471184</v>
      </c>
      <c r="DF13" s="48">
        <f t="shared" si="41"/>
        <v>29702439.033611111</v>
      </c>
    </row>
    <row r="14" spans="1:111" s="3" customFormat="1" ht="33.75" customHeight="1" thickBot="1" x14ac:dyDescent="0.3">
      <c r="A14" s="10" t="s">
        <v>6</v>
      </c>
      <c r="B14" s="8"/>
      <c r="C14" s="8"/>
      <c r="D14" s="8">
        <v>0</v>
      </c>
      <c r="F14" s="27"/>
      <c r="G14" s="25"/>
      <c r="H14" s="28">
        <f t="shared" ref="H14:I17" si="84">(E14+F14)/2</f>
        <v>0</v>
      </c>
      <c r="I14" s="28">
        <f t="shared" si="84"/>
        <v>0</v>
      </c>
      <c r="K14" s="27"/>
      <c r="L14" s="25"/>
      <c r="M14" s="173"/>
      <c r="N14" s="28">
        <f>(K14+L14)/2</f>
        <v>0</v>
      </c>
      <c r="P14" s="27"/>
      <c r="Q14" s="25"/>
      <c r="R14" s="173"/>
      <c r="S14" s="28">
        <f>(P14+Q14)/2</f>
        <v>0</v>
      </c>
      <c r="U14" s="27"/>
      <c r="V14" s="25"/>
      <c r="W14" s="173"/>
      <c r="X14" s="28">
        <f>(U14+V14)/2</f>
        <v>0</v>
      </c>
      <c r="Z14" s="27">
        <f>Лист3!L2</f>
        <v>540</v>
      </c>
      <c r="AA14" s="25"/>
      <c r="AB14" s="173"/>
      <c r="AC14" s="28">
        <f>(Z14+AA14)/2</f>
        <v>270</v>
      </c>
      <c r="AE14" s="27"/>
      <c r="AF14" s="25"/>
      <c r="AG14" s="173"/>
      <c r="AH14" s="28">
        <f>(AE14+AF14)/2</f>
        <v>0</v>
      </c>
      <c r="AJ14" s="27"/>
      <c r="AK14" s="25"/>
      <c r="AL14" s="173"/>
      <c r="AM14" s="28">
        <f>(AJ14+AK14)/2</f>
        <v>0</v>
      </c>
      <c r="AO14" s="27"/>
      <c r="AP14" s="25"/>
      <c r="AQ14" s="173"/>
      <c r="AR14" s="28">
        <f>(AO14+AP14)/2</f>
        <v>0</v>
      </c>
      <c r="AT14" s="27"/>
      <c r="AU14" s="25"/>
      <c r="AV14" s="173"/>
      <c r="AW14" s="28">
        <f>(AT14+AU14)/2</f>
        <v>0</v>
      </c>
      <c r="AY14" s="27"/>
      <c r="AZ14" s="25"/>
      <c r="BA14" s="173"/>
      <c r="BB14" s="28">
        <f>(AY14+AZ14)/2</f>
        <v>0</v>
      </c>
      <c r="BD14" s="27"/>
      <c r="BE14" s="25"/>
      <c r="BF14" s="173"/>
      <c r="BG14" s="28">
        <f>(BD14+BE14)/2</f>
        <v>0</v>
      </c>
      <c r="BI14" s="27"/>
      <c r="BJ14" s="25"/>
      <c r="BK14" s="173"/>
      <c r="BL14" s="28">
        <f>(BI14+BJ14)/2</f>
        <v>0</v>
      </c>
      <c r="BN14" s="27"/>
      <c r="BO14" s="25"/>
      <c r="BP14" s="173"/>
      <c r="BQ14" s="28">
        <f>(BN14+BO14)/2</f>
        <v>0</v>
      </c>
      <c r="BS14" s="27"/>
      <c r="BT14" s="25"/>
      <c r="BU14" s="173"/>
      <c r="BV14" s="28">
        <f>(BS14+BT14)/2</f>
        <v>0</v>
      </c>
      <c r="BX14" s="27"/>
      <c r="BY14" s="25"/>
      <c r="BZ14" s="173"/>
      <c r="CA14" s="28">
        <f>(BX14+BY14)/2</f>
        <v>0</v>
      </c>
      <c r="CC14" s="27"/>
      <c r="CD14" s="25"/>
      <c r="CE14" s="173"/>
      <c r="CF14" s="28">
        <f>(CC14+CD14)/2</f>
        <v>0</v>
      </c>
      <c r="CH14" s="27"/>
      <c r="CI14" s="25"/>
      <c r="CJ14" s="173"/>
      <c r="CK14" s="28">
        <f>(CH14+CI14)/2</f>
        <v>0</v>
      </c>
      <c r="CM14" s="27"/>
      <c r="CN14" s="25"/>
      <c r="CO14" s="173"/>
      <c r="CP14" s="28">
        <f>(CM14+CN14)/2</f>
        <v>0</v>
      </c>
      <c r="CR14" s="27"/>
      <c r="CS14" s="25"/>
      <c r="CT14" s="173"/>
      <c r="CU14" s="28">
        <f>(CR14+CS14)/2</f>
        <v>0</v>
      </c>
      <c r="CW14" s="27"/>
      <c r="CX14" s="25"/>
      <c r="CY14" s="173"/>
      <c r="CZ14" s="28">
        <f>(CW14+CX14)/2</f>
        <v>0</v>
      </c>
      <c r="DB14" s="27"/>
      <c r="DC14" s="25"/>
      <c r="DD14" s="173"/>
      <c r="DE14" s="28">
        <f>(DB14+DC14)/2</f>
        <v>0</v>
      </c>
      <c r="DF14" s="3">
        <f t="shared" si="41"/>
        <v>270</v>
      </c>
    </row>
    <row r="15" spans="1:111" s="3" customFormat="1" ht="33.75" customHeight="1" thickBot="1" x14ac:dyDescent="0.3">
      <c r="A15" s="10" t="s">
        <v>19</v>
      </c>
      <c r="B15" s="8"/>
      <c r="C15" s="8"/>
      <c r="D15" s="8">
        <v>0</v>
      </c>
      <c r="F15" s="37">
        <f>Лист3!D5</f>
        <v>4425</v>
      </c>
      <c r="G15" s="25">
        <f>Лист3!D194</f>
        <v>0</v>
      </c>
      <c r="H15" s="28">
        <f t="shared" si="84"/>
        <v>2212.5</v>
      </c>
      <c r="I15" s="28">
        <f t="shared" si="84"/>
        <v>2212.5</v>
      </c>
      <c r="K15" s="37">
        <f>Лист3!D6</f>
        <v>1050</v>
      </c>
      <c r="L15" s="67">
        <f>Лист3!D193</f>
        <v>2000</v>
      </c>
      <c r="M15" s="174"/>
      <c r="N15" s="28">
        <f t="shared" ref="N15:N23" si="85">(K15+L15)/2</f>
        <v>1525</v>
      </c>
      <c r="P15" s="37">
        <f>Лист3!D7</f>
        <v>8452</v>
      </c>
      <c r="Q15" s="67">
        <f>Лист3!D192</f>
        <v>8500</v>
      </c>
      <c r="R15" s="174"/>
      <c r="S15" s="28">
        <f t="shared" ref="S15:S23" si="86">(P15+Q15)/2</f>
        <v>8476</v>
      </c>
      <c r="U15" s="37">
        <f>Лист3!D8</f>
        <v>6000</v>
      </c>
      <c r="V15" s="67">
        <f>Лист3!D191</f>
        <v>5850</v>
      </c>
      <c r="W15" s="174"/>
      <c r="X15" s="28">
        <f t="shared" ref="X15:X22" si="87">(U15+V15)/2</f>
        <v>5925</v>
      </c>
      <c r="Z15" s="37">
        <f>Лист3!D9</f>
        <v>101624</v>
      </c>
      <c r="AA15" s="67">
        <f>Лист3!D190</f>
        <v>22792</v>
      </c>
      <c r="AB15" s="174"/>
      <c r="AC15" s="28">
        <f t="shared" ref="AC15:AC23" si="88">(Z15+AA15)/2</f>
        <v>62208</v>
      </c>
      <c r="AE15" s="37">
        <f>Лист3!D10</f>
        <v>4481</v>
      </c>
      <c r="AF15" s="67">
        <f>Лист3!D189</f>
        <v>10000</v>
      </c>
      <c r="AG15" s="174"/>
      <c r="AH15" s="28">
        <f t="shared" ref="AH15:AH22" si="89">(AE15+AF15)/2</f>
        <v>7240.5</v>
      </c>
      <c r="AJ15" s="37">
        <f>Лист3!D11</f>
        <v>4675</v>
      </c>
      <c r="AK15" s="67">
        <f>Лист3!D188</f>
        <v>3400</v>
      </c>
      <c r="AL15" s="174"/>
      <c r="AM15" s="28">
        <f t="shared" ref="AM15:AM23" si="90">(AJ15+AK15)/2</f>
        <v>4037.5</v>
      </c>
      <c r="AO15" s="37">
        <f>Лист3!D12</f>
        <v>6853</v>
      </c>
      <c r="AP15" s="67">
        <f>Лист3!D187</f>
        <v>6853</v>
      </c>
      <c r="AQ15" s="174"/>
      <c r="AR15" s="28">
        <f t="shared" ref="AR15:AR23" si="91">(AO15+AP15)/2</f>
        <v>6853</v>
      </c>
      <c r="AT15" s="37">
        <f>Лист3!D13</f>
        <v>1136</v>
      </c>
      <c r="AU15" s="25">
        <f>Лист3!D186</f>
        <v>500</v>
      </c>
      <c r="AV15" s="173"/>
      <c r="AW15" s="28">
        <f t="shared" ref="AW15:AW23" si="92">(AT15+AU15)/2</f>
        <v>818</v>
      </c>
      <c r="AY15" s="27">
        <f>Лист3!D14</f>
        <v>0</v>
      </c>
      <c r="AZ15" s="25">
        <f>Лист3!D185</f>
        <v>0</v>
      </c>
      <c r="BA15" s="173"/>
      <c r="BB15" s="28">
        <f t="shared" ref="BB15:BB23" si="93">(AY15+AZ15)/2</f>
        <v>0</v>
      </c>
      <c r="BD15" s="27">
        <f>Лист3!D15</f>
        <v>0</v>
      </c>
      <c r="BE15" s="25">
        <f>Лист3!D184</f>
        <v>0</v>
      </c>
      <c r="BF15" s="173"/>
      <c r="BG15" s="28">
        <f t="shared" ref="BG15:BG23" si="94">(BD15+BE15)/2</f>
        <v>0</v>
      </c>
      <c r="BI15" s="37">
        <f>Лист3!D16</f>
        <v>28365</v>
      </c>
      <c r="BJ15" s="67">
        <f>Лист3!D183</f>
        <v>110033</v>
      </c>
      <c r="BK15" s="174"/>
      <c r="BL15" s="68">
        <f>BJ15</f>
        <v>110033</v>
      </c>
      <c r="BN15" s="37">
        <f>Лист3!D17</f>
        <v>8694</v>
      </c>
      <c r="BO15" s="67">
        <f>Лист3!D182</f>
        <v>83048.5</v>
      </c>
      <c r="BP15" s="174"/>
      <c r="BQ15" s="28">
        <f t="shared" ref="BQ15:BQ23" si="95">(BN15+BO15)/2</f>
        <v>45871.25</v>
      </c>
      <c r="BS15" s="37">
        <f>Лист3!D18</f>
        <v>9788</v>
      </c>
      <c r="BT15" s="67">
        <f>Лист3!D181</f>
        <v>6102.17</v>
      </c>
      <c r="BU15" s="174"/>
      <c r="BV15" s="28">
        <f t="shared" ref="BV15:BV23" si="96">(BS15+BT15)/2</f>
        <v>7945.085</v>
      </c>
      <c r="BX15" s="27">
        <f>Лист3!D19</f>
        <v>1710</v>
      </c>
      <c r="BY15" s="25">
        <f>Лист3!D180</f>
        <v>1750</v>
      </c>
      <c r="BZ15" s="173"/>
      <c r="CA15" s="28">
        <f t="shared" ref="CA15:CA23" si="97">(BX15+BY15)/2</f>
        <v>1730</v>
      </c>
      <c r="CC15" s="37">
        <f>Лист3!D20</f>
        <v>1120</v>
      </c>
      <c r="CD15" s="67">
        <f>Лист3!D179</f>
        <v>1120</v>
      </c>
      <c r="CE15" s="174"/>
      <c r="CF15" s="28">
        <f t="shared" ref="CF15:CF23" si="98">(CC15+CD15)/2</f>
        <v>1120</v>
      </c>
      <c r="CH15" s="27">
        <f>Лист3!D21</f>
        <v>2576</v>
      </c>
      <c r="CI15" s="25">
        <f>Лист3!D178</f>
        <v>35000</v>
      </c>
      <c r="CJ15" s="173"/>
      <c r="CK15" s="28">
        <f>CI15</f>
        <v>35000</v>
      </c>
      <c r="CM15" s="37">
        <f>Лист3!D22</f>
        <v>4053</v>
      </c>
      <c r="CN15" s="67">
        <f>Лист3!D177</f>
        <v>3381</v>
      </c>
      <c r="CO15" s="174"/>
      <c r="CP15" s="28">
        <f t="shared" ref="CP15:CP23" si="99">(CM15+CN15)/2</f>
        <v>3717</v>
      </c>
      <c r="CR15" s="37">
        <f>Лист3!D23</f>
        <v>1120</v>
      </c>
      <c r="CS15" s="67">
        <f>Лист3!D176</f>
        <v>2000</v>
      </c>
      <c r="CT15" s="174"/>
      <c r="CU15" s="28">
        <f t="shared" ref="CU15:CU22" si="100">(CR15+CS15)/2</f>
        <v>1560</v>
      </c>
      <c r="CW15" s="37">
        <f>Лист3!D24</f>
        <v>7005</v>
      </c>
      <c r="CX15" s="67">
        <f>Лист3!D175</f>
        <v>13005</v>
      </c>
      <c r="CY15" s="174"/>
      <c r="CZ15" s="28">
        <f t="shared" ref="CZ15:CZ23" si="101">(CW15+CX15)/2</f>
        <v>10005</v>
      </c>
      <c r="DB15" s="37">
        <f>Лист3!D25</f>
        <v>2665.45</v>
      </c>
      <c r="DC15" s="25">
        <f>Лист3!D195</f>
        <v>0</v>
      </c>
      <c r="DD15" s="173"/>
      <c r="DE15" s="28">
        <f t="shared" ref="DE15:DE22" si="102">(DB15+DC15)/2</f>
        <v>1332.7249999999999</v>
      </c>
      <c r="DF15" s="3">
        <f t="shared" si="41"/>
        <v>317609.56</v>
      </c>
    </row>
    <row r="16" spans="1:111" s="3" customFormat="1" ht="33.75" customHeight="1" thickBot="1" x14ac:dyDescent="0.3">
      <c r="A16" s="10" t="s">
        <v>7</v>
      </c>
      <c r="B16" s="12" t="s">
        <v>8</v>
      </c>
      <c r="C16" s="12" t="s">
        <v>8</v>
      </c>
      <c r="D16" s="8">
        <v>0</v>
      </c>
      <c r="F16" s="27"/>
      <c r="G16" s="25"/>
      <c r="H16" s="28">
        <f t="shared" si="84"/>
        <v>0</v>
      </c>
      <c r="I16" s="28">
        <f t="shared" si="84"/>
        <v>0</v>
      </c>
      <c r="K16" s="27"/>
      <c r="L16" s="25"/>
      <c r="M16" s="173"/>
      <c r="N16" s="28">
        <f t="shared" si="85"/>
        <v>0</v>
      </c>
      <c r="P16" s="27"/>
      <c r="Q16" s="25"/>
      <c r="R16" s="173"/>
      <c r="S16" s="28">
        <f t="shared" si="86"/>
        <v>0</v>
      </c>
      <c r="U16" s="27"/>
      <c r="V16" s="25"/>
      <c r="W16" s="173"/>
      <c r="X16" s="28">
        <f t="shared" si="87"/>
        <v>0</v>
      </c>
      <c r="Z16" s="27"/>
      <c r="AA16" s="25"/>
      <c r="AB16" s="173"/>
      <c r="AC16" s="28">
        <f t="shared" si="88"/>
        <v>0</v>
      </c>
      <c r="AE16" s="27"/>
      <c r="AF16" s="25"/>
      <c r="AG16" s="173"/>
      <c r="AH16" s="28">
        <f t="shared" si="89"/>
        <v>0</v>
      </c>
      <c r="AJ16" s="27"/>
      <c r="AK16" s="25"/>
      <c r="AL16" s="173"/>
      <c r="AM16" s="28">
        <f t="shared" si="90"/>
        <v>0</v>
      </c>
      <c r="AO16" s="27"/>
      <c r="AP16" s="25"/>
      <c r="AQ16" s="173"/>
      <c r="AR16" s="28">
        <f t="shared" si="91"/>
        <v>0</v>
      </c>
      <c r="AT16" s="27"/>
      <c r="AU16" s="25"/>
      <c r="AV16" s="173"/>
      <c r="AW16" s="28">
        <f t="shared" si="92"/>
        <v>0</v>
      </c>
      <c r="AY16" s="27"/>
      <c r="AZ16" s="25"/>
      <c r="BA16" s="173"/>
      <c r="BB16" s="28">
        <f t="shared" si="93"/>
        <v>0</v>
      </c>
      <c r="BD16" s="27"/>
      <c r="BE16" s="25"/>
      <c r="BF16" s="173"/>
      <c r="BG16" s="28">
        <f t="shared" si="94"/>
        <v>0</v>
      </c>
      <c r="BI16" s="27"/>
      <c r="BJ16" s="25"/>
      <c r="BK16" s="173"/>
      <c r="BL16" s="28">
        <f t="shared" ref="BL16:BL23" si="103">(BI16+BJ16)/2</f>
        <v>0</v>
      </c>
      <c r="BN16" s="27"/>
      <c r="BO16" s="25"/>
      <c r="BP16" s="173"/>
      <c r="BQ16" s="28">
        <f t="shared" si="95"/>
        <v>0</v>
      </c>
      <c r="BS16" s="27"/>
      <c r="BT16" s="25"/>
      <c r="BU16" s="173"/>
      <c r="BV16" s="28">
        <f t="shared" si="96"/>
        <v>0</v>
      </c>
      <c r="BX16" s="27"/>
      <c r="BY16" s="25"/>
      <c r="BZ16" s="173"/>
      <c r="CA16" s="28">
        <f t="shared" si="97"/>
        <v>0</v>
      </c>
      <c r="CC16" s="27"/>
      <c r="CD16" s="25"/>
      <c r="CE16" s="173"/>
      <c r="CF16" s="28">
        <f t="shared" si="98"/>
        <v>0</v>
      </c>
      <c r="CH16" s="27"/>
      <c r="CI16" s="25"/>
      <c r="CJ16" s="173"/>
      <c r="CK16" s="28">
        <f t="shared" ref="CK16:CK23" si="104">(CH16+CI16)/2</f>
        <v>0</v>
      </c>
      <c r="CM16" s="27"/>
      <c r="CN16" s="25"/>
      <c r="CO16" s="173"/>
      <c r="CP16" s="28">
        <f t="shared" si="99"/>
        <v>0</v>
      </c>
      <c r="CR16" s="27"/>
      <c r="CS16" s="25"/>
      <c r="CT16" s="173"/>
      <c r="CU16" s="28">
        <f t="shared" si="100"/>
        <v>0</v>
      </c>
      <c r="CW16" s="27"/>
      <c r="CX16" s="25"/>
      <c r="CY16" s="173"/>
      <c r="CZ16" s="28">
        <f t="shared" si="101"/>
        <v>0</v>
      </c>
      <c r="DB16" s="27"/>
      <c r="DC16" s="25"/>
      <c r="DD16" s="173"/>
      <c r="DE16" s="28">
        <f t="shared" si="102"/>
        <v>0</v>
      </c>
      <c r="DF16" s="3">
        <f t="shared" si="41"/>
        <v>0</v>
      </c>
    </row>
    <row r="17" spans="1:112" s="3" customFormat="1" ht="33.75" customHeight="1" thickBot="1" x14ac:dyDescent="0.3">
      <c r="A17" s="10" t="s">
        <v>9</v>
      </c>
      <c r="B17" s="8"/>
      <c r="C17" s="8"/>
      <c r="D17" s="8">
        <v>0</v>
      </c>
      <c r="F17" s="27"/>
      <c r="G17" s="25"/>
      <c r="H17" s="28">
        <f t="shared" si="84"/>
        <v>0</v>
      </c>
      <c r="I17" s="28">
        <f t="shared" si="84"/>
        <v>0</v>
      </c>
      <c r="K17" s="27"/>
      <c r="L17" s="25"/>
      <c r="M17" s="173"/>
      <c r="N17" s="28">
        <f t="shared" si="85"/>
        <v>0</v>
      </c>
      <c r="P17" s="27"/>
      <c r="Q17" s="25"/>
      <c r="R17" s="173"/>
      <c r="S17" s="28">
        <f t="shared" si="86"/>
        <v>0</v>
      </c>
      <c r="U17" s="27"/>
      <c r="V17" s="25"/>
      <c r="W17" s="173"/>
      <c r="X17" s="28">
        <f t="shared" si="87"/>
        <v>0</v>
      </c>
      <c r="Z17" s="27"/>
      <c r="AA17" s="25"/>
      <c r="AB17" s="173"/>
      <c r="AC17" s="28">
        <f t="shared" si="88"/>
        <v>0</v>
      </c>
      <c r="AE17" s="27"/>
      <c r="AF17" s="25"/>
      <c r="AG17" s="173"/>
      <c r="AH17" s="28">
        <f t="shared" si="89"/>
        <v>0</v>
      </c>
      <c r="AJ17" s="27"/>
      <c r="AK17" s="25"/>
      <c r="AL17" s="173"/>
      <c r="AM17" s="28">
        <f t="shared" si="90"/>
        <v>0</v>
      </c>
      <c r="AO17" s="27"/>
      <c r="AP17" s="25"/>
      <c r="AQ17" s="173"/>
      <c r="AR17" s="28">
        <f t="shared" si="91"/>
        <v>0</v>
      </c>
      <c r="AT17" s="27"/>
      <c r="AU17" s="25"/>
      <c r="AV17" s="173"/>
      <c r="AW17" s="28">
        <f t="shared" si="92"/>
        <v>0</v>
      </c>
      <c r="AY17" s="27"/>
      <c r="AZ17" s="25"/>
      <c r="BA17" s="173"/>
      <c r="BB17" s="28">
        <f t="shared" si="93"/>
        <v>0</v>
      </c>
      <c r="BD17" s="27"/>
      <c r="BE17" s="25"/>
      <c r="BF17" s="173"/>
      <c r="BG17" s="28">
        <f t="shared" si="94"/>
        <v>0</v>
      </c>
      <c r="BI17" s="27"/>
      <c r="BJ17" s="25"/>
      <c r="BK17" s="173"/>
      <c r="BL17" s="28">
        <f t="shared" si="103"/>
        <v>0</v>
      </c>
      <c r="BN17" s="27"/>
      <c r="BO17" s="25"/>
      <c r="BP17" s="173"/>
      <c r="BQ17" s="28">
        <f t="shared" si="95"/>
        <v>0</v>
      </c>
      <c r="BS17" s="27"/>
      <c r="BT17" s="25"/>
      <c r="BU17" s="173"/>
      <c r="BV17" s="28">
        <f t="shared" si="96"/>
        <v>0</v>
      </c>
      <c r="BX17" s="27"/>
      <c r="BY17" s="25"/>
      <c r="BZ17" s="173"/>
      <c r="CA17" s="28">
        <f t="shared" si="97"/>
        <v>0</v>
      </c>
      <c r="CC17" s="27"/>
      <c r="CD17" s="25"/>
      <c r="CE17" s="173"/>
      <c r="CF17" s="28">
        <f t="shared" si="98"/>
        <v>0</v>
      </c>
      <c r="CH17" s="27"/>
      <c r="CI17" s="25"/>
      <c r="CJ17" s="173"/>
      <c r="CK17" s="28">
        <f t="shared" si="104"/>
        <v>0</v>
      </c>
      <c r="CM17" s="27"/>
      <c r="CN17" s="25"/>
      <c r="CO17" s="173"/>
      <c r="CP17" s="28">
        <f t="shared" si="99"/>
        <v>0</v>
      </c>
      <c r="CR17" s="27"/>
      <c r="CS17" s="25"/>
      <c r="CT17" s="173"/>
      <c r="CU17" s="28">
        <f t="shared" si="100"/>
        <v>0</v>
      </c>
      <c r="CW17" s="27"/>
      <c r="CX17" s="25"/>
      <c r="CY17" s="173"/>
      <c r="CZ17" s="28">
        <f t="shared" si="101"/>
        <v>0</v>
      </c>
      <c r="DB17" s="27"/>
      <c r="DC17" s="25"/>
      <c r="DD17" s="173"/>
      <c r="DE17" s="28">
        <f t="shared" si="102"/>
        <v>0</v>
      </c>
      <c r="DF17" s="3">
        <f t="shared" si="41"/>
        <v>0</v>
      </c>
    </row>
    <row r="18" spans="1:112" s="3" customFormat="1" ht="76.5" customHeight="1" thickBot="1" x14ac:dyDescent="0.3">
      <c r="A18" s="10" t="s">
        <v>16</v>
      </c>
      <c r="B18" s="8"/>
      <c r="C18" s="8"/>
      <c r="D18" s="8">
        <v>0</v>
      </c>
      <c r="F18" s="27">
        <f>Лист3!D28</f>
        <v>0</v>
      </c>
      <c r="G18" s="67">
        <f>Лист3!N218</f>
        <v>11600</v>
      </c>
      <c r="H18" s="28">
        <f>I18</f>
        <v>5800</v>
      </c>
      <c r="I18" s="28">
        <f>(F18+G18)/2</f>
        <v>5800</v>
      </c>
      <c r="K18" s="37">
        <f>Лист3!L29</f>
        <v>11100</v>
      </c>
      <c r="L18" s="67">
        <f>Лист3!N217</f>
        <v>175800</v>
      </c>
      <c r="M18" s="174">
        <f>N18</f>
        <v>93450</v>
      </c>
      <c r="N18" s="28">
        <f t="shared" si="85"/>
        <v>93450</v>
      </c>
      <c r="P18" s="37">
        <f>Лист3!L30+Лист3!M30</f>
        <v>36313.67</v>
      </c>
      <c r="Q18" s="67">
        <f>Лист3!N216</f>
        <v>149925.35999999999</v>
      </c>
      <c r="R18" s="174">
        <f>S18</f>
        <v>93119.514999999985</v>
      </c>
      <c r="S18" s="28">
        <f t="shared" si="86"/>
        <v>93119.514999999985</v>
      </c>
      <c r="U18" s="37">
        <f>Лист3!L31</f>
        <v>20000</v>
      </c>
      <c r="V18" s="67">
        <f>Лист3!N215</f>
        <v>23005.7</v>
      </c>
      <c r="W18" s="174">
        <f>X18</f>
        <v>21502.85</v>
      </c>
      <c r="X18" s="28">
        <f t="shared" si="87"/>
        <v>21502.85</v>
      </c>
      <c r="Z18" s="27">
        <f>Лист3!L32</f>
        <v>753000</v>
      </c>
      <c r="AA18" s="67">
        <f>Лист3!N214</f>
        <v>132708</v>
      </c>
      <c r="AB18" s="174">
        <f>AC18</f>
        <v>442704</v>
      </c>
      <c r="AC18" s="28">
        <f>(Z18+AA18-300)/2</f>
        <v>442704</v>
      </c>
      <c r="AE18" s="27">
        <f>Лист3!L33</f>
        <v>0</v>
      </c>
      <c r="AF18" s="67">
        <f>Лист3!N213</f>
        <v>47910</v>
      </c>
      <c r="AG18" s="174">
        <f>AH18</f>
        <v>23955</v>
      </c>
      <c r="AH18" s="28">
        <f t="shared" si="89"/>
        <v>23955</v>
      </c>
      <c r="AJ18" s="37">
        <f>Лист3!L34+Лист3!M34</f>
        <v>63600</v>
      </c>
      <c r="AK18" s="67">
        <f>Лист3!N212</f>
        <v>1567522.45</v>
      </c>
      <c r="AL18" s="174">
        <f>(AK18+AM18)/4</f>
        <v>595770.91874999995</v>
      </c>
      <c r="AM18" s="28">
        <f t="shared" si="90"/>
        <v>815561.22499999998</v>
      </c>
      <c r="AO18" s="37">
        <f>Лист3!L35</f>
        <v>15000</v>
      </c>
      <c r="AP18" s="67">
        <f>Лист3!N211</f>
        <v>25000</v>
      </c>
      <c r="AQ18" s="174">
        <f>AL18/AK26*AP26</f>
        <v>120576.36653476905</v>
      </c>
      <c r="AR18" s="28">
        <f t="shared" si="91"/>
        <v>20000</v>
      </c>
      <c r="AT18" s="37">
        <f>Лист3!L36+Лист3!M36</f>
        <v>59254</v>
      </c>
      <c r="AU18" s="67">
        <f>Лист3!N210</f>
        <v>130300</v>
      </c>
      <c r="AV18" s="174">
        <f>AW18</f>
        <v>94777</v>
      </c>
      <c r="AW18" s="28">
        <f t="shared" si="92"/>
        <v>94777</v>
      </c>
      <c r="AY18" s="37">
        <f>Лист3!L37</f>
        <v>6800</v>
      </c>
      <c r="AZ18" s="67">
        <f>Лист3!N209</f>
        <v>6800</v>
      </c>
      <c r="BA18" s="174">
        <f>BB18</f>
        <v>6800</v>
      </c>
      <c r="BB18" s="28">
        <f t="shared" si="93"/>
        <v>6800</v>
      </c>
      <c r="BD18" s="37">
        <f>Лист3!L38</f>
        <v>13600</v>
      </c>
      <c r="BE18" s="67">
        <f>Лист3!N208</f>
        <v>13600</v>
      </c>
      <c r="BF18" s="174">
        <f>BG18</f>
        <v>13600</v>
      </c>
      <c r="BG18" s="28">
        <f t="shared" si="94"/>
        <v>13600</v>
      </c>
      <c r="BI18" s="37">
        <f>Лист3!L39</f>
        <v>20500</v>
      </c>
      <c r="BJ18" s="67">
        <f>Лист3!N207</f>
        <v>98250</v>
      </c>
      <c r="BK18" s="174">
        <f>BL18</f>
        <v>59375</v>
      </c>
      <c r="BL18" s="28">
        <f t="shared" si="103"/>
        <v>59375</v>
      </c>
      <c r="BN18" s="37">
        <f>Лист3!L40</f>
        <v>23700</v>
      </c>
      <c r="BO18" s="67">
        <f>Лист3!N206</f>
        <v>124700</v>
      </c>
      <c r="BP18" s="174">
        <f>BQ18</f>
        <v>74200</v>
      </c>
      <c r="BQ18" s="28">
        <f t="shared" si="95"/>
        <v>74200</v>
      </c>
      <c r="BS18" s="37">
        <f>Лист3!L41</f>
        <v>19900</v>
      </c>
      <c r="BT18" s="67">
        <f>Лист3!N205</f>
        <v>23178.959999999999</v>
      </c>
      <c r="BU18" s="174">
        <f>BV18</f>
        <v>21539.48</v>
      </c>
      <c r="BV18" s="28">
        <f t="shared" si="96"/>
        <v>21539.48</v>
      </c>
      <c r="BX18" s="37">
        <f>Лист3!L42</f>
        <v>10200</v>
      </c>
      <c r="BY18" s="67">
        <f>Лист3!N204</f>
        <v>90900</v>
      </c>
      <c r="BZ18" s="174">
        <f>CA18</f>
        <v>50550</v>
      </c>
      <c r="CA18" s="28">
        <f t="shared" si="97"/>
        <v>50550</v>
      </c>
      <c r="CC18" s="37">
        <f>Лист3!L43</f>
        <v>10800</v>
      </c>
      <c r="CD18" s="67">
        <f>Лист3!N203</f>
        <v>10800</v>
      </c>
      <c r="CE18" s="174">
        <f>CF18</f>
        <v>10800</v>
      </c>
      <c r="CF18" s="28">
        <f t="shared" si="98"/>
        <v>10800</v>
      </c>
      <c r="CH18" s="37">
        <f>Лист3!L44+Лист3!M44</f>
        <v>633945.09</v>
      </c>
      <c r="CI18" s="67">
        <f>Лист3!N202</f>
        <v>2483935.9</v>
      </c>
      <c r="CJ18" s="174">
        <f>CK18</f>
        <v>1558940.4949999999</v>
      </c>
      <c r="CK18" s="28">
        <f t="shared" si="104"/>
        <v>1558940.4949999999</v>
      </c>
      <c r="CM18" s="37">
        <f>Лист3!L45</f>
        <v>21100</v>
      </c>
      <c r="CN18" s="67">
        <f>Лист3!N201</f>
        <v>178000</v>
      </c>
      <c r="CO18" s="174">
        <f>CP18</f>
        <v>99550</v>
      </c>
      <c r="CP18" s="28">
        <f t="shared" si="99"/>
        <v>99550</v>
      </c>
      <c r="CR18" s="37">
        <f>Лист3!L46</f>
        <v>10200</v>
      </c>
      <c r="CS18" s="67">
        <f>Лист3!N200</f>
        <v>17200</v>
      </c>
      <c r="CT18" s="174">
        <f>CU18</f>
        <v>13700</v>
      </c>
      <c r="CU18" s="28">
        <f t="shared" si="100"/>
        <v>13700</v>
      </c>
      <c r="CW18" s="37">
        <f>Лист3!L47+Лист3!M47</f>
        <v>83200</v>
      </c>
      <c r="CX18" s="67">
        <f>Лист3!N199</f>
        <v>237426</v>
      </c>
      <c r="CY18" s="174">
        <f>CZ18</f>
        <v>160313</v>
      </c>
      <c r="CZ18" s="28">
        <f t="shared" si="101"/>
        <v>160313</v>
      </c>
      <c r="DB18" s="37">
        <f>Лист3!L48</f>
        <v>13600</v>
      </c>
      <c r="DC18" s="67">
        <f>Лист3!N219</f>
        <v>13600</v>
      </c>
      <c r="DD18" s="174">
        <f>DE18</f>
        <v>13600</v>
      </c>
      <c r="DE18" s="28">
        <f t="shared" si="102"/>
        <v>13600</v>
      </c>
      <c r="DF18" s="3">
        <f t="shared" si="41"/>
        <v>3693837.5649999999</v>
      </c>
    </row>
    <row r="19" spans="1:112" s="71" customFormat="1" ht="76.5" customHeight="1" thickBot="1" x14ac:dyDescent="0.3">
      <c r="A19" s="69" t="s">
        <v>49</v>
      </c>
      <c r="B19" s="70"/>
      <c r="C19" s="70"/>
      <c r="D19" s="70"/>
      <c r="F19" s="72">
        <f>Лист3!M51</f>
        <v>1000</v>
      </c>
      <c r="G19" s="73">
        <f>Лист3!D266</f>
        <v>1000</v>
      </c>
      <c r="H19" s="32">
        <f>G26*10</f>
        <v>9250</v>
      </c>
      <c r="I19" s="32">
        <v>9380</v>
      </c>
      <c r="K19" s="72">
        <f>Лист3!M52</f>
        <v>10500</v>
      </c>
      <c r="L19" s="73">
        <f>Лист3!D265</f>
        <v>10500</v>
      </c>
      <c r="M19" s="176">
        <f>L26*10</f>
        <v>6390</v>
      </c>
      <c r="N19" s="32">
        <f t="shared" si="85"/>
        <v>10500</v>
      </c>
      <c r="P19" s="72">
        <f>Лист3!M53</f>
        <v>15000</v>
      </c>
      <c r="Q19" s="73">
        <f>Лист3!D264</f>
        <v>10000</v>
      </c>
      <c r="R19" s="176">
        <f>Q26*10</f>
        <v>15980</v>
      </c>
      <c r="S19" s="32">
        <v>16230</v>
      </c>
      <c r="U19" s="30">
        <f>Лист3!M54</f>
        <v>0</v>
      </c>
      <c r="V19" s="73">
        <f>Лист3!D263</f>
        <v>38000</v>
      </c>
      <c r="W19" s="176">
        <f>V26*10</f>
        <v>20510</v>
      </c>
      <c r="X19" s="32">
        <v>20960</v>
      </c>
      <c r="Z19" s="72">
        <f>Лист3!M55</f>
        <v>80000</v>
      </c>
      <c r="AA19" s="73">
        <f>Лист3!D262</f>
        <v>80000</v>
      </c>
      <c r="AB19" s="176">
        <f>AA26*10</f>
        <v>61250</v>
      </c>
      <c r="AC19" s="32">
        <f t="shared" si="88"/>
        <v>80000</v>
      </c>
      <c r="AE19" s="72">
        <f>Лист3!M6</f>
        <v>0</v>
      </c>
      <c r="AF19" s="73">
        <f>Лист3!D261</f>
        <v>0</v>
      </c>
      <c r="AG19" s="176">
        <f>AF26*10</f>
        <v>10670</v>
      </c>
      <c r="AH19" s="32">
        <v>10940</v>
      </c>
      <c r="AJ19" s="30">
        <f>Лист3!M57</f>
        <v>0</v>
      </c>
      <c r="AK19" s="73">
        <f>Лист3!D260</f>
        <v>44698</v>
      </c>
      <c r="AL19" s="176">
        <f>10*AK26</f>
        <v>57810</v>
      </c>
      <c r="AM19" s="32">
        <v>55470</v>
      </c>
      <c r="AO19" s="30">
        <f>Лист3!M58</f>
        <v>0</v>
      </c>
      <c r="AP19" s="73">
        <f>Лист3!D259</f>
        <v>35000</v>
      </c>
      <c r="AQ19" s="176">
        <f>10*AP26</f>
        <v>11700</v>
      </c>
      <c r="AR19" s="32">
        <f t="shared" si="91"/>
        <v>17500</v>
      </c>
      <c r="AT19" s="30">
        <f>Лист3!M59</f>
        <v>0</v>
      </c>
      <c r="AU19" s="31">
        <f>Лист3!D258</f>
        <v>0</v>
      </c>
      <c r="AV19" s="182">
        <f>10*AU26</f>
        <v>9500</v>
      </c>
      <c r="AW19" s="32">
        <v>9670</v>
      </c>
      <c r="AY19" s="30">
        <f>Лист3!M60</f>
        <v>0</v>
      </c>
      <c r="AZ19" s="73">
        <f>Лист3!D257</f>
        <v>0</v>
      </c>
      <c r="BA19" s="176">
        <f>10*AZ26</f>
        <v>2300</v>
      </c>
      <c r="BB19" s="32">
        <v>2340</v>
      </c>
      <c r="BD19" s="30">
        <f>Лист3!M61</f>
        <v>0</v>
      </c>
      <c r="BE19" s="73">
        <f>Лист3!D256</f>
        <v>4645.6000000000004</v>
      </c>
      <c r="BF19" s="176">
        <f>10*BE26</f>
        <v>13670</v>
      </c>
      <c r="BG19" s="32">
        <v>13830</v>
      </c>
      <c r="BI19" s="30">
        <f>Лист3!M62</f>
        <v>0</v>
      </c>
      <c r="BJ19" s="73">
        <f>Лист3!D255</f>
        <v>0</v>
      </c>
      <c r="BK19" s="176">
        <f>10*BJ26</f>
        <v>39600</v>
      </c>
      <c r="BL19" s="32">
        <v>39910</v>
      </c>
      <c r="BN19" s="30">
        <f>Лист3!M63</f>
        <v>0</v>
      </c>
      <c r="BO19" s="73">
        <f>Лист3!D254</f>
        <v>55000</v>
      </c>
      <c r="BP19" s="176">
        <f>10*BO26</f>
        <v>30120</v>
      </c>
      <c r="BQ19" s="32">
        <v>30520</v>
      </c>
      <c r="BS19" s="72">
        <f>Лист3!M64</f>
        <v>0</v>
      </c>
      <c r="BT19" s="73">
        <f>Лист3!D253</f>
        <v>10000</v>
      </c>
      <c r="BU19" s="176">
        <f>10*BT26</f>
        <v>12680</v>
      </c>
      <c r="BV19" s="32">
        <v>12920</v>
      </c>
      <c r="BX19" s="30">
        <f>Лист3!M65</f>
        <v>0</v>
      </c>
      <c r="BY19" s="73">
        <f>Лист3!D252</f>
        <v>0</v>
      </c>
      <c r="BZ19" s="176">
        <f>10*BY26</f>
        <v>3810</v>
      </c>
      <c r="CA19" s="32">
        <v>3850</v>
      </c>
      <c r="CC19" s="30">
        <f>Лист3!M66</f>
        <v>0</v>
      </c>
      <c r="CD19" s="73">
        <f>Лист3!D251</f>
        <v>3000</v>
      </c>
      <c r="CE19" s="176">
        <f>10*CD26</f>
        <v>10230</v>
      </c>
      <c r="CF19" s="32">
        <v>10150</v>
      </c>
      <c r="CH19" s="30">
        <f>Лист3!M67</f>
        <v>0</v>
      </c>
      <c r="CI19" s="73">
        <f>Лист3!D250</f>
        <v>50000</v>
      </c>
      <c r="CJ19" s="176">
        <f>10*CI26</f>
        <v>79080</v>
      </c>
      <c r="CK19" s="32">
        <v>76310</v>
      </c>
      <c r="CM19" s="72">
        <f>Лист3!M68</f>
        <v>26700</v>
      </c>
      <c r="CN19" s="73">
        <f>Лист3!D249</f>
        <v>10000</v>
      </c>
      <c r="CO19" s="176">
        <f>10*CN26</f>
        <v>15400</v>
      </c>
      <c r="CP19" s="32">
        <f t="shared" si="99"/>
        <v>18350</v>
      </c>
      <c r="CR19" s="72">
        <f>Лист3!M69</f>
        <v>23600</v>
      </c>
      <c r="CS19" s="73">
        <f>Лист3!D248</f>
        <v>12000</v>
      </c>
      <c r="CT19" s="176">
        <f>10*CS26</f>
        <v>12950</v>
      </c>
      <c r="CU19" s="32">
        <f t="shared" si="100"/>
        <v>17800</v>
      </c>
      <c r="CW19" s="72">
        <f>Лист3!M70</f>
        <v>10000</v>
      </c>
      <c r="CX19" s="73">
        <f>Лист3!D247</f>
        <v>10000</v>
      </c>
      <c r="CY19" s="176">
        <f>10*CX26</f>
        <v>25170</v>
      </c>
      <c r="CZ19" s="32">
        <v>25390</v>
      </c>
      <c r="DB19" s="30">
        <f>Лист3!M71</f>
        <v>0</v>
      </c>
      <c r="DC19" s="73">
        <f>Лист3!D267</f>
        <v>38000</v>
      </c>
      <c r="DD19" s="176">
        <f>10*DC26</f>
        <v>7840</v>
      </c>
      <c r="DE19" s="32">
        <f t="shared" si="102"/>
        <v>19000</v>
      </c>
      <c r="DF19" s="3">
        <f t="shared" si="41"/>
        <v>501020</v>
      </c>
    </row>
    <row r="20" spans="1:112" s="3" customFormat="1" ht="63.75" thickBot="1" x14ac:dyDescent="0.3">
      <c r="A20" s="10" t="s">
        <v>91</v>
      </c>
      <c r="B20" s="8"/>
      <c r="C20" s="8"/>
      <c r="D20" s="8"/>
      <c r="F20" s="37">
        <f>Лист3!L73</f>
        <v>21000</v>
      </c>
      <c r="G20" s="67">
        <f>Лист3!M243</f>
        <v>205200</v>
      </c>
      <c r="H20" s="28">
        <f>G26*75</f>
        <v>69375</v>
      </c>
      <c r="I20" s="28">
        <f>(F20+G20)/2</f>
        <v>113100</v>
      </c>
      <c r="K20" s="37">
        <f>Лист3!L74</f>
        <v>86000</v>
      </c>
      <c r="L20" s="67">
        <f>Лист3!M242</f>
        <v>162400</v>
      </c>
      <c r="M20" s="174">
        <f>L26*50</f>
        <v>31950</v>
      </c>
      <c r="N20" s="28">
        <f t="shared" si="85"/>
        <v>124200</v>
      </c>
      <c r="P20" s="37">
        <f>Лист3!L75</f>
        <v>38000</v>
      </c>
      <c r="Q20" s="67">
        <f>Лист3!M241</f>
        <v>82200</v>
      </c>
      <c r="R20" s="174">
        <f>Q26*50</f>
        <v>79900</v>
      </c>
      <c r="S20" s="28">
        <f t="shared" si="86"/>
        <v>60100</v>
      </c>
      <c r="U20" s="37">
        <f>Лист3!L76</f>
        <v>19000</v>
      </c>
      <c r="V20" s="67">
        <f>Лист3!M240</f>
        <v>22680</v>
      </c>
      <c r="W20" s="174">
        <f>V26*50</f>
        <v>102550</v>
      </c>
      <c r="X20" s="28">
        <f t="shared" si="87"/>
        <v>20840</v>
      </c>
      <c r="Z20" s="37">
        <f>Лист3!L77</f>
        <v>32000</v>
      </c>
      <c r="AA20" s="67">
        <f>Лист3!M239</f>
        <v>80900</v>
      </c>
      <c r="AB20" s="174">
        <f>AA26*50</f>
        <v>306250</v>
      </c>
      <c r="AC20" s="28">
        <f t="shared" si="88"/>
        <v>56450</v>
      </c>
      <c r="AE20" s="37">
        <f>Лист3!L78</f>
        <v>37000</v>
      </c>
      <c r="AF20" s="67">
        <f>Лист3!M238</f>
        <v>85990</v>
      </c>
      <c r="AG20" s="174">
        <f>AF26*50</f>
        <v>53350</v>
      </c>
      <c r="AH20" s="28">
        <f t="shared" si="89"/>
        <v>61495</v>
      </c>
      <c r="AJ20" s="27">
        <f>Лист3!L79</f>
        <v>0</v>
      </c>
      <c r="AK20" s="67">
        <f>Лист3!M237</f>
        <v>64200</v>
      </c>
      <c r="AL20" s="174">
        <f>AK26*50</f>
        <v>289050</v>
      </c>
      <c r="AM20" s="28">
        <f t="shared" si="90"/>
        <v>32100</v>
      </c>
      <c r="AO20" s="37">
        <f>Лист3!L80</f>
        <v>55232.98</v>
      </c>
      <c r="AP20" s="67">
        <f>Лист3!M236</f>
        <v>47400</v>
      </c>
      <c r="AQ20" s="174">
        <f>AP26*50</f>
        <v>58500</v>
      </c>
      <c r="AR20" s="28">
        <f t="shared" si="91"/>
        <v>51316.490000000005</v>
      </c>
      <c r="AT20" s="37">
        <f>Лист3!L81</f>
        <v>35000</v>
      </c>
      <c r="AU20" s="67">
        <f>Лист3!M235</f>
        <v>50600</v>
      </c>
      <c r="AV20" s="174">
        <f>50*AU26</f>
        <v>47500</v>
      </c>
      <c r="AW20" s="28">
        <f t="shared" si="92"/>
        <v>42800</v>
      </c>
      <c r="AY20" s="27">
        <f>Лист3!L82</f>
        <v>0</v>
      </c>
      <c r="AZ20" s="67">
        <f>Лист3!M234</f>
        <v>7600</v>
      </c>
      <c r="BA20" s="174">
        <f>50*AZ26</f>
        <v>11500</v>
      </c>
      <c r="BB20" s="28">
        <v>70600</v>
      </c>
      <c r="BD20" s="37">
        <f>Лист3!L83</f>
        <v>32000</v>
      </c>
      <c r="BE20" s="67">
        <f>Лист3!M235</f>
        <v>50600</v>
      </c>
      <c r="BF20" s="174">
        <f>BE26*50</f>
        <v>68350</v>
      </c>
      <c r="BG20" s="28">
        <f t="shared" si="94"/>
        <v>41300</v>
      </c>
      <c r="BI20" s="37">
        <f>Лист3!L84</f>
        <v>322392.5</v>
      </c>
      <c r="BJ20" s="67">
        <f>Лист3!M234</f>
        <v>7600</v>
      </c>
      <c r="BK20" s="174">
        <f>50*BJ26</f>
        <v>198000</v>
      </c>
      <c r="BL20" s="28">
        <f t="shared" si="103"/>
        <v>164996.25</v>
      </c>
      <c r="BN20" s="37">
        <f>Лист3!L85</f>
        <v>207170</v>
      </c>
      <c r="BO20" s="67">
        <f>Лист3!M233</f>
        <v>68600</v>
      </c>
      <c r="BP20" s="174">
        <f>BO26*50</f>
        <v>150600</v>
      </c>
      <c r="BQ20" s="28">
        <f t="shared" si="95"/>
        <v>137885</v>
      </c>
      <c r="BS20" s="37">
        <f>Лист3!L86</f>
        <v>93000</v>
      </c>
      <c r="BT20" s="67">
        <f>Лист3!M232</f>
        <v>307697</v>
      </c>
      <c r="BU20" s="174">
        <f>50*BT26</f>
        <v>63400</v>
      </c>
      <c r="BV20" s="28">
        <f t="shared" si="96"/>
        <v>200348.5</v>
      </c>
      <c r="BX20" s="37">
        <f>Лист3!L87</f>
        <v>80000</v>
      </c>
      <c r="BY20" s="67">
        <f>Лист3!M231</f>
        <v>246069.41</v>
      </c>
      <c r="BZ20" s="174">
        <f>50*BY26</f>
        <v>19050</v>
      </c>
      <c r="CA20" s="28">
        <f t="shared" si="97"/>
        <v>163034.70500000002</v>
      </c>
      <c r="CC20" s="37">
        <f>Лист3!L88</f>
        <v>50000</v>
      </c>
      <c r="CD20" s="67">
        <f>Лист3!M230</f>
        <v>43100</v>
      </c>
      <c r="CE20" s="174">
        <f>50*CD26</f>
        <v>51150</v>
      </c>
      <c r="CF20" s="28">
        <f t="shared" si="98"/>
        <v>46550</v>
      </c>
      <c r="CH20" s="37">
        <f>Лист3!L89</f>
        <v>11000</v>
      </c>
      <c r="CI20" s="67">
        <f>Лист3!M229</f>
        <v>0</v>
      </c>
      <c r="CJ20" s="174">
        <f>50*CI26</f>
        <v>395400</v>
      </c>
      <c r="CK20" s="28">
        <f t="shared" si="104"/>
        <v>5500</v>
      </c>
      <c r="CM20" s="37">
        <f>Лист3!L90</f>
        <v>28000</v>
      </c>
      <c r="CN20" s="67">
        <f>Лист3!M228</f>
        <v>16800</v>
      </c>
      <c r="CO20" s="174">
        <f>50*CN26</f>
        <v>77000</v>
      </c>
      <c r="CP20" s="28">
        <f t="shared" si="99"/>
        <v>22400</v>
      </c>
      <c r="CR20" s="37">
        <f>Лист3!L91</f>
        <v>54000</v>
      </c>
      <c r="CS20" s="67">
        <f>Лист3!M227</f>
        <v>117650</v>
      </c>
      <c r="CT20" s="174">
        <f>50*CS26</f>
        <v>64750</v>
      </c>
      <c r="CU20" s="28">
        <f t="shared" si="100"/>
        <v>85825</v>
      </c>
      <c r="CW20" s="37">
        <f>Лист3!L92</f>
        <v>33000</v>
      </c>
      <c r="CX20" s="67">
        <f>Лист3!M226</f>
        <v>65396</v>
      </c>
      <c r="CY20" s="174">
        <f>50*CX26</f>
        <v>125850</v>
      </c>
      <c r="CZ20" s="28">
        <f t="shared" si="101"/>
        <v>49198</v>
      </c>
      <c r="DB20" s="37">
        <f>Лист3!L93</f>
        <v>8000</v>
      </c>
      <c r="DC20" s="67">
        <f>Лист3!M244</f>
        <v>0</v>
      </c>
      <c r="DD20" s="174">
        <f>50*DC26</f>
        <v>39200</v>
      </c>
      <c r="DE20" s="28">
        <f t="shared" si="102"/>
        <v>4000</v>
      </c>
      <c r="DF20" s="3">
        <f t="shared" si="41"/>
        <v>1554038.9450000001</v>
      </c>
    </row>
    <row r="21" spans="1:112" s="3" customFormat="1" ht="46.5" customHeight="1" thickBot="1" x14ac:dyDescent="0.3">
      <c r="A21" s="13" t="s">
        <v>18</v>
      </c>
      <c r="B21" s="8"/>
      <c r="C21" s="8"/>
      <c r="D21" s="8">
        <v>0</v>
      </c>
      <c r="F21" s="27"/>
      <c r="G21" s="25"/>
      <c r="H21" s="75">
        <f>I21</f>
        <v>388096</v>
      </c>
      <c r="I21" s="75">
        <f>I27-I18-I19-I20-37955-1594</f>
        <v>388096</v>
      </c>
      <c r="K21" s="27"/>
      <c r="L21" s="25"/>
      <c r="M21" s="180">
        <f>N21-250000</f>
        <v>850117.89274999988</v>
      </c>
      <c r="N21" s="75">
        <f>N27-N15-N18-N19-N20+429116.309-4274</f>
        <v>1100117.8927499999</v>
      </c>
      <c r="P21" s="27"/>
      <c r="Q21" s="25"/>
      <c r="R21" s="180">
        <f>S21</f>
        <v>622672.48499999999</v>
      </c>
      <c r="S21" s="75">
        <f>S27-S15-S18-S19-S20</f>
        <v>622672.48499999999</v>
      </c>
      <c r="U21" s="27"/>
      <c r="V21" s="25"/>
      <c r="W21" s="180">
        <f>X21</f>
        <v>574132.06000000006</v>
      </c>
      <c r="X21" s="75">
        <f>X27-X15-X18-X19-X20-368344.09-15500</f>
        <v>574132.06000000006</v>
      </c>
      <c r="Z21" s="27"/>
      <c r="AA21" s="25"/>
      <c r="AB21" s="173">
        <f>W21/V26*AA26</f>
        <v>1714558.1996587033</v>
      </c>
      <c r="AC21" s="75">
        <f>AC27-AC14-AC15-AC18-AC19-AC20</f>
        <v>4313545</v>
      </c>
      <c r="AE21" s="27"/>
      <c r="AF21" s="25"/>
      <c r="AG21" s="180">
        <f>AH21</f>
        <v>654336.5</v>
      </c>
      <c r="AH21" s="75">
        <f>AH27-AH15-AH18-AH19-AH20+10000</f>
        <v>654336.5</v>
      </c>
      <c r="AJ21" s="27"/>
      <c r="AK21" s="25"/>
      <c r="AL21" s="180">
        <f>AM21/6</f>
        <v>407588.54583333334</v>
      </c>
      <c r="AM21" s="75">
        <f>AM27-AM15-AM18-AM19-AM20</f>
        <v>2445531.2749999999</v>
      </c>
      <c r="AO21" s="27"/>
      <c r="AP21" s="25"/>
      <c r="AQ21" s="180">
        <f>AR21</f>
        <v>607500.51</v>
      </c>
      <c r="AR21" s="75">
        <f>AR27-AR15-AR18-AR19-AR20</f>
        <v>607500.51</v>
      </c>
      <c r="AT21" s="27"/>
      <c r="AU21" s="25"/>
      <c r="AV21" s="180">
        <f>AW21</f>
        <v>651963.96375</v>
      </c>
      <c r="AW21" s="75">
        <f>AW27-AW15-AW18-AW19-AW20</f>
        <v>651963.96375</v>
      </c>
      <c r="AY21" s="27"/>
      <c r="AZ21" s="25"/>
      <c r="BA21" s="180">
        <f>BB21</f>
        <v>313844.22599999997</v>
      </c>
      <c r="BB21" s="75">
        <f>BB27-BB18-BB19-BB20</f>
        <v>313844.22599999997</v>
      </c>
      <c r="BD21" s="27"/>
      <c r="BE21" s="25"/>
      <c r="BF21" s="180">
        <f>BG21</f>
        <v>502902.05111111095</v>
      </c>
      <c r="BG21" s="75">
        <f>BG27-BG15-BG18-BG19-BG20-275400-11000</f>
        <v>502902.05111111095</v>
      </c>
      <c r="BI21" s="27"/>
      <c r="BJ21" s="25"/>
      <c r="BK21" s="180">
        <f>BL21/4</f>
        <v>521411.4375</v>
      </c>
      <c r="BL21" s="75">
        <f>BL27-BL15-BL18-BL19-BL20+80000</f>
        <v>2085645.75</v>
      </c>
      <c r="BN21" s="27"/>
      <c r="BO21" s="25"/>
      <c r="BP21" s="180">
        <f>BQ21/2</f>
        <v>459667.875</v>
      </c>
      <c r="BQ21" s="75">
        <f>BQ27-BQ15-BQ18-BQ19-BQ20</f>
        <v>919335.75</v>
      </c>
      <c r="BS21" s="27"/>
      <c r="BT21" s="25"/>
      <c r="BU21" s="180">
        <f>BV21</f>
        <v>871165.52750000032</v>
      </c>
      <c r="BV21" s="75">
        <f>BV27-BV15-BV18-BV19-BV20-400000</f>
        <v>871165.52750000032</v>
      </c>
      <c r="BX21" s="27"/>
      <c r="BY21" s="25"/>
      <c r="BZ21" s="180">
        <f>CA21</f>
        <v>276219.58749999997</v>
      </c>
      <c r="CA21" s="75">
        <f>CA27-CA15-CA18-CA19-CA20</f>
        <v>276219.58749999997</v>
      </c>
      <c r="CC21" s="27"/>
      <c r="CD21" s="25"/>
      <c r="CE21" s="180">
        <f>CF21</f>
        <v>666203</v>
      </c>
      <c r="CF21" s="75">
        <f>CF27-CF15-CF18-CF19-CF20+120000</f>
        <v>666203</v>
      </c>
      <c r="CH21" s="27"/>
      <c r="CI21" s="25"/>
      <c r="CJ21" s="180">
        <f>CK21/2</f>
        <v>1341911.2524999999</v>
      </c>
      <c r="CK21" s="75">
        <f>CK27-CK18-CK19-CK20-CK15</f>
        <v>2683822.5049999999</v>
      </c>
      <c r="CM21" s="27"/>
      <c r="CN21" s="25"/>
      <c r="CO21" s="180">
        <f>CP21-80000</f>
        <v>701904</v>
      </c>
      <c r="CP21" s="75">
        <f>CP27-CP15-CP18-CP19-CP20</f>
        <v>781904</v>
      </c>
      <c r="CR21" s="27"/>
      <c r="CS21" s="25"/>
      <c r="CT21" s="180">
        <f>CU21</f>
        <v>659410</v>
      </c>
      <c r="CU21" s="75">
        <f>CU27-CU15-CU18-CU19-CU20</f>
        <v>659410</v>
      </c>
      <c r="CW21" s="27"/>
      <c r="CX21" s="25"/>
      <c r="CY21" s="180">
        <f>CZ21</f>
        <v>1267811</v>
      </c>
      <c r="CZ21" s="75">
        <f>CZ27-CZ15-CZ18-CZ19-CZ20</f>
        <v>1267811</v>
      </c>
      <c r="DB21" s="27"/>
      <c r="DC21" s="25"/>
      <c r="DD21" s="180">
        <f>DE21</f>
        <v>433251.27500000002</v>
      </c>
      <c r="DE21" s="75">
        <f>DE27-DE15-DE18-DE19-DE20</f>
        <v>433251.27500000002</v>
      </c>
      <c r="DF21" s="3">
        <f t="shared" si="41"/>
        <v>22819410.358611107</v>
      </c>
    </row>
    <row r="22" spans="1:112" s="40" customFormat="1" ht="46.5" customHeight="1" thickBot="1" x14ac:dyDescent="0.3">
      <c r="A22" s="38" t="s">
        <v>52</v>
      </c>
      <c r="B22" s="39"/>
      <c r="C22" s="39"/>
      <c r="D22" s="39">
        <v>0</v>
      </c>
      <c r="F22" s="41"/>
      <c r="G22" s="42"/>
      <c r="H22" s="43">
        <f>(E22+F22)/2</f>
        <v>0</v>
      </c>
      <c r="I22" s="43">
        <f>(F22+G22)/2</f>
        <v>0</v>
      </c>
      <c r="K22" s="41"/>
      <c r="L22" s="42"/>
      <c r="M22" s="177"/>
      <c r="N22" s="43">
        <f t="shared" si="85"/>
        <v>0</v>
      </c>
      <c r="P22" s="41"/>
      <c r="Q22" s="42"/>
      <c r="R22" s="177"/>
      <c r="S22" s="43">
        <f t="shared" si="86"/>
        <v>0</v>
      </c>
      <c r="U22" s="41"/>
      <c r="V22" s="42"/>
      <c r="W22" s="177"/>
      <c r="X22" s="43">
        <f t="shared" si="87"/>
        <v>0</v>
      </c>
      <c r="Z22" s="47">
        <f>Лист3!D101</f>
        <v>4140922.23</v>
      </c>
      <c r="AA22" s="76">
        <f>Лист3!D278</f>
        <v>3506850</v>
      </c>
      <c r="AB22" s="181">
        <f>AC22+400000</f>
        <v>604286.11500000022</v>
      </c>
      <c r="AC22" s="43">
        <f>(Z22+AA22)/2-(Лист5!J13*1000)</f>
        <v>204286.11500000022</v>
      </c>
      <c r="AE22" s="41"/>
      <c r="AF22" s="42"/>
      <c r="AG22" s="177"/>
      <c r="AH22" s="43">
        <f t="shared" si="89"/>
        <v>0</v>
      </c>
      <c r="AJ22" s="41"/>
      <c r="AK22" s="42"/>
      <c r="AL22" s="177"/>
      <c r="AM22" s="43">
        <f t="shared" si="90"/>
        <v>0</v>
      </c>
      <c r="AO22" s="41">
        <v>280000</v>
      </c>
      <c r="AP22" s="42">
        <v>400000</v>
      </c>
      <c r="AQ22" s="177"/>
      <c r="AR22" s="43">
        <f t="shared" si="91"/>
        <v>340000</v>
      </c>
      <c r="AT22" s="41"/>
      <c r="AU22" s="42"/>
      <c r="AV22" s="177"/>
      <c r="AW22" s="43">
        <f t="shared" si="92"/>
        <v>0</v>
      </c>
      <c r="AY22" s="41"/>
      <c r="AZ22" s="42">
        <v>1500000</v>
      </c>
      <c r="BA22" s="177"/>
      <c r="BB22" s="43"/>
      <c r="BD22" s="47">
        <f>Лист3!D107</f>
        <v>757670.77</v>
      </c>
      <c r="BE22" s="42"/>
      <c r="BF22" s="177"/>
      <c r="BG22" s="43"/>
      <c r="BI22" s="47">
        <f>Лист3!D108</f>
        <v>1707003.23</v>
      </c>
      <c r="BJ22" s="76">
        <f>Лист3!D271</f>
        <v>2436458</v>
      </c>
      <c r="BK22" s="181">
        <f>(BJ22+BL22)/8</f>
        <v>332435.57687500003</v>
      </c>
      <c r="BL22" s="43">
        <f>(BI22+BJ22)/2-(Лист5!J20*1.04*1000)</f>
        <v>223026.61499999999</v>
      </c>
      <c r="BN22" s="47">
        <f>Лист3!D109</f>
        <v>3881579.75</v>
      </c>
      <c r="BO22" s="76">
        <f>Лист3!D270</f>
        <v>2991100</v>
      </c>
      <c r="BP22" s="181">
        <f>(BO22+BQ22)/8</f>
        <v>380004.984375</v>
      </c>
      <c r="BQ22" s="43">
        <f>(BN22+BO22)/2-(Лист5!J22*1000)</f>
        <v>48939.875</v>
      </c>
      <c r="BS22" s="41"/>
      <c r="BT22" s="42"/>
      <c r="BU22" s="177"/>
      <c r="BV22" s="43">
        <f t="shared" si="96"/>
        <v>0</v>
      </c>
      <c r="BX22" s="41"/>
      <c r="BY22" s="42"/>
      <c r="BZ22" s="177"/>
      <c r="CA22" s="43">
        <f t="shared" si="97"/>
        <v>0</v>
      </c>
      <c r="CC22" s="41"/>
      <c r="CD22" s="42"/>
      <c r="CE22" s="177"/>
      <c r="CF22" s="43">
        <f t="shared" si="98"/>
        <v>0</v>
      </c>
      <c r="CH22" s="41"/>
      <c r="CI22" s="42"/>
      <c r="CJ22" s="177"/>
      <c r="CK22" s="43">
        <f t="shared" si="104"/>
        <v>0</v>
      </c>
      <c r="CM22" s="41"/>
      <c r="CN22" s="42"/>
      <c r="CO22" s="177"/>
      <c r="CP22" s="43">
        <f t="shared" si="99"/>
        <v>0</v>
      </c>
      <c r="CR22" s="41"/>
      <c r="CS22" s="42"/>
      <c r="CT22" s="177"/>
      <c r="CU22" s="43">
        <f t="shared" si="100"/>
        <v>0</v>
      </c>
      <c r="CW22" s="47">
        <f>Лист3!D116</f>
        <v>1610703.5</v>
      </c>
      <c r="CX22" s="42"/>
      <c r="CY22" s="177"/>
      <c r="CZ22" s="43"/>
      <c r="DB22" s="41"/>
      <c r="DC22" s="42"/>
      <c r="DD22" s="177"/>
      <c r="DE22" s="43">
        <f t="shared" si="102"/>
        <v>0</v>
      </c>
    </row>
    <row r="23" spans="1:112" s="45" customFormat="1" ht="46.5" customHeight="1" thickBot="1" x14ac:dyDescent="0.3">
      <c r="A23" s="49" t="s">
        <v>22</v>
      </c>
      <c r="B23" s="44"/>
      <c r="C23" s="44"/>
      <c r="D23" s="44">
        <v>0</v>
      </c>
      <c r="F23" s="50">
        <v>320000</v>
      </c>
      <c r="G23" s="51">
        <v>700000</v>
      </c>
      <c r="H23" s="46"/>
      <c r="I23" s="46"/>
      <c r="K23" s="50"/>
      <c r="L23" s="51"/>
      <c r="M23" s="178"/>
      <c r="N23" s="46">
        <f t="shared" si="85"/>
        <v>0</v>
      </c>
      <c r="P23" s="50"/>
      <c r="Q23" s="51"/>
      <c r="R23" s="178"/>
      <c r="S23" s="46">
        <f t="shared" si="86"/>
        <v>0</v>
      </c>
      <c r="U23" s="50"/>
      <c r="V23" s="51">
        <v>1580000</v>
      </c>
      <c r="W23" s="178"/>
      <c r="X23" s="46"/>
      <c r="Z23" s="50"/>
      <c r="AA23" s="51"/>
      <c r="AB23" s="178"/>
      <c r="AC23" s="46">
        <f t="shared" si="88"/>
        <v>0</v>
      </c>
      <c r="AE23" s="50">
        <v>1000000</v>
      </c>
      <c r="AF23" s="51"/>
      <c r="AG23" s="178"/>
      <c r="AH23" s="46"/>
      <c r="AJ23" s="50"/>
      <c r="AK23" s="51"/>
      <c r="AL23" s="178"/>
      <c r="AM23" s="46">
        <f t="shared" si="90"/>
        <v>0</v>
      </c>
      <c r="AO23" s="50"/>
      <c r="AP23" s="51"/>
      <c r="AQ23" s="178"/>
      <c r="AR23" s="46">
        <f t="shared" si="91"/>
        <v>0</v>
      </c>
      <c r="AT23" s="50"/>
      <c r="AU23" s="51"/>
      <c r="AV23" s="178"/>
      <c r="AW23" s="46">
        <f t="shared" si="92"/>
        <v>0</v>
      </c>
      <c r="AY23" s="50"/>
      <c r="AZ23" s="51"/>
      <c r="BA23" s="178"/>
      <c r="BB23" s="46">
        <f t="shared" si="93"/>
        <v>0</v>
      </c>
      <c r="BD23" s="50"/>
      <c r="BE23" s="51"/>
      <c r="BF23" s="178"/>
      <c r="BG23" s="46">
        <f t="shared" si="94"/>
        <v>0</v>
      </c>
      <c r="BI23" s="50"/>
      <c r="BJ23" s="51"/>
      <c r="BK23" s="178"/>
      <c r="BL23" s="46">
        <f t="shared" si="103"/>
        <v>0</v>
      </c>
      <c r="BN23" s="50"/>
      <c r="BO23" s="51"/>
      <c r="BP23" s="178"/>
      <c r="BQ23" s="46">
        <f t="shared" si="95"/>
        <v>0</v>
      </c>
      <c r="BS23" s="50"/>
      <c r="BT23" s="51"/>
      <c r="BU23" s="178"/>
      <c r="BV23" s="46">
        <f t="shared" si="96"/>
        <v>0</v>
      </c>
      <c r="BX23" s="50"/>
      <c r="BY23" s="51"/>
      <c r="BZ23" s="178"/>
      <c r="CA23" s="46">
        <f t="shared" si="97"/>
        <v>0</v>
      </c>
      <c r="CC23" s="50"/>
      <c r="CD23" s="51"/>
      <c r="CE23" s="178"/>
      <c r="CF23" s="46">
        <f t="shared" si="98"/>
        <v>0</v>
      </c>
      <c r="CH23" s="50"/>
      <c r="CI23" s="51"/>
      <c r="CJ23" s="178"/>
      <c r="CK23" s="46">
        <f t="shared" si="104"/>
        <v>0</v>
      </c>
      <c r="CM23" s="50"/>
      <c r="CN23" s="51"/>
      <c r="CO23" s="178"/>
      <c r="CP23" s="46">
        <f t="shared" si="99"/>
        <v>0</v>
      </c>
      <c r="CR23" s="50"/>
      <c r="CS23" s="51">
        <v>1002000</v>
      </c>
      <c r="CT23" s="178"/>
      <c r="CU23" s="46"/>
      <c r="CW23" s="50"/>
      <c r="CX23" s="51"/>
      <c r="CY23" s="178"/>
      <c r="CZ23" s="46">
        <f t="shared" si="101"/>
        <v>0</v>
      </c>
      <c r="DB23" s="50">
        <v>821000</v>
      </c>
      <c r="DC23" s="51">
        <v>300000</v>
      </c>
      <c r="DD23" s="178"/>
      <c r="DE23" s="46"/>
    </row>
    <row r="24" spans="1:112" s="52" customFormat="1" ht="46.5" customHeight="1" x14ac:dyDescent="0.25">
      <c r="A24" s="52" t="s">
        <v>62</v>
      </c>
      <c r="F24" s="53">
        <f>F7-F22</f>
        <v>2606018.11</v>
      </c>
      <c r="G24" s="53">
        <f>G7-G22-G23</f>
        <v>2940099.24</v>
      </c>
      <c r="H24" s="54">
        <f>H7-H22</f>
        <v>3234440.193231456</v>
      </c>
      <c r="I24" s="54">
        <f t="shared" ref="I24:CH24" si="105">I7-I22</f>
        <v>0</v>
      </c>
      <c r="J24" s="54">
        <f t="shared" si="105"/>
        <v>309.72000000000003</v>
      </c>
      <c r="K24" s="54">
        <f t="shared" si="105"/>
        <v>3551104.67</v>
      </c>
      <c r="L24" s="54">
        <f t="shared" si="105"/>
        <v>3688500</v>
      </c>
      <c r="M24" s="54"/>
      <c r="N24" s="54">
        <f t="shared" si="105"/>
        <v>0</v>
      </c>
      <c r="O24" s="54">
        <f t="shared" si="105"/>
        <v>3158.7</v>
      </c>
      <c r="P24" s="54">
        <f t="shared" si="105"/>
        <v>3781001.14</v>
      </c>
      <c r="Q24" s="54">
        <f t="shared" si="105"/>
        <v>3593675.2</v>
      </c>
      <c r="R24" s="54"/>
      <c r="S24" s="54">
        <f t="shared" si="105"/>
        <v>0</v>
      </c>
      <c r="T24" s="54">
        <f t="shared" si="105"/>
        <v>1361.62</v>
      </c>
      <c r="U24" s="54">
        <f t="shared" si="105"/>
        <v>5044966.95</v>
      </c>
      <c r="V24" s="53">
        <f>V7-V22-V23</f>
        <v>4093111.5</v>
      </c>
      <c r="W24" s="53"/>
      <c r="X24" s="54">
        <f t="shared" si="105"/>
        <v>0</v>
      </c>
      <c r="Y24" s="54">
        <f t="shared" si="105"/>
        <v>2468</v>
      </c>
      <c r="Z24" s="54">
        <f t="shared" si="105"/>
        <v>8376819.3399999999</v>
      </c>
      <c r="AA24" s="54">
        <f t="shared" si="105"/>
        <v>11733636.98</v>
      </c>
      <c r="AB24" s="54"/>
      <c r="AC24" s="54"/>
      <c r="AD24" s="54">
        <f t="shared" si="105"/>
        <v>8132.88</v>
      </c>
      <c r="AE24" s="54">
        <f>AE7-AE22-AE23</f>
        <v>4064446.9800000004</v>
      </c>
      <c r="AF24" s="54">
        <f t="shared" si="105"/>
        <v>4192655.12</v>
      </c>
      <c r="AG24" s="54"/>
      <c r="AH24" s="54">
        <f t="shared" si="105"/>
        <v>0</v>
      </c>
      <c r="AI24" s="54">
        <f t="shared" si="105"/>
        <v>860.48</v>
      </c>
      <c r="AJ24" s="54">
        <f t="shared" si="105"/>
        <v>6628324.21</v>
      </c>
      <c r="AK24" s="54">
        <f t="shared" si="105"/>
        <v>8654266.0299999993</v>
      </c>
      <c r="AL24" s="54"/>
      <c r="AM24" s="54">
        <f t="shared" si="105"/>
        <v>0</v>
      </c>
      <c r="AN24" s="54">
        <f t="shared" si="105"/>
        <v>3883.76</v>
      </c>
      <c r="AO24" s="54">
        <f t="shared" si="105"/>
        <v>4758134.51</v>
      </c>
      <c r="AP24" s="54">
        <f t="shared" si="105"/>
        <v>4346535.6900000004</v>
      </c>
      <c r="AQ24" s="54"/>
      <c r="AR24" s="54">
        <f t="shared" si="105"/>
        <v>-340000</v>
      </c>
      <c r="AS24" s="54">
        <f t="shared" si="105"/>
        <v>2938</v>
      </c>
      <c r="AT24" s="54">
        <f t="shared" si="105"/>
        <v>2982031.71</v>
      </c>
      <c r="AU24" s="54">
        <f t="shared" si="105"/>
        <v>3417400</v>
      </c>
      <c r="AV24" s="54"/>
      <c r="AW24" s="54">
        <f t="shared" si="105"/>
        <v>0</v>
      </c>
      <c r="AX24" s="54">
        <f t="shared" si="105"/>
        <v>2167.46</v>
      </c>
      <c r="AY24" s="54">
        <f t="shared" si="105"/>
        <v>2590673.66</v>
      </c>
      <c r="AZ24" s="54">
        <f t="shared" si="105"/>
        <v>1345168.6</v>
      </c>
      <c r="BA24" s="54"/>
      <c r="BB24" s="54">
        <f t="shared" si="105"/>
        <v>0</v>
      </c>
      <c r="BC24" s="54">
        <f t="shared" si="105"/>
        <v>120.01</v>
      </c>
      <c r="BD24" s="54">
        <f t="shared" si="105"/>
        <v>3569439.77</v>
      </c>
      <c r="BE24" s="54">
        <f t="shared" si="105"/>
        <v>4152848.69</v>
      </c>
      <c r="BF24" s="54"/>
      <c r="BG24" s="54">
        <f t="shared" si="105"/>
        <v>0</v>
      </c>
      <c r="BH24" s="54">
        <f t="shared" si="105"/>
        <v>1175</v>
      </c>
      <c r="BI24" s="54">
        <f t="shared" si="105"/>
        <v>19543478.039999999</v>
      </c>
      <c r="BJ24" s="54">
        <f t="shared" si="105"/>
        <v>7770832.8900000006</v>
      </c>
      <c r="BK24" s="54"/>
      <c r="BL24" s="54">
        <f t="shared" si="105"/>
        <v>6160946.6150000002</v>
      </c>
      <c r="BM24" s="54">
        <f t="shared" si="105"/>
        <v>2602.56</v>
      </c>
      <c r="BN24" s="54">
        <f t="shared" si="105"/>
        <v>8889384.6600000001</v>
      </c>
      <c r="BO24" s="54">
        <f t="shared" si="105"/>
        <v>7023259.6600000001</v>
      </c>
      <c r="BP24" s="54"/>
      <c r="BQ24" s="54">
        <f t="shared" si="105"/>
        <v>-48939.875</v>
      </c>
      <c r="BR24" s="54">
        <f t="shared" si="105"/>
        <v>2731.248</v>
      </c>
      <c r="BS24" s="54">
        <f t="shared" si="105"/>
        <v>4220199.59</v>
      </c>
      <c r="BT24" s="54">
        <f t="shared" si="105"/>
        <v>6388669.1500000004</v>
      </c>
      <c r="BU24" s="54"/>
      <c r="BV24" s="54">
        <f t="shared" si="105"/>
        <v>0</v>
      </c>
      <c r="BW24" s="54">
        <f t="shared" si="105"/>
        <v>1374.56</v>
      </c>
      <c r="BX24" s="54">
        <f t="shared" si="105"/>
        <v>1799690.52</v>
      </c>
      <c r="BY24" s="54">
        <f t="shared" si="105"/>
        <v>1981537.17</v>
      </c>
      <c r="BZ24" s="54"/>
      <c r="CA24" s="54">
        <f t="shared" si="105"/>
        <v>0</v>
      </c>
      <c r="CB24" s="54">
        <f t="shared" si="105"/>
        <v>544.20000000000005</v>
      </c>
      <c r="CC24" s="54">
        <f t="shared" si="105"/>
        <v>3025861.16</v>
      </c>
      <c r="CD24" s="54">
        <f t="shared" si="105"/>
        <v>4071280</v>
      </c>
      <c r="CE24" s="54"/>
      <c r="CF24" s="54">
        <f t="shared" si="105"/>
        <v>0</v>
      </c>
      <c r="CG24" s="54">
        <f t="shared" si="105"/>
        <v>233.48</v>
      </c>
      <c r="CH24" s="54">
        <f t="shared" si="105"/>
        <v>9914878.5099999998</v>
      </c>
      <c r="CI24" s="54">
        <f t="shared" ref="CI24:DE24" si="106">CI7-CI22</f>
        <v>11025120</v>
      </c>
      <c r="CJ24" s="54"/>
      <c r="CK24" s="54">
        <f t="shared" si="106"/>
        <v>0</v>
      </c>
      <c r="CL24" s="54">
        <f t="shared" si="106"/>
        <v>7163</v>
      </c>
      <c r="CM24" s="54">
        <f t="shared" si="106"/>
        <v>2723585.55</v>
      </c>
      <c r="CN24" s="54">
        <f t="shared" si="106"/>
        <v>3673560</v>
      </c>
      <c r="CO24" s="54"/>
      <c r="CP24" s="54">
        <f t="shared" si="106"/>
        <v>0</v>
      </c>
      <c r="CQ24" s="54">
        <f t="shared" si="106"/>
        <v>1429</v>
      </c>
      <c r="CR24" s="54">
        <f t="shared" si="106"/>
        <v>4615228.76</v>
      </c>
      <c r="CS24" s="53">
        <f>CS7-CS22-CS23</f>
        <v>3618230.2</v>
      </c>
      <c r="CT24" s="53"/>
      <c r="CU24" s="54">
        <f t="shared" si="106"/>
        <v>0</v>
      </c>
      <c r="CV24" s="54">
        <f t="shared" si="106"/>
        <v>2248</v>
      </c>
      <c r="CW24" s="53">
        <f>CW7-CW22</f>
        <v>4648471.6500000004</v>
      </c>
      <c r="CX24" s="54">
        <f t="shared" si="106"/>
        <v>6044028.1299999999</v>
      </c>
      <c r="CY24" s="54"/>
      <c r="CZ24" s="54">
        <f t="shared" si="106"/>
        <v>0</v>
      </c>
      <c r="DA24" s="54">
        <f t="shared" si="106"/>
        <v>1131</v>
      </c>
      <c r="DB24" s="53">
        <f>DB7-DB22-DB23</f>
        <v>2621814.19</v>
      </c>
      <c r="DC24" s="53">
        <f>DC7-DC22-DC23</f>
        <v>4103610</v>
      </c>
      <c r="DD24" s="53"/>
      <c r="DE24" s="54">
        <f t="shared" si="106"/>
        <v>741.96</v>
      </c>
      <c r="DF24" s="55">
        <f>SUM(F24:DE24)</f>
        <v>226866799.50123137</v>
      </c>
    </row>
    <row r="25" spans="1:112" s="52" customFormat="1" ht="46.5" customHeight="1" x14ac:dyDescent="0.25">
      <c r="A25" s="52" t="s">
        <v>21</v>
      </c>
      <c r="F25" s="56"/>
      <c r="G25" s="56"/>
      <c r="H25" s="56"/>
      <c r="I25" s="56"/>
      <c r="K25" s="56"/>
      <c r="L25" s="56"/>
      <c r="M25" s="56"/>
      <c r="N25" s="56"/>
      <c r="P25" s="56"/>
      <c r="Q25" s="56"/>
      <c r="R25" s="56"/>
      <c r="S25" s="56"/>
      <c r="U25" s="56"/>
      <c r="V25" s="56"/>
      <c r="W25" s="56"/>
      <c r="X25" s="56"/>
      <c r="Z25" s="56"/>
      <c r="AA25" s="56"/>
      <c r="AB25" s="56"/>
      <c r="AC25" s="56"/>
      <c r="AE25" s="56"/>
      <c r="AF25" s="56"/>
      <c r="AG25" s="56"/>
      <c r="AH25" s="56"/>
      <c r="AJ25" s="56"/>
      <c r="AK25" s="56"/>
      <c r="AL25" s="56"/>
      <c r="AM25" s="56"/>
      <c r="AO25" s="56"/>
      <c r="AP25" s="56"/>
      <c r="AQ25" s="56"/>
      <c r="AR25" s="56"/>
      <c r="AT25" s="56"/>
      <c r="AU25" s="56"/>
      <c r="AV25" s="56"/>
      <c r="AW25" s="56"/>
      <c r="AY25" s="56"/>
      <c r="AZ25" s="56"/>
      <c r="BA25" s="56"/>
      <c r="BB25" s="56"/>
      <c r="BD25" s="56"/>
      <c r="BE25" s="56"/>
      <c r="BF25" s="56"/>
      <c r="BG25" s="56"/>
      <c r="BI25" s="56"/>
      <c r="BJ25" s="56"/>
      <c r="BK25" s="56"/>
      <c r="BL25" s="56"/>
      <c r="BN25" s="56"/>
      <c r="BO25" s="56"/>
      <c r="BP25" s="56"/>
      <c r="BQ25" s="56"/>
      <c r="BS25" s="56"/>
      <c r="BT25" s="56"/>
      <c r="BU25" s="56"/>
      <c r="BV25" s="56"/>
      <c r="BX25" s="56"/>
      <c r="BY25" s="56"/>
      <c r="BZ25" s="56"/>
      <c r="CA25" s="56"/>
      <c r="CC25" s="56"/>
      <c r="CD25" s="56"/>
      <c r="CE25" s="56"/>
      <c r="CF25" s="56"/>
      <c r="CH25" s="56"/>
      <c r="CI25" s="56"/>
      <c r="CJ25" s="56"/>
      <c r="CK25" s="56"/>
      <c r="CM25" s="56"/>
      <c r="CN25" s="56"/>
      <c r="CO25" s="56"/>
      <c r="CP25" s="56"/>
      <c r="CR25" s="56"/>
      <c r="CS25" s="56"/>
      <c r="CT25" s="56"/>
      <c r="CU25" s="56"/>
      <c r="CW25" s="56"/>
      <c r="CX25" s="56"/>
      <c r="CY25" s="56"/>
      <c r="CZ25" s="56"/>
      <c r="DB25" s="56"/>
      <c r="DC25" s="56"/>
      <c r="DD25" s="56"/>
      <c r="DE25" s="56"/>
    </row>
    <row r="26" spans="1:112" s="52" customFormat="1" ht="46.5" customHeight="1" x14ac:dyDescent="0.25">
      <c r="A26" s="52" t="s">
        <v>56</v>
      </c>
      <c r="F26" s="56"/>
      <c r="G26" s="56">
        <v>925</v>
      </c>
      <c r="H26" s="56"/>
      <c r="I26" s="56"/>
      <c r="K26" s="56"/>
      <c r="L26" s="56">
        <v>639</v>
      </c>
      <c r="M26" s="56"/>
      <c r="N26" s="56"/>
      <c r="P26" s="56"/>
      <c r="Q26" s="56">
        <v>1598</v>
      </c>
      <c r="R26" s="56"/>
      <c r="S26" s="56"/>
      <c r="U26" s="56"/>
      <c r="V26" s="56">
        <v>2051</v>
      </c>
      <c r="W26" s="56"/>
      <c r="X26" s="56"/>
      <c r="Z26" s="56"/>
      <c r="AA26" s="56">
        <v>6125</v>
      </c>
      <c r="AB26" s="56"/>
      <c r="AC26" s="56"/>
      <c r="AE26" s="56"/>
      <c r="AF26" s="56">
        <v>1067</v>
      </c>
      <c r="AG26" s="56"/>
      <c r="AH26" s="56"/>
      <c r="AJ26" s="56"/>
      <c r="AK26" s="56">
        <v>5781</v>
      </c>
      <c r="AL26" s="56"/>
      <c r="AM26" s="56"/>
      <c r="AO26" s="56"/>
      <c r="AP26" s="56">
        <v>1170</v>
      </c>
      <c r="AQ26" s="56"/>
      <c r="AR26" s="56"/>
      <c r="AT26" s="56"/>
      <c r="AU26" s="56">
        <v>950</v>
      </c>
      <c r="AV26" s="56"/>
      <c r="AW26" s="56"/>
      <c r="AY26" s="56"/>
      <c r="AZ26" s="56">
        <v>230</v>
      </c>
      <c r="BA26" s="56"/>
      <c r="BB26" s="56"/>
      <c r="BD26" s="56"/>
      <c r="BE26" s="56">
        <v>1367</v>
      </c>
      <c r="BF26" s="56"/>
      <c r="BG26" s="56"/>
      <c r="BI26" s="56"/>
      <c r="BJ26" s="56">
        <v>3960</v>
      </c>
      <c r="BK26" s="56"/>
      <c r="BL26" s="56"/>
      <c r="BN26" s="56"/>
      <c r="BO26" s="56">
        <v>3012</v>
      </c>
      <c r="BP26" s="56"/>
      <c r="BQ26" s="56"/>
      <c r="BS26" s="56"/>
      <c r="BT26" s="56">
        <v>1268</v>
      </c>
      <c r="BU26" s="56"/>
      <c r="BV26" s="56"/>
      <c r="BX26" s="56"/>
      <c r="BY26" s="56">
        <v>381</v>
      </c>
      <c r="BZ26" s="56"/>
      <c r="CA26" s="56"/>
      <c r="CC26" s="56"/>
      <c r="CD26" s="56">
        <v>1023</v>
      </c>
      <c r="CE26" s="56"/>
      <c r="CF26" s="56"/>
      <c r="CH26" s="56"/>
      <c r="CI26" s="56">
        <v>7908</v>
      </c>
      <c r="CJ26" s="56"/>
      <c r="CK26" s="56"/>
      <c r="CM26" s="56"/>
      <c r="CN26" s="56">
        <v>1540</v>
      </c>
      <c r="CO26" s="56"/>
      <c r="CP26" s="56"/>
      <c r="CR26" s="56"/>
      <c r="CS26" s="56">
        <v>1295</v>
      </c>
      <c r="CT26" s="56"/>
      <c r="CU26" s="56"/>
      <c r="CW26" s="56"/>
      <c r="CX26" s="56">
        <v>2517</v>
      </c>
      <c r="CY26" s="56"/>
      <c r="CZ26" s="56"/>
      <c r="DB26" s="56"/>
      <c r="DC26" s="56">
        <v>784</v>
      </c>
      <c r="DD26" s="56"/>
      <c r="DE26" s="56"/>
      <c r="DF26" s="52">
        <f>SUM(F26:DE26)</f>
        <v>45591</v>
      </c>
    </row>
    <row r="27" spans="1:112" s="58" customFormat="1" ht="46.5" customHeight="1" x14ac:dyDescent="0.25">
      <c r="A27" s="57" t="s">
        <v>60</v>
      </c>
      <c r="B27" s="57"/>
      <c r="C27" s="57"/>
      <c r="D27" s="57"/>
      <c r="F27" s="59">
        <f>F24*25%</f>
        <v>651504.52749999997</v>
      </c>
      <c r="G27" s="59">
        <f t="shared" ref="G27:CH27" si="107">G24*25%</f>
        <v>735024.81</v>
      </c>
      <c r="H27" s="59">
        <f>601*F26</f>
        <v>0</v>
      </c>
      <c r="I27" s="59">
        <f>601*G26</f>
        <v>555925</v>
      </c>
      <c r="J27" s="59">
        <f t="shared" si="107"/>
        <v>77.430000000000007</v>
      </c>
      <c r="K27" s="59">
        <f t="shared" si="107"/>
        <v>887776.16749999998</v>
      </c>
      <c r="L27" s="59">
        <f t="shared" si="107"/>
        <v>922125</v>
      </c>
      <c r="M27" s="59"/>
      <c r="N27" s="59">
        <f>(K28+L28)/2*L26</f>
        <v>904950.58374999987</v>
      </c>
      <c r="O27" s="59">
        <f t="shared" si="107"/>
        <v>789.67499999999995</v>
      </c>
      <c r="P27" s="59">
        <f t="shared" si="107"/>
        <v>945250.28500000003</v>
      </c>
      <c r="Q27" s="59">
        <f t="shared" si="107"/>
        <v>898418.8</v>
      </c>
      <c r="R27" s="59"/>
      <c r="S27" s="59">
        <f>501*Q26</f>
        <v>800598</v>
      </c>
      <c r="T27" s="59">
        <f t="shared" si="107"/>
        <v>340.40499999999997</v>
      </c>
      <c r="U27" s="59">
        <f t="shared" si="107"/>
        <v>1261241.7375</v>
      </c>
      <c r="V27" s="59">
        <f t="shared" si="107"/>
        <v>1023277.875</v>
      </c>
      <c r="W27" s="59"/>
      <c r="X27" s="59">
        <f>501*V26-347</f>
        <v>1027204</v>
      </c>
      <c r="Y27" s="59">
        <f t="shared" si="107"/>
        <v>617</v>
      </c>
      <c r="Z27" s="59">
        <f t="shared" si="107"/>
        <v>2094204.835</v>
      </c>
      <c r="AA27" s="59">
        <f t="shared" si="107"/>
        <v>2933409.2450000001</v>
      </c>
      <c r="AB27" s="59"/>
      <c r="AC27" s="59">
        <f>464*AA26+1669240+425285+17862+750+40</f>
        <v>4955177</v>
      </c>
      <c r="AD27" s="59">
        <f t="shared" si="107"/>
        <v>2033.22</v>
      </c>
      <c r="AE27" s="59">
        <f>AE24*25%</f>
        <v>1016111.7450000001</v>
      </c>
      <c r="AF27" s="59">
        <f t="shared" si="107"/>
        <v>1048163.78</v>
      </c>
      <c r="AG27" s="59"/>
      <c r="AH27" s="59">
        <f>701*AF26</f>
        <v>747967</v>
      </c>
      <c r="AI27" s="59">
        <f t="shared" si="107"/>
        <v>215.12</v>
      </c>
      <c r="AJ27" s="59">
        <f t="shared" si="107"/>
        <v>1657081.0525</v>
      </c>
      <c r="AK27" s="59">
        <f t="shared" si="107"/>
        <v>2163566.5074999998</v>
      </c>
      <c r="AL27" s="59"/>
      <c r="AM27" s="59">
        <f>580*AK26-280</f>
        <v>3352700</v>
      </c>
      <c r="AN27" s="59">
        <f t="shared" si="107"/>
        <v>970.94</v>
      </c>
      <c r="AO27" s="59">
        <f t="shared" si="107"/>
        <v>1189533.6274999999</v>
      </c>
      <c r="AP27" s="59">
        <f t="shared" si="107"/>
        <v>1086633.9225000001</v>
      </c>
      <c r="AQ27" s="59"/>
      <c r="AR27" s="59">
        <f>601*AP26</f>
        <v>703170</v>
      </c>
      <c r="AS27" s="59">
        <f t="shared" si="107"/>
        <v>734.5</v>
      </c>
      <c r="AT27" s="59">
        <f t="shared" si="107"/>
        <v>745507.92749999999</v>
      </c>
      <c r="AU27" s="59">
        <f t="shared" si="107"/>
        <v>854350</v>
      </c>
      <c r="AV27" s="59"/>
      <c r="AW27" s="59">
        <f>(AT28+AU28)/2*AU26+100</f>
        <v>800028.96375</v>
      </c>
      <c r="AX27" s="59">
        <f t="shared" si="107"/>
        <v>541.86500000000001</v>
      </c>
      <c r="AY27" s="59">
        <f t="shared" si="107"/>
        <v>647668.41500000004</v>
      </c>
      <c r="AZ27" s="59">
        <f t="shared" si="107"/>
        <v>336292.15</v>
      </c>
      <c r="BA27" s="59"/>
      <c r="BB27" s="59">
        <f>(AY28+AZ28)/2.5*AZ26</f>
        <v>393584.22599999997</v>
      </c>
      <c r="BC27" s="59">
        <f t="shared" si="107"/>
        <v>30.002500000000001</v>
      </c>
      <c r="BD27" s="59">
        <f t="shared" si="107"/>
        <v>892359.9425</v>
      </c>
      <c r="BE27" s="59">
        <f t="shared" si="107"/>
        <v>1038212.1725</v>
      </c>
      <c r="BF27" s="59"/>
      <c r="BG27" s="59">
        <f>(BD28+BE28)/2.25*BE26</f>
        <v>858032.05111111095</v>
      </c>
      <c r="BH27" s="59">
        <f t="shared" si="107"/>
        <v>293.75</v>
      </c>
      <c r="BI27" s="59">
        <f t="shared" si="107"/>
        <v>4885869.51</v>
      </c>
      <c r="BJ27" s="59">
        <f t="shared" si="107"/>
        <v>1942708.2225000001</v>
      </c>
      <c r="BK27" s="59"/>
      <c r="BL27" s="59">
        <f>601*BJ26</f>
        <v>2379960</v>
      </c>
      <c r="BM27" s="59">
        <f t="shared" si="107"/>
        <v>650.64</v>
      </c>
      <c r="BN27" s="59">
        <f t="shared" si="107"/>
        <v>2222346.165</v>
      </c>
      <c r="BO27" s="59">
        <f t="shared" si="107"/>
        <v>1755814.915</v>
      </c>
      <c r="BP27" s="59"/>
      <c r="BQ27" s="59">
        <f>401*BO26</f>
        <v>1207812</v>
      </c>
      <c r="BR27" s="59">
        <f t="shared" si="107"/>
        <v>682.81200000000001</v>
      </c>
      <c r="BS27" s="59">
        <f t="shared" si="107"/>
        <v>1055049.8975</v>
      </c>
      <c r="BT27" s="59">
        <f t="shared" si="107"/>
        <v>1597167.2875000001</v>
      </c>
      <c r="BU27" s="59"/>
      <c r="BV27" s="59">
        <f>(BS28+BT28)/2*BT26+179910+8000-100</f>
        <v>1513918.5925000003</v>
      </c>
      <c r="BW27" s="59">
        <f t="shared" si="107"/>
        <v>343.64</v>
      </c>
      <c r="BX27" s="59">
        <f t="shared" si="107"/>
        <v>449922.63</v>
      </c>
      <c r="BY27" s="59">
        <f t="shared" si="107"/>
        <v>495384.29249999998</v>
      </c>
      <c r="BZ27" s="59"/>
      <c r="CA27" s="59">
        <f>BY28*BY26</f>
        <v>495384.29249999998</v>
      </c>
      <c r="CB27" s="59">
        <f t="shared" si="107"/>
        <v>136.05000000000001</v>
      </c>
      <c r="CC27" s="59">
        <f t="shared" si="107"/>
        <v>756465.29</v>
      </c>
      <c r="CD27" s="59">
        <f t="shared" si="107"/>
        <v>1017820</v>
      </c>
      <c r="CE27" s="59"/>
      <c r="CF27" s="59">
        <f>601*CD26</f>
        <v>614823</v>
      </c>
      <c r="CG27" s="59">
        <f t="shared" si="107"/>
        <v>58.37</v>
      </c>
      <c r="CH27" s="59">
        <f t="shared" si="107"/>
        <v>2478719.6274999999</v>
      </c>
      <c r="CI27" s="59">
        <f t="shared" ref="CI27:DC27" si="108">CI24*25%</f>
        <v>2756280</v>
      </c>
      <c r="CJ27" s="59"/>
      <c r="CK27" s="59">
        <f>540*CI26+85301+4000-48</f>
        <v>4359573</v>
      </c>
      <c r="CL27" s="59">
        <f t="shared" si="108"/>
        <v>1790.75</v>
      </c>
      <c r="CM27" s="59">
        <f t="shared" si="108"/>
        <v>680896.38749999995</v>
      </c>
      <c r="CN27" s="59">
        <f t="shared" si="108"/>
        <v>918390</v>
      </c>
      <c r="CO27" s="59"/>
      <c r="CP27" s="59">
        <f>601*CN26+381</f>
        <v>925921</v>
      </c>
      <c r="CQ27" s="59">
        <f t="shared" si="108"/>
        <v>357.25</v>
      </c>
      <c r="CR27" s="59">
        <f t="shared" si="108"/>
        <v>1153807.19</v>
      </c>
      <c r="CS27" s="59">
        <f t="shared" si="108"/>
        <v>904557.55</v>
      </c>
      <c r="CT27" s="59"/>
      <c r="CU27" s="59">
        <f>601*CS26</f>
        <v>778295</v>
      </c>
      <c r="CV27" s="59">
        <f t="shared" si="108"/>
        <v>562</v>
      </c>
      <c r="CW27" s="59">
        <f t="shared" si="108"/>
        <v>1162117.9125000001</v>
      </c>
      <c r="CX27" s="59">
        <f t="shared" si="108"/>
        <v>1511007.0325</v>
      </c>
      <c r="CY27" s="59"/>
      <c r="CZ27" s="59">
        <f>601*CX26</f>
        <v>1512717</v>
      </c>
      <c r="DA27" s="59">
        <f t="shared" si="108"/>
        <v>282.75</v>
      </c>
      <c r="DB27" s="59">
        <f t="shared" si="108"/>
        <v>655453.54749999999</v>
      </c>
      <c r="DC27" s="59">
        <f t="shared" si="108"/>
        <v>1025902.5</v>
      </c>
      <c r="DD27" s="59"/>
      <c r="DE27" s="59">
        <f>601*DC26</f>
        <v>471184</v>
      </c>
      <c r="DH27" s="58" t="s">
        <v>96</v>
      </c>
    </row>
    <row r="28" spans="1:112" s="60" customFormat="1" ht="46.5" customHeight="1" x14ac:dyDescent="0.25">
      <c r="A28" s="52" t="s">
        <v>58</v>
      </c>
      <c r="B28" s="52"/>
      <c r="C28" s="52"/>
      <c r="D28" s="52"/>
      <c r="F28" s="62">
        <f>F27/G26</f>
        <v>704.32921891891885</v>
      </c>
      <c r="G28" s="62">
        <f>G27/G26</f>
        <v>794.62141621621629</v>
      </c>
      <c r="H28" s="62"/>
      <c r="I28" s="62"/>
      <c r="K28" s="62">
        <f>K27/L26</f>
        <v>1389.3210758998434</v>
      </c>
      <c r="L28" s="62">
        <f>L27/L26</f>
        <v>1443.075117370892</v>
      </c>
      <c r="M28" s="62"/>
      <c r="N28" s="62"/>
      <c r="P28" s="62">
        <f>P27/Q26</f>
        <v>591.52082916145184</v>
      </c>
      <c r="Q28" s="62">
        <f>Q27/Q26</f>
        <v>562.21451814768466</v>
      </c>
      <c r="R28" s="62"/>
      <c r="S28" s="62"/>
      <c r="U28" s="62">
        <f>U27/V26</f>
        <v>614.93990126767437</v>
      </c>
      <c r="V28" s="62">
        <f>V27/V26</f>
        <v>498.91656509019992</v>
      </c>
      <c r="W28" s="62"/>
      <c r="X28" s="62"/>
      <c r="Z28" s="62">
        <f>Z27/AA26</f>
        <v>341.91099346938773</v>
      </c>
      <c r="AA28" s="62">
        <f>AA27/AA26</f>
        <v>478.92395836734698</v>
      </c>
      <c r="AB28" s="62"/>
      <c r="AC28" s="62"/>
      <c r="AE28" s="62">
        <f>AE27/AF26</f>
        <v>952.30716494845376</v>
      </c>
      <c r="AF28" s="62">
        <f>AF27/AF26</f>
        <v>982.34656044985945</v>
      </c>
      <c r="AG28" s="62"/>
      <c r="AH28" s="62"/>
      <c r="AJ28" s="62">
        <f>AJ27/AK26</f>
        <v>286.64263146514446</v>
      </c>
      <c r="AK28" s="62">
        <f>AK27/AK26</f>
        <v>374.25471501470332</v>
      </c>
      <c r="AL28" s="62"/>
      <c r="AM28" s="62"/>
      <c r="AO28" s="62">
        <f>AO27/AP26</f>
        <v>1016.6954081196581</v>
      </c>
      <c r="AP28" s="62">
        <f>AP27/AP26</f>
        <v>928.74694230769239</v>
      </c>
      <c r="AQ28" s="62"/>
      <c r="AR28" s="62"/>
      <c r="AT28" s="62">
        <f>AT27/AU26</f>
        <v>784.74518684210523</v>
      </c>
      <c r="AU28" s="62">
        <f>AU27/AU26</f>
        <v>899.31578947368416</v>
      </c>
      <c r="AV28" s="62"/>
      <c r="AW28" s="62"/>
      <c r="AY28" s="62">
        <f>AY27/AZ26</f>
        <v>2815.9496304347826</v>
      </c>
      <c r="AZ28" s="62">
        <f>AZ27/AZ26</f>
        <v>1462.1397826086957</v>
      </c>
      <c r="BA28" s="62"/>
      <c r="BB28" s="62"/>
      <c r="BD28" s="62">
        <f>BD27/BE26</f>
        <v>652.78708302852965</v>
      </c>
      <c r="BE28" s="62">
        <f>BE27/BE26</f>
        <v>759.48220373079732</v>
      </c>
      <c r="BF28" s="62"/>
      <c r="BG28" s="62"/>
      <c r="BI28" s="62">
        <f>BI27/BJ26</f>
        <v>1233.8054318181817</v>
      </c>
      <c r="BJ28" s="62">
        <f>BJ27/BJ26</f>
        <v>490.58288446969704</v>
      </c>
      <c r="BK28" s="62"/>
      <c r="BL28" s="62"/>
      <c r="BN28" s="62">
        <f>BN27/BO26</f>
        <v>737.83073207171321</v>
      </c>
      <c r="BO28" s="62">
        <f>BO27/BO26</f>
        <v>582.93987881806106</v>
      </c>
      <c r="BP28" s="62"/>
      <c r="BQ28" s="62"/>
      <c r="BS28" s="62">
        <f>BS27/BT26</f>
        <v>832.05827878548894</v>
      </c>
      <c r="BT28" s="62">
        <f>BT27/BT26</f>
        <v>1259.5956526025238</v>
      </c>
      <c r="BU28" s="62"/>
      <c r="BV28" s="62"/>
      <c r="BX28" s="62">
        <f>BX27/BY26</f>
        <v>1180.8992913385828</v>
      </c>
      <c r="BY28" s="62">
        <f>BY27/BY26</f>
        <v>1300.2212401574802</v>
      </c>
      <c r="BZ28" s="62"/>
      <c r="CA28" s="62"/>
      <c r="CC28" s="62">
        <f>CC27/CD26</f>
        <v>739.45776148582604</v>
      </c>
      <c r="CD28" s="62">
        <f>CD27/CD26</f>
        <v>994.93646138807424</v>
      </c>
      <c r="CE28" s="62"/>
      <c r="CF28" s="62"/>
      <c r="CH28" s="62">
        <f>CH27/CI26</f>
        <v>313.44456594587757</v>
      </c>
      <c r="CI28" s="62">
        <f>CI27/CI26</f>
        <v>348.54324734446129</v>
      </c>
      <c r="CJ28" s="62"/>
      <c r="CK28" s="62">
        <f>(CH28+CI28)/2</f>
        <v>330.99390664516943</v>
      </c>
      <c r="CM28" s="62">
        <f>CM27/CN26</f>
        <v>442.14051136363634</v>
      </c>
      <c r="CN28" s="62">
        <f>CN27/CN26</f>
        <v>596.35714285714289</v>
      </c>
      <c r="CO28" s="62"/>
      <c r="CP28" s="62"/>
      <c r="CR28" s="62">
        <f>CR27/CS26</f>
        <v>890.970803088803</v>
      </c>
      <c r="CS28" s="62">
        <f>CS27/CS26</f>
        <v>698.5000386100387</v>
      </c>
      <c r="CT28" s="62"/>
      <c r="CU28" s="62"/>
      <c r="CW28" s="62">
        <f>CW27/CX26</f>
        <v>461.70755363528014</v>
      </c>
      <c r="CX28" s="62">
        <f>CX27/CX26</f>
        <v>600.32063269765592</v>
      </c>
      <c r="CY28" s="62"/>
      <c r="CZ28" s="62"/>
      <c r="DB28" s="62">
        <f>DB27/DC26</f>
        <v>836.03768813775514</v>
      </c>
      <c r="DC28" s="62">
        <f>DC27/DC26</f>
        <v>1308.5491071428571</v>
      </c>
      <c r="DD28" s="62"/>
      <c r="DE28" s="62"/>
      <c r="DF28" s="60">
        <f>SUM(F28:DE28)/21/3</f>
        <v>563.73142067838114</v>
      </c>
      <c r="DG28" s="60">
        <v>601</v>
      </c>
      <c r="DH28" s="58">
        <f>(DE27+CZ27+CU27+CP27+CK27+CF27+CA27+BV27+BQ27+BL27+BG27+BB27+AW27+AR27+AM27+AH27+AC27+X27+S27+N27+I27)/DF26</f>
        <v>643.96316618655237</v>
      </c>
    </row>
    <row r="29" spans="1:112" s="61" customFormat="1" ht="46.5" customHeight="1" x14ac:dyDescent="0.25">
      <c r="A29" s="56" t="s">
        <v>61</v>
      </c>
      <c r="B29" s="56"/>
      <c r="C29" s="56"/>
      <c r="D29" s="56"/>
      <c r="F29" s="61">
        <f>(921*G26)-I15-I19-I20-I22-I23</f>
        <v>727232.5</v>
      </c>
      <c r="J29" s="61">
        <f t="shared" ref="J29:CG29" si="109">(921*K26)-L15-L19-L20-L22-L23</f>
        <v>-174900</v>
      </c>
      <c r="K29" s="61">
        <f>(921*L26)-N15-N19-N20-N22-N23</f>
        <v>452294</v>
      </c>
      <c r="O29" s="61">
        <f t="shared" si="109"/>
        <v>-100700</v>
      </c>
      <c r="P29" s="61">
        <f>(921*Q26)-S15-S19-S20-S22-S23</f>
        <v>1386952</v>
      </c>
      <c r="T29" s="61">
        <f t="shared" si="109"/>
        <v>-1646530</v>
      </c>
      <c r="U29" s="61">
        <f>(921*V26)-X15-X19-X20-X22-X23</f>
        <v>1841246</v>
      </c>
      <c r="Y29" s="61">
        <f t="shared" si="109"/>
        <v>-3690542</v>
      </c>
      <c r="Z29" s="61">
        <f>(921*AA26)-AC15-AC19-AC20-AC22-AC23</f>
        <v>5238180.8849999998</v>
      </c>
      <c r="AA29" s="61">
        <f>(921*AC26)-AD15-AD19-AD20-AD22-AD23</f>
        <v>0</v>
      </c>
      <c r="AD29" s="61">
        <f t="shared" si="109"/>
        <v>-95990</v>
      </c>
      <c r="AE29" s="61">
        <f>(921*AF26)-AH15-AH19-AH20-AH22-AH23</f>
        <v>903031.5</v>
      </c>
      <c r="AF29" s="61">
        <f>(921*AH26)-AI15-AI19-AI20-AI22-AI23</f>
        <v>0</v>
      </c>
      <c r="AI29" s="61">
        <f t="shared" si="109"/>
        <v>-112298</v>
      </c>
      <c r="AJ29" s="61">
        <f>(921*AK26)-AM15-AM19-AM20-AM22-AM23</f>
        <v>5232693.5</v>
      </c>
      <c r="AK29" s="61">
        <f>(921*AM26)-AN15-AN19-AN20-AN22-AN23</f>
        <v>0</v>
      </c>
      <c r="AN29" s="61">
        <f t="shared" si="109"/>
        <v>-489253</v>
      </c>
      <c r="AO29" s="61">
        <f>(921*AP26)-AR15-AR19-AR20-AR22-AR23</f>
        <v>661900.51</v>
      </c>
      <c r="AP29" s="61">
        <f>(921*AR26)-AS15-AS19-AS20-AS22-AS23</f>
        <v>0</v>
      </c>
      <c r="AS29" s="61">
        <f t="shared" si="109"/>
        <v>-51100</v>
      </c>
      <c r="AT29" s="61">
        <f>(921*AU26)-AW15-AW19-AW20-AW22-AW23</f>
        <v>821662</v>
      </c>
      <c r="AU29" s="61">
        <f>(921*AW26)-AX15-AX19-AX20-AX22-AX23</f>
        <v>0</v>
      </c>
      <c r="AW29" s="61">
        <f t="shared" si="109"/>
        <v>0</v>
      </c>
      <c r="AX29" s="61">
        <f t="shared" si="109"/>
        <v>-1507600</v>
      </c>
      <c r="AY29" s="61">
        <f>(921*AZ26)-BB15-BB19-BB20-BB22-BB23</f>
        <v>138890</v>
      </c>
      <c r="AZ29" s="61">
        <f>(921*BB26)-BC15-BC19-BC20-BC22-BC23</f>
        <v>0</v>
      </c>
      <c r="BC29" s="61">
        <f t="shared" si="109"/>
        <v>-55245.599999999999</v>
      </c>
      <c r="BD29" s="61">
        <f>(921*BE26)-BG15-BG19-BG20-BG22-BG23</f>
        <v>1203877</v>
      </c>
      <c r="BE29" s="61">
        <f>(921*BG26)-BH15-BH19-BH20-BH22-BH23</f>
        <v>0</v>
      </c>
      <c r="BH29" s="61">
        <f t="shared" si="109"/>
        <v>-2554091</v>
      </c>
      <c r="BI29" s="61">
        <f>(921*BJ26)-BL15-BL19-BL20-BL22-BL23</f>
        <v>3109194.1349999998</v>
      </c>
      <c r="BJ29" s="61">
        <f>(921*BL26)-BM15-BM19-BM20-BM22-BM23</f>
        <v>0</v>
      </c>
      <c r="BM29" s="61">
        <f t="shared" si="109"/>
        <v>-3197748.5</v>
      </c>
      <c r="BN29" s="61">
        <f>(921*BO26)-BQ15-BQ19-BQ20-BQ22-BQ23</f>
        <v>2510835.875</v>
      </c>
      <c r="BO29" s="61">
        <f>(921*BQ26)-BR15-BR19-BR20-BR22-BR23</f>
        <v>0</v>
      </c>
      <c r="BR29" s="61">
        <f t="shared" si="109"/>
        <v>-323799.17</v>
      </c>
      <c r="BS29" s="61">
        <f>(921*BT26)-BV15-BV19-BV20-BV22-BV23</f>
        <v>946614.41500000004</v>
      </c>
      <c r="BT29" s="61">
        <f>(921*BV26)-BW15-BW19-BW20-BW22-BW23</f>
        <v>0</v>
      </c>
      <c r="BW29" s="61">
        <f t="shared" si="109"/>
        <v>-247819.41</v>
      </c>
      <c r="BX29" s="61">
        <f>(921*BY26)-CA15-CA19-CA20-CA22-CA23</f>
        <v>182286.29499999998</v>
      </c>
      <c r="BY29" s="61">
        <f>(921*CA26)-CB15-CB19-CB20-CB22-CB23</f>
        <v>0</v>
      </c>
      <c r="CB29" s="61">
        <f t="shared" si="109"/>
        <v>-47220</v>
      </c>
      <c r="CC29" s="61">
        <f>(921*CD26)-CF15-CF19-CF20-CF22-CF23</f>
        <v>884363</v>
      </c>
      <c r="CD29" s="61">
        <f>(921*CF26)-CG15-CG19-CG20-CG22-CG23</f>
        <v>0</v>
      </c>
      <c r="CF29" s="61">
        <f t="shared" si="109"/>
        <v>-13576</v>
      </c>
      <c r="CG29" s="61">
        <f t="shared" si="109"/>
        <v>-85000</v>
      </c>
      <c r="CH29" s="61">
        <f>(921*CI26)-CK15-CK19-CK20-CK22-CK23</f>
        <v>7166458</v>
      </c>
      <c r="CL29" s="61">
        <f t="shared" ref="CL29:CV29" si="110">(921*CM26)-CN15-CN19-CN20-CN22-CN23</f>
        <v>-30181</v>
      </c>
      <c r="CM29" s="61">
        <f>(921*CN26)-CP15-CP19-CP20-CP22-CP23</f>
        <v>1373873</v>
      </c>
      <c r="CQ29" s="61">
        <f t="shared" si="110"/>
        <v>-1133650</v>
      </c>
      <c r="CR29" s="61">
        <f>(921*CS26)-CU15-CU19-CU20-CU22-CU23</f>
        <v>1087510</v>
      </c>
      <c r="CV29" s="61">
        <f t="shared" si="110"/>
        <v>-88401</v>
      </c>
      <c r="CW29" s="61">
        <f>(921*CX26)-CZ15-CZ19-CZ20-CZ22-CZ23</f>
        <v>2233564</v>
      </c>
      <c r="DA29" s="61">
        <f t="shared" ref="DA29" si="111">(921*DB26)-DC15-DC19-DC20-DC22-DC23</f>
        <v>-338000</v>
      </c>
      <c r="DB29" s="61">
        <f t="shared" ref="DB29" si="112">(921*DC26)-DE15-DE19-DE20-DE22-DE23</f>
        <v>697731.27500000002</v>
      </c>
      <c r="DF29" s="61">
        <f>SUM(F29:DE29)</f>
        <v>22816745.210000001</v>
      </c>
      <c r="DG29" s="61" t="s">
        <v>94</v>
      </c>
      <c r="DH29" s="61" t="s">
        <v>95</v>
      </c>
    </row>
    <row r="30" spans="1:112" ht="19.5" customHeight="1" x14ac:dyDescent="0.25">
      <c r="A30" s="3"/>
      <c r="B30" s="3"/>
      <c r="C30" s="3"/>
      <c r="D30" s="3"/>
      <c r="F30" s="63"/>
      <c r="G30" s="63"/>
      <c r="H30" s="63"/>
      <c r="I30" s="63"/>
      <c r="K30" s="63"/>
      <c r="L30" s="63"/>
      <c r="M30" s="63"/>
      <c r="N30" s="63"/>
      <c r="P30" s="63"/>
      <c r="Q30" s="63"/>
      <c r="R30" s="63"/>
      <c r="S30" s="63"/>
      <c r="U30" s="63"/>
      <c r="V30" s="63"/>
      <c r="W30" s="63"/>
      <c r="X30" s="63"/>
      <c r="Z30" s="63"/>
      <c r="AA30" s="63"/>
      <c r="AB30" s="63"/>
      <c r="AC30" s="63"/>
      <c r="AE30" s="63"/>
      <c r="AF30" s="63"/>
      <c r="AG30" s="63"/>
      <c r="AH30" s="63"/>
      <c r="AJ30" s="63"/>
      <c r="AK30" s="63"/>
      <c r="AL30" s="63"/>
      <c r="AM30" s="63"/>
      <c r="AO30" s="63"/>
      <c r="AP30" s="63"/>
      <c r="AQ30" s="63"/>
      <c r="AR30" s="63"/>
      <c r="AT30" s="63"/>
      <c r="AU30" s="63"/>
      <c r="AV30" s="63"/>
      <c r="AW30" s="63"/>
      <c r="AY30" s="63"/>
      <c r="AZ30" s="63"/>
      <c r="BA30" s="63"/>
      <c r="BB30" s="63"/>
      <c r="BD30" s="63"/>
      <c r="BE30" s="63"/>
      <c r="BF30" s="63"/>
      <c r="BG30" s="63"/>
      <c r="BI30" s="63"/>
      <c r="BJ30" s="63"/>
      <c r="BK30" s="63"/>
      <c r="BL30" s="63"/>
      <c r="BN30" s="63"/>
      <c r="BO30" s="63"/>
      <c r="BP30" s="63"/>
      <c r="BQ30" s="63"/>
      <c r="BS30" s="63"/>
      <c r="BT30" s="63"/>
      <c r="BU30" s="63"/>
      <c r="BV30" s="63"/>
      <c r="BX30" s="63"/>
      <c r="BY30" s="63"/>
      <c r="BZ30" s="63"/>
      <c r="CA30" s="63"/>
      <c r="CC30" s="63"/>
      <c r="CD30" s="63"/>
      <c r="CE30" s="63"/>
      <c r="CF30" s="63"/>
      <c r="CH30" s="63"/>
      <c r="CI30" s="63"/>
      <c r="CJ30" s="63"/>
      <c r="CK30" s="63"/>
      <c r="CM30" s="63"/>
      <c r="CN30" s="63"/>
      <c r="CO30" s="63"/>
      <c r="CP30" s="63"/>
      <c r="CR30" s="63"/>
      <c r="CS30" s="63"/>
      <c r="CT30" s="63"/>
      <c r="CU30" s="63"/>
      <c r="CW30" s="63"/>
      <c r="CX30" s="63"/>
      <c r="CY30" s="63"/>
      <c r="CZ30" s="63"/>
      <c r="DB30" s="63"/>
      <c r="DC30" s="63"/>
      <c r="DD30" s="63"/>
      <c r="DE30" s="63"/>
    </row>
    <row r="31" spans="1:112" ht="19.5" customHeight="1" x14ac:dyDescent="0.25">
      <c r="A31" s="3"/>
      <c r="B31" s="3"/>
      <c r="C31" s="3"/>
      <c r="D31" s="3"/>
      <c r="J31" s="24"/>
      <c r="O31" s="24"/>
      <c r="T31" s="24"/>
      <c r="Y31" s="24"/>
      <c r="AD31" s="24"/>
      <c r="AI31" s="24"/>
      <c r="AN31" s="24"/>
      <c r="AS31" s="24"/>
      <c r="AX31" s="24"/>
      <c r="BC31" s="24"/>
      <c r="BH31" s="24"/>
      <c r="BM31" s="24"/>
      <c r="BR31" s="24"/>
      <c r="BW31" s="24"/>
      <c r="CB31" s="24"/>
      <c r="CG31" s="24"/>
      <c r="CL31" s="24"/>
      <c r="CQ31" s="24"/>
      <c r="CV31" s="24"/>
      <c r="DA31" s="24"/>
    </row>
    <row r="32" spans="1:112" ht="19.5" customHeight="1" x14ac:dyDescent="0.25">
      <c r="A32" s="3"/>
      <c r="B32" s="3"/>
      <c r="C32" s="3"/>
      <c r="D32" s="3"/>
    </row>
    <row r="33" spans="1:112" ht="19.5" customHeight="1" x14ac:dyDescent="0.25">
      <c r="A33" s="3" t="s">
        <v>57</v>
      </c>
      <c r="B33" s="3"/>
      <c r="C33" s="3"/>
      <c r="D33" s="3"/>
      <c r="H33" s="24">
        <f>H8</f>
        <v>2759706.693231456</v>
      </c>
      <c r="I33" s="24">
        <f>I8</f>
        <v>2529832.5291504003</v>
      </c>
      <c r="J33" s="24">
        <f t="shared" ref="J33:CK33" si="113">J8</f>
        <v>0</v>
      </c>
      <c r="K33" s="133"/>
      <c r="L33" s="133"/>
      <c r="M33" s="185">
        <f>M7</f>
        <v>2897157.0352345183</v>
      </c>
      <c r="N33" s="133">
        <f t="shared" si="113"/>
        <v>3255426.0001925603</v>
      </c>
      <c r="O33" s="24">
        <f t="shared" si="113"/>
        <v>0</v>
      </c>
      <c r="R33" s="186">
        <f>R7</f>
        <v>3210977.8650588677</v>
      </c>
      <c r="S33" s="24">
        <f t="shared" si="113"/>
        <v>2925113.1447884804</v>
      </c>
      <c r="T33" s="24">
        <f t="shared" si="113"/>
        <v>0</v>
      </c>
      <c r="W33" s="186">
        <f>W7</f>
        <v>4058416.3815965443</v>
      </c>
      <c r="X33" s="24">
        <f t="shared" si="113"/>
        <v>3628809.2710496001</v>
      </c>
      <c r="Y33" s="24">
        <f t="shared" si="113"/>
        <v>0</v>
      </c>
      <c r="AB33" s="186">
        <f>AB7</f>
        <v>10938993.545108367</v>
      </c>
      <c r="AC33" s="24">
        <f t="shared" si="113"/>
        <v>12090054.720657602</v>
      </c>
      <c r="AD33" s="24">
        <f t="shared" si="113"/>
        <v>0</v>
      </c>
      <c r="AG33" s="186">
        <f>AG6</f>
        <v>3828565.2079303679</v>
      </c>
      <c r="AH33" s="24">
        <f t="shared" si="113"/>
        <v>3508595.1648511998</v>
      </c>
      <c r="AI33" s="24">
        <f t="shared" si="113"/>
        <v>0</v>
      </c>
      <c r="AL33" s="186">
        <f>AL7</f>
        <v>5625340.5111033991</v>
      </c>
      <c r="AM33" s="24">
        <f t="shared" si="113"/>
        <v>3518300</v>
      </c>
      <c r="AN33" s="24">
        <f t="shared" si="113"/>
        <v>0</v>
      </c>
      <c r="AQ33" s="186">
        <f>AQ7</f>
        <v>4179294.6696684649</v>
      </c>
      <c r="AR33" s="24">
        <f t="shared" si="113"/>
        <v>4637406.3097664006</v>
      </c>
      <c r="AS33" s="24">
        <f t="shared" si="113"/>
        <v>0</v>
      </c>
      <c r="AV33" s="186">
        <f>AV7</f>
        <v>2486340.0529259364</v>
      </c>
      <c r="AW33" s="24">
        <f t="shared" si="113"/>
        <v>906128.96375</v>
      </c>
      <c r="AX33" s="24">
        <f t="shared" si="113"/>
        <v>0</v>
      </c>
      <c r="BA33" s="186">
        <f>BA7</f>
        <v>2415099.4171919362</v>
      </c>
      <c r="BB33" s="24">
        <f t="shared" si="113"/>
        <v>1054764.226</v>
      </c>
      <c r="BC33" s="24">
        <f t="shared" si="113"/>
        <v>0</v>
      </c>
      <c r="BF33" s="186">
        <f>BF7</f>
        <v>2915580.1489296076</v>
      </c>
      <c r="BG33" s="24">
        <f t="shared" si="113"/>
        <v>2606697.0491975117</v>
      </c>
      <c r="BH33" s="24">
        <f t="shared" si="113"/>
        <v>0</v>
      </c>
      <c r="BK33" s="186">
        <f>BK7</f>
        <v>8364195.3068095613</v>
      </c>
      <c r="BL33" s="24">
        <f t="shared" si="113"/>
        <v>3700986.6150000002</v>
      </c>
      <c r="BM33" s="24">
        <f t="shared" si="113"/>
        <v>0</v>
      </c>
      <c r="BP33" s="186">
        <f>BP7</f>
        <v>9813164.7482248433</v>
      </c>
      <c r="BQ33" s="24">
        <f t="shared" si="113"/>
        <v>9103550.9003068805</v>
      </c>
      <c r="BR33" s="24">
        <f t="shared" si="113"/>
        <v>0</v>
      </c>
      <c r="BU33" s="186">
        <f>BU7</f>
        <v>3964928.6636856007</v>
      </c>
      <c r="BV33" s="24">
        <f t="shared" si="113"/>
        <v>3633339.3435400007</v>
      </c>
      <c r="BW33" s="24">
        <f t="shared" si="113"/>
        <v>0</v>
      </c>
      <c r="BZ33" s="186">
        <f>BZ7</f>
        <v>1483430.866456032</v>
      </c>
      <c r="CA33" s="24">
        <f t="shared" si="113"/>
        <v>558574.29249999998</v>
      </c>
      <c r="CB33" s="24">
        <f t="shared" si="113"/>
        <v>0</v>
      </c>
      <c r="CE33" s="186">
        <f>CE7</f>
        <v>3780677.5856700162</v>
      </c>
      <c r="CF33" s="24">
        <f t="shared" si="113"/>
        <v>3471104.9172544004</v>
      </c>
      <c r="CG33" s="24">
        <f t="shared" si="113"/>
        <v>0</v>
      </c>
      <c r="CJ33" s="186">
        <f>CJ7</f>
        <v>8365151.3913576631</v>
      </c>
      <c r="CK33" s="24">
        <f t="shared" si="113"/>
        <v>8852794.7928576004</v>
      </c>
      <c r="CL33" s="24">
        <f t="shared" ref="CL33:DE33" si="114">CL8</f>
        <v>0</v>
      </c>
      <c r="CO33" s="186">
        <f>CO7</f>
        <v>3113501.0366002689</v>
      </c>
      <c r="CP33" s="24">
        <f t="shared" si="114"/>
        <v>2790949.9794739205</v>
      </c>
      <c r="CQ33" s="24">
        <f t="shared" si="114"/>
        <v>0</v>
      </c>
      <c r="CT33" s="186">
        <f>CT7</f>
        <v>3685757.2444462082</v>
      </c>
      <c r="CU33" s="24">
        <f t="shared" si="114"/>
        <v>3381810.1267072</v>
      </c>
      <c r="CV33" s="24">
        <f t="shared" si="114"/>
        <v>0</v>
      </c>
      <c r="CY33" s="186">
        <f>CY7</f>
        <v>4707917.9572403459</v>
      </c>
      <c r="CZ33" s="24">
        <f t="shared" si="114"/>
        <v>4397991.5238950402</v>
      </c>
      <c r="DA33" s="24">
        <f t="shared" si="114"/>
        <v>0</v>
      </c>
      <c r="DD33" s="186">
        <f>DD7</f>
        <v>3110987.5351608959</v>
      </c>
      <c r="DE33" s="24">
        <f t="shared" si="114"/>
        <v>2805829.8422464002</v>
      </c>
      <c r="DF33">
        <f>SUM(F33:DE33)</f>
        <v>179063243.57681608</v>
      </c>
      <c r="DG33">
        <v>-3820583</v>
      </c>
      <c r="DH33" t="s">
        <v>193</v>
      </c>
    </row>
    <row r="34" spans="1:112" ht="19.5" customHeight="1" x14ac:dyDescent="0.25">
      <c r="A34" s="3" t="s">
        <v>189</v>
      </c>
      <c r="B34" s="3"/>
      <c r="C34" s="3"/>
      <c r="D34" s="3"/>
      <c r="H34" s="24">
        <v>368856</v>
      </c>
      <c r="I34" s="24">
        <f>J7*1000</f>
        <v>309720</v>
      </c>
      <c r="K34" s="133"/>
      <c r="L34" s="133"/>
      <c r="M34" s="133">
        <v>3275383</v>
      </c>
      <c r="N34" s="133">
        <f>O7*1000</f>
        <v>3158700</v>
      </c>
      <c r="R34" s="24">
        <v>1782000</v>
      </c>
      <c r="S34" s="24">
        <f>T7*1000</f>
        <v>1361620</v>
      </c>
      <c r="W34" s="24">
        <v>2950400</v>
      </c>
      <c r="X34" s="133">
        <f>Y7*1000</f>
        <v>2468000</v>
      </c>
      <c r="AB34" s="24">
        <v>8494800</v>
      </c>
      <c r="AC34" s="24">
        <f>AD7*1000</f>
        <v>8132880</v>
      </c>
      <c r="AG34" s="24">
        <v>889800</v>
      </c>
      <c r="AH34" s="133">
        <f>AI7*1000</f>
        <v>860480</v>
      </c>
      <c r="AL34" s="24">
        <v>4020100</v>
      </c>
      <c r="AM34" s="24">
        <f>AN7*1000</f>
        <v>3883760</v>
      </c>
      <c r="AQ34" s="24">
        <v>2719000</v>
      </c>
      <c r="AR34" s="133">
        <f>AS7*1000</f>
        <v>2938000</v>
      </c>
      <c r="AV34" s="24">
        <v>1043000</v>
      </c>
      <c r="AW34" s="133">
        <f>AX7*1000</f>
        <v>2167460</v>
      </c>
      <c r="BA34" s="24">
        <v>137050</v>
      </c>
      <c r="BB34" s="24">
        <f>BC7*1000</f>
        <v>120010</v>
      </c>
      <c r="BF34" s="24">
        <v>1226451</v>
      </c>
      <c r="BG34" s="133">
        <f>BH7*1000</f>
        <v>1175000</v>
      </c>
      <c r="BK34" s="24">
        <v>2864000</v>
      </c>
      <c r="BL34" s="133">
        <f>BM7*1000</f>
        <v>2602560</v>
      </c>
      <c r="BP34" s="24">
        <v>3580000</v>
      </c>
      <c r="BQ34" s="24">
        <f>BR7*1000</f>
        <v>2731248</v>
      </c>
      <c r="BU34" s="24">
        <v>1240900</v>
      </c>
      <c r="BV34" s="24">
        <f>BW7*1000</f>
        <v>1374560</v>
      </c>
      <c r="BZ34" s="24">
        <v>526790</v>
      </c>
      <c r="CA34" s="24">
        <f>CB7*1000</f>
        <v>544200</v>
      </c>
      <c r="CE34" s="24">
        <v>383300</v>
      </c>
      <c r="CF34" s="133">
        <v>348000</v>
      </c>
      <c r="CJ34" s="24">
        <v>7865900</v>
      </c>
      <c r="CK34" s="24">
        <f>CL7*1000</f>
        <v>7163000</v>
      </c>
      <c r="CO34" s="24">
        <v>1707250</v>
      </c>
      <c r="CP34" s="24">
        <f>CQ7*1000</f>
        <v>1429000</v>
      </c>
      <c r="CT34" s="24">
        <v>1834400</v>
      </c>
      <c r="CU34" s="24">
        <f>CV7*1000</f>
        <v>2248000</v>
      </c>
      <c r="CY34" s="24">
        <v>1253000</v>
      </c>
      <c r="CZ34" s="24">
        <v>1151840</v>
      </c>
      <c r="DD34" s="24">
        <v>766000</v>
      </c>
      <c r="DE34" s="24">
        <f>DE7*1000</f>
        <v>741960</v>
      </c>
      <c r="DF34">
        <f>SUM(F34:DE34)</f>
        <v>95838378</v>
      </c>
    </row>
    <row r="35" spans="1:112" s="171" customFormat="1" ht="19.5" customHeight="1" x14ac:dyDescent="0.25">
      <c r="A35" s="170" t="s">
        <v>190</v>
      </c>
      <c r="B35" s="170"/>
      <c r="C35" s="170"/>
      <c r="D35" s="170"/>
      <c r="F35" s="172"/>
      <c r="G35" s="172"/>
      <c r="H35" s="172">
        <f>G26*147</f>
        <v>135975</v>
      </c>
      <c r="I35" s="172">
        <f>'рассчет 23 го'!E9*1000</f>
        <v>138000</v>
      </c>
      <c r="K35" s="172"/>
      <c r="L35" s="172"/>
      <c r="M35" s="172">
        <f>147*L26</f>
        <v>93933</v>
      </c>
      <c r="N35" s="172">
        <f>'дотация на выравнивание'!M10*1000</f>
        <v>96726</v>
      </c>
      <c r="P35" s="172"/>
      <c r="Q35" s="172"/>
      <c r="R35" s="172">
        <f>147*Q26</f>
        <v>234906</v>
      </c>
      <c r="S35" s="172">
        <f>'дотация на выравнивание'!M12*1000</f>
        <v>238581</v>
      </c>
      <c r="U35" s="172"/>
      <c r="V35" s="172"/>
      <c r="W35" s="172">
        <f>147*V26</f>
        <v>301497</v>
      </c>
      <c r="X35" s="172">
        <f>'дотация на выравнивание'!M13*1000</f>
        <v>308112</v>
      </c>
      <c r="Z35" s="172"/>
      <c r="AA35" s="172"/>
      <c r="AB35" s="172">
        <f>147*AA26</f>
        <v>900375</v>
      </c>
      <c r="AC35" s="172">
        <f>'дотация на выравнивание'!M14*1000</f>
        <v>927423</v>
      </c>
      <c r="AE35" s="172"/>
      <c r="AF35" s="172"/>
      <c r="AG35" s="172">
        <f>147*AF26</f>
        <v>156849</v>
      </c>
      <c r="AH35" s="172">
        <f>'дотация на выравнивание'!M15*1000</f>
        <v>160818</v>
      </c>
      <c r="AJ35" s="172"/>
      <c r="AK35" s="172"/>
      <c r="AL35" s="172">
        <f>147*AK26</f>
        <v>849807</v>
      </c>
      <c r="AM35" s="172">
        <f>'дотация на выравнивание'!M16*1000</f>
        <v>815409</v>
      </c>
      <c r="AO35" s="172"/>
      <c r="AP35" s="172"/>
      <c r="AQ35" s="172">
        <f>147*AP26</f>
        <v>171990</v>
      </c>
      <c r="AR35" s="172">
        <f>'дотация на выравнивание'!M17*1000</f>
        <v>175812</v>
      </c>
      <c r="AT35" s="172"/>
      <c r="AU35" s="172"/>
      <c r="AV35" s="172">
        <f>147*AU26</f>
        <v>139650</v>
      </c>
      <c r="AW35" s="172">
        <f>'дотация на выравнивание'!M18*1000</f>
        <v>142149</v>
      </c>
      <c r="AY35" s="172"/>
      <c r="AZ35" s="172"/>
      <c r="BA35" s="172">
        <f>147*AZ26</f>
        <v>33810</v>
      </c>
      <c r="BB35" s="172">
        <f>'дотация на выравнивание'!M20*1000</f>
        <v>34398</v>
      </c>
      <c r="BD35" s="172"/>
      <c r="BE35" s="172"/>
      <c r="BF35" s="172">
        <f>147*BE26</f>
        <v>200949</v>
      </c>
      <c r="BG35" s="172">
        <f>'дотация на выравнивание'!M19*1000</f>
        <v>203301</v>
      </c>
      <c r="BI35" s="172"/>
      <c r="BJ35" s="172"/>
      <c r="BK35" s="172">
        <f>147*BJ26</f>
        <v>582120</v>
      </c>
      <c r="BL35" s="172">
        <f>'дотация на выравнивание'!M21*1000</f>
        <v>586677</v>
      </c>
      <c r="BN35" s="172"/>
      <c r="BO35" s="172"/>
      <c r="BP35" s="172">
        <f>147*BO26</f>
        <v>442764</v>
      </c>
      <c r="BQ35" s="172">
        <f>'дотация на выравнивание'!M23*1000</f>
        <v>448644</v>
      </c>
      <c r="BS35" s="172"/>
      <c r="BT35" s="172"/>
      <c r="BU35" s="172">
        <f>147*BT26</f>
        <v>186396</v>
      </c>
      <c r="BV35" s="172">
        <f>'дотация на выравнивание'!M22*1000</f>
        <v>189924</v>
      </c>
      <c r="BX35" s="172"/>
      <c r="BY35" s="172"/>
      <c r="BZ35" s="172">
        <f>147*BY26</f>
        <v>56007</v>
      </c>
      <c r="CA35" s="172">
        <f>'дотация на выравнивание'!M24*1000</f>
        <v>56595</v>
      </c>
      <c r="CC35" s="172"/>
      <c r="CD35" s="172"/>
      <c r="CE35" s="172">
        <f>147*CD26</f>
        <v>150381</v>
      </c>
      <c r="CF35" s="172">
        <f>'дотация на выравнивание'!M26*1000</f>
        <v>149205</v>
      </c>
      <c r="CH35" s="172"/>
      <c r="CI35" s="172"/>
      <c r="CJ35" s="172">
        <f>147*CI26</f>
        <v>1162476</v>
      </c>
      <c r="CK35" s="172">
        <f>'дотация на выравнивание'!M27*1000</f>
        <v>1121757</v>
      </c>
      <c r="CM35" s="172"/>
      <c r="CN35" s="172"/>
      <c r="CO35" s="172">
        <f>147*CN26</f>
        <v>226380</v>
      </c>
      <c r="CP35" s="172">
        <f>'дотация на выравнивание'!M25*1000</f>
        <v>235494</v>
      </c>
      <c r="CR35" s="172"/>
      <c r="CS35" s="172"/>
      <c r="CT35" s="172">
        <f>147*CS26</f>
        <v>190365</v>
      </c>
      <c r="CU35" s="172">
        <f>'дотация на выравнивание'!M28*1000</f>
        <v>194922</v>
      </c>
      <c r="CW35" s="172"/>
      <c r="CX35" s="172"/>
      <c r="CY35" s="172">
        <f>147*CX26</f>
        <v>369999</v>
      </c>
      <c r="CZ35" s="172">
        <f>'дотация на выравнивание'!M29*1000</f>
        <v>373233</v>
      </c>
      <c r="DB35" s="172"/>
      <c r="DC35" s="172"/>
      <c r="DD35" s="172">
        <f>147*DC26</f>
        <v>115248</v>
      </c>
      <c r="DE35" s="172">
        <f>'дотация на выравнивание'!M30*1000</f>
        <v>117747</v>
      </c>
      <c r="DF35" s="171">
        <f>SUM(F35:DE35)</f>
        <v>13416804</v>
      </c>
    </row>
    <row r="36" spans="1:112" ht="19.5" customHeight="1" x14ac:dyDescent="0.25">
      <c r="A36" s="3" t="s">
        <v>191</v>
      </c>
      <c r="B36" s="3"/>
      <c r="C36" s="3"/>
      <c r="D36" s="3"/>
      <c r="H36" s="24">
        <f>510000+737000</f>
        <v>1247000</v>
      </c>
      <c r="I36" s="24">
        <f>'дотация на выравнивание'!J11*1000</f>
        <v>509509.40572693135</v>
      </c>
      <c r="R36" s="24">
        <v>420000</v>
      </c>
      <c r="S36" s="24">
        <f>'рассчет 23 го'!D11*1000</f>
        <v>321000</v>
      </c>
      <c r="W36" s="24">
        <v>721000</v>
      </c>
      <c r="X36" s="24">
        <f>'дотация на выравнивание'!J13*1000</f>
        <v>721263.9418737347</v>
      </c>
      <c r="AB36" s="24">
        <f>2604000-1490000</f>
        <v>1114000</v>
      </c>
      <c r="AC36" s="24">
        <f>'дотация на выравнивание'!J14*1000</f>
        <v>2603738.0226806472</v>
      </c>
      <c r="AG36" s="24">
        <v>788000</v>
      </c>
      <c r="AH36" s="24">
        <f>'дотация на выравнивание'!J15*1000</f>
        <v>787993.34884580295</v>
      </c>
      <c r="AL36" s="24">
        <f>1523000-790000-213000</f>
        <v>520000</v>
      </c>
      <c r="AM36" s="24">
        <f>'дотация на выравнивание'!J16*1000</f>
        <v>1522721.0356119859</v>
      </c>
      <c r="AQ36" s="24">
        <v>614000</v>
      </c>
      <c r="AR36" s="24">
        <f>'дотация на выравнивание'!J17*1000</f>
        <v>613544.93494781456</v>
      </c>
      <c r="AV36" s="24">
        <f>59000+1544000</f>
        <v>1603000</v>
      </c>
      <c r="AW36" s="24">
        <f>'дотация на выравнивание'!J18*1000</f>
        <v>58837.630025809987</v>
      </c>
      <c r="BA36" s="24">
        <v>202000</v>
      </c>
      <c r="BB36" s="24">
        <f>'дотация на выравнивание'!J20*1000</f>
        <v>201981.18776847509</v>
      </c>
      <c r="BF36" s="24">
        <v>922000</v>
      </c>
      <c r="BG36" s="24">
        <f>'дотация на выравнивание'!J19*1000</f>
        <v>922314.89598061389</v>
      </c>
      <c r="BK36" s="24">
        <v>2456000</v>
      </c>
      <c r="BL36" s="24">
        <f>'дотация на выравнивание'!J21*1000</f>
        <v>2456239.8194651739</v>
      </c>
      <c r="BP36" s="24">
        <v>2053000</v>
      </c>
      <c r="BQ36" s="24">
        <f>'дотация на выравнивание'!J23*1000</f>
        <v>1703768.1695690709</v>
      </c>
      <c r="BU36" s="24">
        <v>735000</v>
      </c>
      <c r="BV36" s="24">
        <f>'дотация на выравнивание'!J22*1000</f>
        <v>734911.07283344946</v>
      </c>
      <c r="BZ36" s="24">
        <v>361000</v>
      </c>
      <c r="CA36" s="24">
        <f>'дотация на выравнивание'!J24*1000</f>
        <v>360955.61964975909</v>
      </c>
      <c r="CE36" s="24">
        <v>618000</v>
      </c>
      <c r="CF36" s="24">
        <f>'дотация на выравнивание'!J26*1000</f>
        <v>618373.16274571489</v>
      </c>
      <c r="CK36" s="24">
        <f>'дотация на выравнивание'!J27*1000</f>
        <v>52912.818765759657</v>
      </c>
      <c r="CO36" s="24">
        <v>1045000</v>
      </c>
      <c r="CP36" s="24">
        <f>'дотация на выравнивание'!J25*1000</f>
        <v>1044930.6165287999</v>
      </c>
      <c r="CT36" s="24">
        <f>596000</f>
        <v>596000</v>
      </c>
      <c r="CU36" s="24">
        <f>'дотация на выравнивание'!J28*1000</f>
        <v>596043.55534632201</v>
      </c>
      <c r="CY36" s="24">
        <v>1637000</v>
      </c>
      <c r="CZ36" s="24">
        <f>'дотация на выравнивание'!J29*1000</f>
        <v>1636980.1520022994</v>
      </c>
      <c r="DD36" s="24">
        <v>323000</v>
      </c>
      <c r="DE36" s="24">
        <f>'дотация на выравнивание'!J30*1000</f>
        <v>323096.36831340159</v>
      </c>
      <c r="DF36">
        <f>SUM(F36:DE36)</f>
        <v>35766115.758681566</v>
      </c>
    </row>
    <row r="37" spans="1:112" ht="19.5" customHeight="1" x14ac:dyDescent="0.25">
      <c r="A37" s="3" t="s">
        <v>194</v>
      </c>
      <c r="B37" s="3"/>
      <c r="C37" s="3"/>
      <c r="D37" s="3"/>
      <c r="H37" s="24">
        <f>H33*4.2%</f>
        <v>115907.68111572116</v>
      </c>
      <c r="I37" s="24">
        <f>I33*4.2%</f>
        <v>106252.96622431681</v>
      </c>
      <c r="M37" s="24">
        <f>M33*4.2%</f>
        <v>121680.59547984978</v>
      </c>
      <c r="R37" s="24">
        <f>R33*4.2%</f>
        <v>134861.07033247245</v>
      </c>
      <c r="S37" s="24">
        <f>'дотация на выравнивание'!J12*1000</f>
        <v>419622.01933826698</v>
      </c>
      <c r="W37" s="24">
        <f>W33*4.5%</f>
        <v>182628.73717184449</v>
      </c>
      <c r="X37" s="24">
        <f>X33*4.2%</f>
        <v>152409.98938408322</v>
      </c>
      <c r="AB37" s="24">
        <f>AB33*4.2%</f>
        <v>459437.72889455146</v>
      </c>
      <c r="AC37" s="24">
        <f>AC33*4.2%</f>
        <v>507782.29826761934</v>
      </c>
      <c r="AG37" s="24">
        <f>AG33*4.2%</f>
        <v>160799.73873307547</v>
      </c>
      <c r="AH37" s="24">
        <f>AH33*4.2%</f>
        <v>147360.99692375041</v>
      </c>
      <c r="AL37" s="24">
        <f>AL33*4.2%</f>
        <v>236264.30146634279</v>
      </c>
      <c r="AM37" s="24">
        <f>AM33*4.2%</f>
        <v>147768.6</v>
      </c>
      <c r="AQ37" s="24">
        <f>AQ33*4.2%</f>
        <v>175530.37612607554</v>
      </c>
      <c r="AR37" s="24">
        <f>AR33*4.2%</f>
        <v>194771.06501018885</v>
      </c>
      <c r="AV37" s="24">
        <f>AV33*4.2%</f>
        <v>104426.28222288933</v>
      </c>
      <c r="AW37" s="24">
        <f>AW33*4.2%</f>
        <v>38057.416477500003</v>
      </c>
      <c r="BA37" s="24">
        <f>BA33*4.2%</f>
        <v>101434.17552206133</v>
      </c>
      <c r="BB37" s="24">
        <f>BB33*4.2%</f>
        <v>44300.097492000001</v>
      </c>
      <c r="BF37" s="24">
        <f>BF33*4.2%</f>
        <v>122454.36625504353</v>
      </c>
      <c r="BG37" s="24">
        <f>BG33*4.2%</f>
        <v>109481.2760662955</v>
      </c>
      <c r="BK37" s="24">
        <f>BK33*4.2%</f>
        <v>351296.20288600161</v>
      </c>
      <c r="BL37" s="24">
        <f>BL33*4.2%</f>
        <v>155441.43783000001</v>
      </c>
      <c r="BP37" s="24">
        <f>BP33*4.2%</f>
        <v>412152.91942544346</v>
      </c>
      <c r="BQ37" s="24">
        <f>BQ33*4.2%</f>
        <v>382349.13781288901</v>
      </c>
      <c r="BU37" s="24">
        <f>BU33*4.2%</f>
        <v>166527.00387479525</v>
      </c>
      <c r="BV37" s="24">
        <f>BV33*4.2%</f>
        <v>152600.25242868005</v>
      </c>
      <c r="BZ37" s="24">
        <f>BZ33*4.2%</f>
        <v>62304.096391153347</v>
      </c>
      <c r="CA37" s="24">
        <f>CA33*4.2%</f>
        <v>23460.120285000001</v>
      </c>
      <c r="CE37" s="24">
        <f>CE33*4.2%</f>
        <v>158788.45859814069</v>
      </c>
      <c r="CF37" s="24">
        <f>CF33*4.2%</f>
        <v>145786.40652468483</v>
      </c>
      <c r="CJ37" s="24">
        <f>CJ33*4.2%</f>
        <v>351336.35843702185</v>
      </c>
      <c r="CK37" s="24">
        <f>CK33*4.2%</f>
        <v>371817.38130001922</v>
      </c>
      <c r="CO37" s="24">
        <f>CO33*4.2%</f>
        <v>130767.0435372113</v>
      </c>
      <c r="CP37" s="24">
        <f>CP33*4.2%</f>
        <v>117219.89913790466</v>
      </c>
      <c r="CT37" s="24">
        <f>CT33*4.2%</f>
        <v>154801.80426674074</v>
      </c>
      <c r="CU37" s="24">
        <f>CU33*4.2%</f>
        <v>142036.02532170241</v>
      </c>
      <c r="CY37" s="24">
        <f>CY33*4.2%</f>
        <v>197732.55420409454</v>
      </c>
      <c r="CZ37" s="24">
        <f>CZ33*4.2%</f>
        <v>184715.6440035917</v>
      </c>
      <c r="DD37" s="24">
        <f>DD33*4.2%</f>
        <v>130661.47647675764</v>
      </c>
      <c r="DE37" s="24">
        <f>DE33*4.2%</f>
        <v>117844.85337434882</v>
      </c>
      <c r="DF37">
        <f>SUM(F37:DE37)</f>
        <v>7692870.8546201307</v>
      </c>
    </row>
    <row r="38" spans="1:112" ht="19.5" customHeight="1" x14ac:dyDescent="0.25">
      <c r="A38" s="3" t="s">
        <v>218</v>
      </c>
      <c r="B38" s="3"/>
      <c r="C38" s="3"/>
      <c r="D38" s="3"/>
    </row>
    <row r="39" spans="1:112" x14ac:dyDescent="0.25">
      <c r="A39" s="3" t="s">
        <v>192</v>
      </c>
      <c r="B39" s="3"/>
      <c r="C39" s="3"/>
      <c r="D39" s="3"/>
      <c r="H39" s="24">
        <f>H33-H34-H35-H36-H37</f>
        <v>891968.01211573486</v>
      </c>
      <c r="I39" s="24">
        <v>1473767.78</v>
      </c>
      <c r="M39" s="24">
        <v>0</v>
      </c>
      <c r="R39" s="24">
        <v>658000</v>
      </c>
      <c r="S39" s="24">
        <v>596823</v>
      </c>
      <c r="W39" s="186">
        <f>W33-W34-W35-W36-W37</f>
        <v>-97109.3555753002</v>
      </c>
      <c r="AB39" s="186">
        <f>AB33-AB34-AB35-AB36-AB37</f>
        <v>-29619.183786184702</v>
      </c>
      <c r="AG39" s="186">
        <f>AG33-AG34-AG35-AG36-AG37</f>
        <v>1833116.4691972923</v>
      </c>
      <c r="AH39" s="24">
        <f>1659767-89305.21</f>
        <v>1570461.79</v>
      </c>
      <c r="AL39" s="186">
        <f>AL33-AL34-AL35-AL36-AL37</f>
        <v>-830.79036294369143</v>
      </c>
      <c r="AQ39" s="186">
        <f>AQ33-AQ34-AQ35-AQ36-AQ37</f>
        <v>498774.29354238941</v>
      </c>
      <c r="AR39" s="24">
        <v>522112</v>
      </c>
      <c r="AV39" s="186">
        <v>0</v>
      </c>
      <c r="BA39" s="186">
        <f>BA33-BA34-BA35-BA36-BA37</f>
        <v>1940805.2416698749</v>
      </c>
      <c r="BB39" s="24">
        <f>2005601-94262.5</f>
        <v>1911338.5</v>
      </c>
      <c r="BF39" s="186">
        <f>BF33-BF34-BF35-BF36-BF37</f>
        <v>443725.78267456405</v>
      </c>
      <c r="BG39" s="24">
        <v>195550</v>
      </c>
      <c r="BK39" s="186">
        <f>BK33-BK34-BK35-BK36-BK37</f>
        <v>2110779.1039235597</v>
      </c>
      <c r="BL39" s="24">
        <v>1825547</v>
      </c>
      <c r="BP39" s="186">
        <f>BP33-BP34-BP35-BP36-BP37</f>
        <v>3325247.8287994</v>
      </c>
      <c r="BQ39" s="24">
        <f>2541962+158285</f>
        <v>2700247</v>
      </c>
      <c r="BU39" s="186">
        <f>BU33-BU34-BU35-BU36-BU37</f>
        <v>1636105.6598108055</v>
      </c>
      <c r="BV39" s="24">
        <f>1181333</f>
        <v>1181333</v>
      </c>
      <c r="BZ39" s="186">
        <v>1000000</v>
      </c>
      <c r="CA39" s="24">
        <v>1036852</v>
      </c>
      <c r="CE39" s="186">
        <f>CE33-CE34-CE35-CE36-CE37</f>
        <v>2470208.1270718756</v>
      </c>
      <c r="CF39" s="24">
        <v>2204693</v>
      </c>
      <c r="CJ39" s="186"/>
      <c r="CT39" s="186">
        <f>CT33-CT34-CT35-CT36-CT37</f>
        <v>910190.44017946743</v>
      </c>
      <c r="CU39" s="24">
        <v>218632</v>
      </c>
      <c r="CY39" s="186">
        <f>CY33-CY34-CY35-CY36-CY37</f>
        <v>1250186.4030362514</v>
      </c>
      <c r="CZ39" s="24">
        <f>1084700+29</f>
        <v>1084729</v>
      </c>
      <c r="DD39" s="186">
        <f>DD33-DD34-DD35-DD36-DD37</f>
        <v>1776078.0586841383</v>
      </c>
      <c r="DE39" s="24">
        <v>1514970</v>
      </c>
      <c r="DF39" s="19">
        <f>H39+R39+AG39+AQ39+BA39+BF39+BK39+BP39+BU39+BZ39+CE39+CT39+CY39+DD39</f>
        <v>20745185.420705352</v>
      </c>
    </row>
    <row r="40" spans="1:112" x14ac:dyDescent="0.25">
      <c r="A40" s="3"/>
      <c r="B40" s="3"/>
      <c r="C40" s="3"/>
      <c r="D40" s="3"/>
      <c r="H40" s="24">
        <f>H33-H34-H35-H36-H37-H39</f>
        <v>0</v>
      </c>
      <c r="I40" s="24">
        <f>I33-I34-I35-I36-I37-I39</f>
        <v>-7417.6228008477483</v>
      </c>
      <c r="J40" s="24">
        <f t="shared" ref="J40:CK40" si="115">J33-J34-J35-J36-J37-J39</f>
        <v>0</v>
      </c>
      <c r="K40" s="24">
        <f t="shared" si="115"/>
        <v>0</v>
      </c>
      <c r="L40" s="24">
        <f t="shared" si="115"/>
        <v>0</v>
      </c>
      <c r="M40" s="186">
        <f>M34-M33+M35-M39+M37-M38</f>
        <v>593839.56024533138</v>
      </c>
      <c r="N40" s="24">
        <f t="shared" si="115"/>
        <v>1.9256025552749634E-4</v>
      </c>
      <c r="O40" s="24">
        <f t="shared" si="115"/>
        <v>0</v>
      </c>
      <c r="P40" s="24">
        <f t="shared" si="115"/>
        <v>0</v>
      </c>
      <c r="Q40" s="24">
        <f t="shared" si="115"/>
        <v>0</v>
      </c>
      <c r="R40" s="186">
        <f>R34-R33+R35+R36+R37+R39-R38</f>
        <v>18789.205273604719</v>
      </c>
      <c r="S40" s="24">
        <f t="shared" si="115"/>
        <v>-12532.87454978656</v>
      </c>
      <c r="T40" s="24">
        <f t="shared" si="115"/>
        <v>0</v>
      </c>
      <c r="U40" s="24">
        <f t="shared" si="115"/>
        <v>0</v>
      </c>
      <c r="V40" s="24">
        <f t="shared" si="115"/>
        <v>0</v>
      </c>
      <c r="W40" s="24">
        <f t="shared" si="115"/>
        <v>0</v>
      </c>
      <c r="X40" s="24">
        <f t="shared" si="115"/>
        <v>-20976.660208217829</v>
      </c>
      <c r="Y40" s="24">
        <f t="shared" si="115"/>
        <v>0</v>
      </c>
      <c r="Z40" s="24">
        <f t="shared" si="115"/>
        <v>0</v>
      </c>
      <c r="AA40" s="24">
        <f t="shared" si="115"/>
        <v>0</v>
      </c>
      <c r="AB40" s="24">
        <f t="shared" si="115"/>
        <v>0</v>
      </c>
      <c r="AC40" s="24">
        <f t="shared" si="115"/>
        <v>-81768.600290664588</v>
      </c>
      <c r="AD40" s="24">
        <f t="shared" si="115"/>
        <v>0</v>
      </c>
      <c r="AE40" s="24">
        <f t="shared" si="115"/>
        <v>0</v>
      </c>
      <c r="AF40" s="24">
        <f t="shared" si="115"/>
        <v>0</v>
      </c>
      <c r="AG40" s="24">
        <f t="shared" si="115"/>
        <v>0</v>
      </c>
      <c r="AH40" s="24">
        <f t="shared" si="115"/>
        <v>-18518.970918353647</v>
      </c>
      <c r="AI40" s="24">
        <f t="shared" si="115"/>
        <v>0</v>
      </c>
      <c r="AJ40" s="24">
        <f t="shared" si="115"/>
        <v>0</v>
      </c>
      <c r="AK40" s="24">
        <f t="shared" si="115"/>
        <v>0</v>
      </c>
      <c r="AM40" s="24">
        <f t="shared" si="115"/>
        <v>-2851358.6356119863</v>
      </c>
      <c r="AN40" s="24">
        <f t="shared" si="115"/>
        <v>0</v>
      </c>
      <c r="AO40" s="24">
        <f t="shared" si="115"/>
        <v>0</v>
      </c>
      <c r="AP40" s="24">
        <f t="shared" si="115"/>
        <v>0</v>
      </c>
      <c r="AR40" s="24">
        <f t="shared" si="115"/>
        <v>193166.3098083972</v>
      </c>
      <c r="AS40" s="24">
        <f t="shared" si="115"/>
        <v>0</v>
      </c>
      <c r="AT40" s="24">
        <f t="shared" si="115"/>
        <v>0</v>
      </c>
      <c r="AU40" s="24">
        <f t="shared" si="115"/>
        <v>0</v>
      </c>
      <c r="AW40" s="24">
        <f t="shared" si="115"/>
        <v>-1500375.08275331</v>
      </c>
      <c r="AX40" s="24">
        <f t="shared" si="115"/>
        <v>0</v>
      </c>
      <c r="AY40" s="24">
        <f t="shared" si="115"/>
        <v>0</v>
      </c>
      <c r="AZ40" s="24">
        <f t="shared" si="115"/>
        <v>0</v>
      </c>
      <c r="BB40" s="24">
        <f t="shared" si="115"/>
        <v>-1257263.559260475</v>
      </c>
      <c r="BC40" s="24">
        <f t="shared" si="115"/>
        <v>0</v>
      </c>
      <c r="BD40" s="24">
        <f t="shared" si="115"/>
        <v>0</v>
      </c>
      <c r="BE40" s="24">
        <f t="shared" si="115"/>
        <v>0</v>
      </c>
      <c r="BG40" s="24">
        <f t="shared" si="115"/>
        <v>1049.8771506023477</v>
      </c>
      <c r="BH40" s="24">
        <f t="shared" si="115"/>
        <v>0</v>
      </c>
      <c r="BI40" s="24">
        <f t="shared" si="115"/>
        <v>0</v>
      </c>
      <c r="BJ40" s="24">
        <f t="shared" si="115"/>
        <v>0</v>
      </c>
      <c r="BL40" s="24">
        <f t="shared" si="115"/>
        <v>-3925478.6422951738</v>
      </c>
      <c r="BM40" s="24">
        <f t="shared" si="115"/>
        <v>0</v>
      </c>
      <c r="BN40" s="24">
        <f t="shared" si="115"/>
        <v>0</v>
      </c>
      <c r="BO40" s="24">
        <f t="shared" si="115"/>
        <v>0</v>
      </c>
      <c r="BQ40" s="24">
        <f t="shared" si="115"/>
        <v>1137294.5929249199</v>
      </c>
      <c r="BR40" s="24">
        <f t="shared" si="115"/>
        <v>0</v>
      </c>
      <c r="BS40" s="24">
        <f t="shared" si="115"/>
        <v>0</v>
      </c>
      <c r="BT40" s="24">
        <f t="shared" si="115"/>
        <v>0</v>
      </c>
      <c r="BV40" s="24">
        <f t="shared" si="115"/>
        <v>11.018277871189639</v>
      </c>
      <c r="BW40" s="24">
        <f t="shared" si="115"/>
        <v>0</v>
      </c>
      <c r="BX40" s="24">
        <f t="shared" si="115"/>
        <v>0</v>
      </c>
      <c r="BY40" s="24">
        <f t="shared" si="115"/>
        <v>0</v>
      </c>
      <c r="CA40" s="24">
        <f t="shared" si="115"/>
        <v>-1463488.4474347592</v>
      </c>
      <c r="CB40" s="24">
        <f t="shared" si="115"/>
        <v>0</v>
      </c>
      <c r="CC40" s="24">
        <f t="shared" si="115"/>
        <v>0</v>
      </c>
      <c r="CD40" s="24">
        <f t="shared" si="115"/>
        <v>0</v>
      </c>
      <c r="CF40" s="24">
        <f t="shared" si="115"/>
        <v>5047.3479840005748</v>
      </c>
      <c r="CG40" s="24">
        <f t="shared" si="115"/>
        <v>0</v>
      </c>
      <c r="CH40" s="24">
        <f t="shared" si="115"/>
        <v>0</v>
      </c>
      <c r="CI40" s="24">
        <f t="shared" si="115"/>
        <v>0</v>
      </c>
      <c r="CK40" s="24">
        <f t="shared" si="115"/>
        <v>143307.59279182152</v>
      </c>
      <c r="CL40" s="24">
        <f t="shared" ref="CL40:DC40" si="116">CL33-CL34-CL35-CL36-CL37-CL39</f>
        <v>0</v>
      </c>
      <c r="CM40" s="24">
        <f t="shared" si="116"/>
        <v>0</v>
      </c>
      <c r="CN40" s="24">
        <f t="shared" si="116"/>
        <v>0</v>
      </c>
      <c r="CO40" s="186">
        <f>CO33-CO34-CO35-CO36-CO37</f>
        <v>4103.9930630576127</v>
      </c>
      <c r="CP40" s="24">
        <f>CP33-CP34-CP35-CP36-CP37-CP39</f>
        <v>-35694.536192783999</v>
      </c>
      <c r="CQ40" s="24">
        <f t="shared" si="116"/>
        <v>0</v>
      </c>
      <c r="CR40" s="24">
        <f t="shared" si="116"/>
        <v>0</v>
      </c>
      <c r="CS40" s="24">
        <f t="shared" si="116"/>
        <v>0</v>
      </c>
      <c r="CU40" s="24">
        <f t="shared" si="116"/>
        <v>-17823.453960824467</v>
      </c>
      <c r="CV40" s="24">
        <f t="shared" si="116"/>
        <v>0</v>
      </c>
      <c r="CW40" s="24">
        <f t="shared" si="116"/>
        <v>0</v>
      </c>
      <c r="CX40" s="24">
        <f t="shared" si="116"/>
        <v>0</v>
      </c>
      <c r="CZ40" s="24">
        <f t="shared" si="116"/>
        <v>-33506.272110851016</v>
      </c>
      <c r="DA40" s="24">
        <f t="shared" si="116"/>
        <v>0</v>
      </c>
      <c r="DB40" s="24">
        <f t="shared" si="116"/>
        <v>0</v>
      </c>
      <c r="DC40" s="24">
        <f t="shared" si="116"/>
        <v>0</v>
      </c>
      <c r="DE40" s="24">
        <f>DE33-DE34-DE35-DE36-DE37-DE39</f>
        <v>-9788.37944135</v>
      </c>
      <c r="DF40">
        <f>SUM(F40:DE40)</f>
        <v>-9139382.2401172183</v>
      </c>
    </row>
    <row r="41" spans="1:112" x14ac:dyDescent="0.25">
      <c r="A41" s="3"/>
      <c r="B41" s="3"/>
      <c r="C41" s="3"/>
      <c r="D41" s="3"/>
    </row>
    <row r="42" spans="1:112" x14ac:dyDescent="0.25">
      <c r="A42" s="3"/>
      <c r="B42" s="3"/>
      <c r="C42" s="3"/>
      <c r="D42" s="3"/>
    </row>
    <row r="43" spans="1:112" x14ac:dyDescent="0.25">
      <c r="A43" s="3"/>
      <c r="B43" s="3"/>
      <c r="C43" s="3"/>
      <c r="D43" s="3"/>
      <c r="M43" s="186"/>
    </row>
    <row r="44" spans="1:112" x14ac:dyDescent="0.25">
      <c r="A44" s="3"/>
      <c r="B44" s="3"/>
      <c r="C44" s="3"/>
      <c r="D44" s="3"/>
    </row>
    <row r="45" spans="1:112" x14ac:dyDescent="0.25">
      <c r="A45" s="3"/>
      <c r="B45" s="3"/>
      <c r="C45" s="3"/>
      <c r="D45" s="3"/>
    </row>
    <row r="46" spans="1:112" x14ac:dyDescent="0.25">
      <c r="A46" s="3"/>
      <c r="B46" s="3"/>
      <c r="C46" s="3"/>
      <c r="D46" s="3"/>
    </row>
    <row r="47" spans="1:112" x14ac:dyDescent="0.25">
      <c r="A47" s="3"/>
      <c r="B47" s="3"/>
      <c r="C47" s="3"/>
      <c r="D47" s="3"/>
    </row>
    <row r="48" spans="1:112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</sheetData>
  <mergeCells count="23">
    <mergeCell ref="F4:I5"/>
    <mergeCell ref="B4:B6"/>
    <mergeCell ref="D4:D6"/>
    <mergeCell ref="BN4:BQ5"/>
    <mergeCell ref="AY4:BB5"/>
    <mergeCell ref="BD4:BG5"/>
    <mergeCell ref="BI4:BL5"/>
    <mergeCell ref="AJ4:AM5"/>
    <mergeCell ref="AO4:AR5"/>
    <mergeCell ref="AT4:AW5"/>
    <mergeCell ref="K4:N5"/>
    <mergeCell ref="P4:S5"/>
    <mergeCell ref="U4:X5"/>
    <mergeCell ref="Z4:AC5"/>
    <mergeCell ref="AE4:AH5"/>
    <mergeCell ref="CW4:CZ5"/>
    <mergeCell ref="DB4:DE5"/>
    <mergeCell ref="BS4:BV5"/>
    <mergeCell ref="BX4:CA5"/>
    <mergeCell ref="CC4:CF5"/>
    <mergeCell ref="CH4:CK5"/>
    <mergeCell ref="CM4:CP5"/>
    <mergeCell ref="CR4:CU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78"/>
  <sheetViews>
    <sheetView workbookViewId="0">
      <selection activeCell="A271" sqref="A270:D278"/>
    </sheetView>
  </sheetViews>
  <sheetFormatPr defaultRowHeight="15" x14ac:dyDescent="0.25"/>
  <cols>
    <col min="3" max="3" width="54.28515625" customWidth="1"/>
    <col min="4" max="4" width="17.28515625" customWidth="1"/>
    <col min="5" max="7" width="0" hidden="1" customWidth="1"/>
    <col min="8" max="9" width="9.140625" hidden="1" customWidth="1"/>
    <col min="10" max="10" width="0" hidden="1" customWidth="1"/>
    <col min="11" max="11" width="0.140625" customWidth="1"/>
    <col min="12" max="12" width="18.28515625" customWidth="1"/>
    <col min="13" max="13" width="15.7109375" customWidth="1"/>
    <col min="14" max="14" width="19" customWidth="1"/>
  </cols>
  <sheetData>
    <row r="1" spans="1:13" x14ac:dyDescent="0.25">
      <c r="A1" s="16" t="s">
        <v>46</v>
      </c>
      <c r="B1" s="17">
        <v>212.22200000000001</v>
      </c>
      <c r="C1" s="17"/>
      <c r="D1" s="18"/>
      <c r="E1" s="18"/>
      <c r="F1" s="18"/>
      <c r="G1" s="18"/>
      <c r="H1" s="18"/>
      <c r="I1" s="18"/>
      <c r="J1" s="18"/>
      <c r="K1" s="18"/>
      <c r="L1" s="18" t="s">
        <v>47</v>
      </c>
      <c r="M1" s="18"/>
    </row>
    <row r="2" spans="1:13" ht="45" x14ac:dyDescent="0.25">
      <c r="A2" s="16"/>
      <c r="B2" s="17" t="s">
        <v>24</v>
      </c>
      <c r="C2" s="17" t="s">
        <v>29</v>
      </c>
      <c r="D2" s="18"/>
      <c r="E2" s="18"/>
      <c r="F2" s="18"/>
      <c r="G2" s="18"/>
      <c r="H2" s="18"/>
      <c r="I2" s="18"/>
      <c r="J2" s="18"/>
      <c r="K2" s="20">
        <v>3720</v>
      </c>
      <c r="L2" s="18">
        <v>540</v>
      </c>
      <c r="M2" s="20"/>
    </row>
    <row r="4" spans="1:13" x14ac:dyDescent="0.25">
      <c r="A4">
        <v>852</v>
      </c>
    </row>
    <row r="5" spans="1:13" ht="45" x14ac:dyDescent="0.25">
      <c r="A5" s="16"/>
      <c r="B5" s="17" t="s">
        <v>24</v>
      </c>
      <c r="C5" s="17" t="s">
        <v>25</v>
      </c>
      <c r="D5" s="20">
        <v>4425</v>
      </c>
    </row>
    <row r="6" spans="1:13" ht="45" x14ac:dyDescent="0.25">
      <c r="A6" s="16"/>
      <c r="B6" s="17" t="s">
        <v>24</v>
      </c>
      <c r="C6" s="17" t="s">
        <v>26</v>
      </c>
      <c r="D6" s="20">
        <v>1050</v>
      </c>
    </row>
    <row r="7" spans="1:13" ht="45" x14ac:dyDescent="0.25">
      <c r="A7" s="16"/>
      <c r="B7" s="17" t="s">
        <v>24</v>
      </c>
      <c r="C7" s="17" t="s">
        <v>27</v>
      </c>
      <c r="D7" s="20">
        <v>8452</v>
      </c>
    </row>
    <row r="8" spans="1:13" ht="45" x14ac:dyDescent="0.25">
      <c r="A8" s="16"/>
      <c r="B8" s="17" t="s">
        <v>24</v>
      </c>
      <c r="C8" s="17" t="s">
        <v>28</v>
      </c>
      <c r="D8" s="20">
        <v>6000</v>
      </c>
    </row>
    <row r="9" spans="1:13" ht="45" x14ac:dyDescent="0.25">
      <c r="A9" s="16"/>
      <c r="B9" s="17" t="s">
        <v>24</v>
      </c>
      <c r="C9" s="17" t="s">
        <v>29</v>
      </c>
      <c r="D9" s="20">
        <v>101624</v>
      </c>
    </row>
    <row r="10" spans="1:13" ht="45" x14ac:dyDescent="0.25">
      <c r="A10" s="16"/>
      <c r="B10" s="17" t="s">
        <v>24</v>
      </c>
      <c r="C10" s="17" t="s">
        <v>30</v>
      </c>
      <c r="D10" s="20">
        <v>4481</v>
      </c>
    </row>
    <row r="11" spans="1:13" ht="45" x14ac:dyDescent="0.25">
      <c r="A11" s="16"/>
      <c r="B11" s="17" t="s">
        <v>24</v>
      </c>
      <c r="C11" s="17" t="s">
        <v>31</v>
      </c>
      <c r="D11" s="20">
        <v>4675</v>
      </c>
    </row>
    <row r="12" spans="1:13" ht="45" x14ac:dyDescent="0.25">
      <c r="A12" s="16"/>
      <c r="B12" s="17" t="s">
        <v>24</v>
      </c>
      <c r="C12" s="17" t="s">
        <v>32</v>
      </c>
      <c r="D12" s="20">
        <v>6853</v>
      </c>
    </row>
    <row r="13" spans="1:13" ht="45" x14ac:dyDescent="0.25">
      <c r="A13" s="16"/>
      <c r="B13" s="17" t="s">
        <v>24</v>
      </c>
      <c r="C13" s="17" t="s">
        <v>33</v>
      </c>
      <c r="D13" s="20">
        <v>1136</v>
      </c>
    </row>
    <row r="14" spans="1:13" ht="45" x14ac:dyDescent="0.25">
      <c r="A14" s="16"/>
      <c r="B14" s="17" t="s">
        <v>24</v>
      </c>
      <c r="C14" s="17" t="s">
        <v>34</v>
      </c>
      <c r="D14" s="18"/>
    </row>
    <row r="15" spans="1:13" ht="45" x14ac:dyDescent="0.25">
      <c r="A15" s="16"/>
      <c r="B15" s="17" t="s">
        <v>24</v>
      </c>
      <c r="C15" s="17" t="s">
        <v>35</v>
      </c>
      <c r="D15" s="18"/>
    </row>
    <row r="16" spans="1:13" ht="45" x14ac:dyDescent="0.25">
      <c r="A16" s="16"/>
      <c r="B16" s="17" t="s">
        <v>24</v>
      </c>
      <c r="C16" s="17" t="s">
        <v>36</v>
      </c>
      <c r="D16" s="20">
        <f>27885+480</f>
        <v>28365</v>
      </c>
    </row>
    <row r="17" spans="1:13" ht="45" x14ac:dyDescent="0.25">
      <c r="A17" s="16"/>
      <c r="B17" s="17" t="s">
        <v>24</v>
      </c>
      <c r="C17" s="17" t="s">
        <v>37</v>
      </c>
      <c r="D17" s="20">
        <v>8694</v>
      </c>
    </row>
    <row r="18" spans="1:13" ht="45" x14ac:dyDescent="0.25">
      <c r="A18" s="16"/>
      <c r="B18" s="17" t="s">
        <v>24</v>
      </c>
      <c r="C18" s="17" t="s">
        <v>38</v>
      </c>
      <c r="D18" s="20">
        <v>9788</v>
      </c>
    </row>
    <row r="19" spans="1:13" ht="45" x14ac:dyDescent="0.25">
      <c r="A19" s="16"/>
      <c r="B19" s="17" t="s">
        <v>24</v>
      </c>
      <c r="C19" s="17" t="s">
        <v>39</v>
      </c>
      <c r="D19" s="18">
        <v>1710</v>
      </c>
    </row>
    <row r="20" spans="1:13" ht="45" x14ac:dyDescent="0.25">
      <c r="A20" s="16"/>
      <c r="B20" s="17" t="s">
        <v>24</v>
      </c>
      <c r="C20" s="17" t="s">
        <v>40</v>
      </c>
      <c r="D20" s="20">
        <v>1120</v>
      </c>
    </row>
    <row r="21" spans="1:13" ht="45" x14ac:dyDescent="0.25">
      <c r="A21" s="16"/>
      <c r="B21" s="17" t="s">
        <v>24</v>
      </c>
      <c r="C21" s="17" t="s">
        <v>41</v>
      </c>
      <c r="D21" s="18">
        <v>2576</v>
      </c>
    </row>
    <row r="22" spans="1:13" ht="45" x14ac:dyDescent="0.25">
      <c r="A22" s="16"/>
      <c r="B22" s="17" t="s">
        <v>24</v>
      </c>
      <c r="C22" s="17" t="s">
        <v>42</v>
      </c>
      <c r="D22" s="20">
        <v>4053</v>
      </c>
    </row>
    <row r="23" spans="1:13" ht="45" x14ac:dyDescent="0.25">
      <c r="A23" s="16"/>
      <c r="B23" s="17" t="s">
        <v>24</v>
      </c>
      <c r="C23" s="17" t="s">
        <v>43</v>
      </c>
      <c r="D23" s="20">
        <v>1120</v>
      </c>
    </row>
    <row r="24" spans="1:13" ht="45" x14ac:dyDescent="0.25">
      <c r="A24" s="16"/>
      <c r="B24" s="17" t="s">
        <v>24</v>
      </c>
      <c r="C24" s="17" t="s">
        <v>44</v>
      </c>
      <c r="D24" s="20">
        <v>7005</v>
      </c>
    </row>
    <row r="25" spans="1:13" ht="45" x14ac:dyDescent="0.25">
      <c r="A25" s="16"/>
      <c r="B25" s="17" t="s">
        <v>24</v>
      </c>
      <c r="C25" s="17" t="s">
        <v>45</v>
      </c>
      <c r="D25" s="20">
        <v>2665.45</v>
      </c>
    </row>
    <row r="27" spans="1:13" x14ac:dyDescent="0.25">
      <c r="A27">
        <v>503</v>
      </c>
    </row>
    <row r="28" spans="1:13" ht="45" x14ac:dyDescent="0.25">
      <c r="A28" s="16"/>
      <c r="B28" s="17" t="s">
        <v>24</v>
      </c>
      <c r="C28" s="17" t="s">
        <v>25</v>
      </c>
      <c r="D28" s="18"/>
      <c r="E28" s="18"/>
      <c r="F28" s="18"/>
      <c r="G28" s="18"/>
      <c r="H28" s="18"/>
      <c r="I28" s="18"/>
      <c r="J28" s="18"/>
      <c r="K28" s="18"/>
      <c r="L28" s="210" t="s">
        <v>48</v>
      </c>
      <c r="M28" s="211"/>
    </row>
    <row r="29" spans="1:13" ht="45" x14ac:dyDescent="0.25">
      <c r="A29" s="16"/>
      <c r="B29" s="17" t="s">
        <v>24</v>
      </c>
      <c r="C29" s="17" t="s">
        <v>26</v>
      </c>
      <c r="D29" s="18"/>
      <c r="E29" s="18"/>
      <c r="F29" s="18"/>
      <c r="G29" s="18"/>
      <c r="H29" s="18"/>
      <c r="I29" s="18"/>
      <c r="J29" s="18"/>
      <c r="K29" s="20">
        <v>11100</v>
      </c>
      <c r="L29" s="20">
        <v>11100</v>
      </c>
      <c r="M29" s="18"/>
    </row>
    <row r="30" spans="1:13" ht="45" x14ac:dyDescent="0.25">
      <c r="A30" s="16"/>
      <c r="B30" s="17" t="s">
        <v>24</v>
      </c>
      <c r="C30" s="17" t="s">
        <v>27</v>
      </c>
      <c r="D30" s="18"/>
      <c r="E30" s="18"/>
      <c r="F30" s="18"/>
      <c r="G30" s="18"/>
      <c r="H30" s="18"/>
      <c r="I30" s="18"/>
      <c r="J30" s="18"/>
      <c r="K30" s="18"/>
      <c r="L30" s="18"/>
      <c r="M30" s="20">
        <v>36313.67</v>
      </c>
    </row>
    <row r="31" spans="1:13" ht="45" x14ac:dyDescent="0.25">
      <c r="A31" s="16"/>
      <c r="B31" s="17" t="s">
        <v>24</v>
      </c>
      <c r="C31" s="17" t="s">
        <v>28</v>
      </c>
      <c r="D31" s="18"/>
      <c r="E31" s="18"/>
      <c r="F31" s="18"/>
      <c r="G31" s="18"/>
      <c r="H31" s="18"/>
      <c r="I31" s="18"/>
      <c r="J31" s="18"/>
      <c r="K31" s="20">
        <v>20000</v>
      </c>
      <c r="L31" s="20">
        <v>20000</v>
      </c>
      <c r="M31" s="18"/>
    </row>
    <row r="32" spans="1:13" ht="45" x14ac:dyDescent="0.25">
      <c r="A32" s="16"/>
      <c r="B32" s="17" t="s">
        <v>24</v>
      </c>
      <c r="C32" s="17" t="s">
        <v>29</v>
      </c>
      <c r="D32" s="18"/>
      <c r="E32" s="18"/>
      <c r="F32" s="18"/>
      <c r="G32" s="18"/>
      <c r="H32" s="18"/>
      <c r="I32" s="18"/>
      <c r="J32" s="18"/>
      <c r="K32" s="18"/>
      <c r="L32" s="18">
        <v>753000</v>
      </c>
      <c r="M32" s="18"/>
    </row>
    <row r="33" spans="1:13" ht="45" x14ac:dyDescent="0.25">
      <c r="A33" s="16"/>
      <c r="B33" s="17" t="s">
        <v>24</v>
      </c>
      <c r="C33" s="17" t="s">
        <v>30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45" x14ac:dyDescent="0.25">
      <c r="A34" s="16"/>
      <c r="B34" s="17" t="s">
        <v>24</v>
      </c>
      <c r="C34" s="17" t="s">
        <v>31</v>
      </c>
      <c r="D34" s="18"/>
      <c r="E34" s="18"/>
      <c r="F34" s="18"/>
      <c r="G34" s="18"/>
      <c r="H34" s="18"/>
      <c r="I34" s="18"/>
      <c r="J34" s="18"/>
      <c r="K34" s="20">
        <v>13600</v>
      </c>
      <c r="L34" s="20">
        <v>13600</v>
      </c>
      <c r="M34" s="20">
        <v>50000</v>
      </c>
    </row>
    <row r="35" spans="1:13" ht="45" x14ac:dyDescent="0.25">
      <c r="A35" s="16"/>
      <c r="B35" s="17" t="s">
        <v>24</v>
      </c>
      <c r="C35" s="17" t="s">
        <v>32</v>
      </c>
      <c r="D35" s="18"/>
      <c r="E35" s="18"/>
      <c r="F35" s="18"/>
      <c r="G35" s="18"/>
      <c r="H35" s="18"/>
      <c r="I35" s="18"/>
      <c r="J35" s="18"/>
      <c r="K35" s="20">
        <v>15000</v>
      </c>
      <c r="L35" s="20">
        <v>15000</v>
      </c>
      <c r="M35" s="18"/>
    </row>
    <row r="36" spans="1:13" ht="45" x14ac:dyDescent="0.25">
      <c r="A36" s="16"/>
      <c r="B36" s="17" t="s">
        <v>24</v>
      </c>
      <c r="C36" s="17" t="s">
        <v>33</v>
      </c>
      <c r="D36" s="18"/>
      <c r="E36" s="18"/>
      <c r="F36" s="18"/>
      <c r="G36" s="18"/>
      <c r="H36" s="18"/>
      <c r="I36" s="18"/>
      <c r="J36" s="18"/>
      <c r="K36" s="20">
        <v>15000</v>
      </c>
      <c r="L36" s="20">
        <v>15000</v>
      </c>
      <c r="M36" s="20">
        <v>44254</v>
      </c>
    </row>
    <row r="37" spans="1:13" ht="45" x14ac:dyDescent="0.25">
      <c r="A37" s="16"/>
      <c r="B37" s="17" t="s">
        <v>24</v>
      </c>
      <c r="C37" s="17" t="s">
        <v>34</v>
      </c>
      <c r="D37" s="18"/>
      <c r="E37" s="18"/>
      <c r="F37" s="18"/>
      <c r="G37" s="18"/>
      <c r="H37" s="18"/>
      <c r="I37" s="18"/>
      <c r="J37" s="18"/>
      <c r="K37" s="20">
        <v>6800</v>
      </c>
      <c r="L37" s="20">
        <v>6800</v>
      </c>
      <c r="M37" s="18"/>
    </row>
    <row r="38" spans="1:13" ht="45" x14ac:dyDescent="0.25">
      <c r="A38" s="16"/>
      <c r="B38" s="17" t="s">
        <v>24</v>
      </c>
      <c r="C38" s="17" t="s">
        <v>35</v>
      </c>
      <c r="D38" s="18"/>
      <c r="E38" s="18"/>
      <c r="F38" s="18"/>
      <c r="G38" s="18"/>
      <c r="H38" s="18"/>
      <c r="I38" s="18"/>
      <c r="J38" s="18"/>
      <c r="K38" s="20">
        <v>13600</v>
      </c>
      <c r="L38" s="20">
        <v>13600</v>
      </c>
      <c r="M38" s="18"/>
    </row>
    <row r="39" spans="1:13" ht="45" x14ac:dyDescent="0.25">
      <c r="A39" s="16"/>
      <c r="B39" s="17" t="s">
        <v>24</v>
      </c>
      <c r="C39" s="17" t="s">
        <v>36</v>
      </c>
      <c r="D39" s="18"/>
      <c r="E39" s="18"/>
      <c r="F39" s="18"/>
      <c r="G39" s="18"/>
      <c r="H39" s="18"/>
      <c r="I39" s="18"/>
      <c r="J39" s="18"/>
      <c r="K39" s="20">
        <v>20500</v>
      </c>
      <c r="L39" s="20">
        <v>20500</v>
      </c>
      <c r="M39" s="18"/>
    </row>
    <row r="40" spans="1:13" ht="45" x14ac:dyDescent="0.25">
      <c r="A40" s="16"/>
      <c r="B40" s="17" t="s">
        <v>24</v>
      </c>
      <c r="C40" s="17" t="s">
        <v>37</v>
      </c>
      <c r="D40" s="18"/>
      <c r="E40" s="18"/>
      <c r="F40" s="18"/>
      <c r="G40" s="18"/>
      <c r="H40" s="18"/>
      <c r="I40" s="18"/>
      <c r="J40" s="18"/>
      <c r="K40" s="20">
        <v>23700</v>
      </c>
      <c r="L40" s="20">
        <v>23700</v>
      </c>
      <c r="M40" s="18"/>
    </row>
    <row r="41" spans="1:13" ht="45" x14ac:dyDescent="0.25">
      <c r="A41" s="16"/>
      <c r="B41" s="17" t="s">
        <v>24</v>
      </c>
      <c r="C41" s="17" t="s">
        <v>38</v>
      </c>
      <c r="D41" s="18"/>
      <c r="E41" s="18"/>
      <c r="F41" s="18"/>
      <c r="G41" s="18"/>
      <c r="H41" s="18"/>
      <c r="I41" s="18"/>
      <c r="J41" s="18"/>
      <c r="K41" s="20">
        <v>19900</v>
      </c>
      <c r="L41" s="20">
        <v>19900</v>
      </c>
      <c r="M41" s="18"/>
    </row>
    <row r="42" spans="1:13" ht="45" x14ac:dyDescent="0.25">
      <c r="A42" s="16"/>
      <c r="B42" s="17" t="s">
        <v>24</v>
      </c>
      <c r="C42" s="17" t="s">
        <v>39</v>
      </c>
      <c r="D42" s="18"/>
      <c r="E42" s="18"/>
      <c r="F42" s="18"/>
      <c r="G42" s="18"/>
      <c r="H42" s="18"/>
      <c r="I42" s="18"/>
      <c r="J42" s="18"/>
      <c r="K42" s="20">
        <v>10200</v>
      </c>
      <c r="L42" s="20">
        <v>10200</v>
      </c>
      <c r="M42" s="18"/>
    </row>
    <row r="43" spans="1:13" ht="45" x14ac:dyDescent="0.25">
      <c r="A43" s="16"/>
      <c r="B43" s="17" t="s">
        <v>24</v>
      </c>
      <c r="C43" s="17" t="s">
        <v>40</v>
      </c>
      <c r="D43" s="18"/>
      <c r="E43" s="18"/>
      <c r="F43" s="18"/>
      <c r="G43" s="18"/>
      <c r="H43" s="18"/>
      <c r="I43" s="18"/>
      <c r="J43" s="18"/>
      <c r="K43" s="20">
        <v>10800</v>
      </c>
      <c r="L43" s="20">
        <v>10800</v>
      </c>
      <c r="M43" s="18"/>
    </row>
    <row r="44" spans="1:13" ht="45" x14ac:dyDescent="0.25">
      <c r="A44" s="16"/>
      <c r="B44" s="17" t="s">
        <v>24</v>
      </c>
      <c r="C44" s="17" t="s">
        <v>41</v>
      </c>
      <c r="D44" s="18"/>
      <c r="E44" s="18"/>
      <c r="F44" s="18"/>
      <c r="G44" s="18"/>
      <c r="H44" s="18"/>
      <c r="I44" s="18"/>
      <c r="J44" s="18"/>
      <c r="K44" s="20">
        <v>21000</v>
      </c>
      <c r="L44" s="20">
        <v>21000</v>
      </c>
      <c r="M44" s="20">
        <v>612945.09</v>
      </c>
    </row>
    <row r="45" spans="1:13" ht="45" x14ac:dyDescent="0.25">
      <c r="A45" s="16"/>
      <c r="B45" s="17" t="s">
        <v>24</v>
      </c>
      <c r="C45" s="17" t="s">
        <v>42</v>
      </c>
      <c r="D45" s="18"/>
      <c r="E45" s="18"/>
      <c r="F45" s="18"/>
      <c r="G45" s="18"/>
      <c r="H45" s="18"/>
      <c r="I45" s="18"/>
      <c r="J45" s="18"/>
      <c r="K45" s="20">
        <v>21100</v>
      </c>
      <c r="L45" s="20">
        <v>21100</v>
      </c>
      <c r="M45" s="18"/>
    </row>
    <row r="46" spans="1:13" ht="45" x14ac:dyDescent="0.25">
      <c r="A46" s="16"/>
      <c r="B46" s="17" t="s">
        <v>24</v>
      </c>
      <c r="C46" s="17" t="s">
        <v>43</v>
      </c>
      <c r="D46" s="18"/>
      <c r="E46" s="18"/>
      <c r="F46" s="18"/>
      <c r="G46" s="18"/>
      <c r="H46" s="18"/>
      <c r="I46" s="18"/>
      <c r="J46" s="18"/>
      <c r="K46" s="20">
        <v>10200</v>
      </c>
      <c r="L46" s="20">
        <v>10200</v>
      </c>
      <c r="M46" s="18"/>
    </row>
    <row r="47" spans="1:13" ht="45" x14ac:dyDescent="0.25">
      <c r="A47" s="16"/>
      <c r="B47" s="17" t="s">
        <v>24</v>
      </c>
      <c r="C47" s="17" t="s">
        <v>44</v>
      </c>
      <c r="D47" s="18"/>
      <c r="E47" s="18"/>
      <c r="F47" s="18"/>
      <c r="G47" s="18"/>
      <c r="H47" s="18"/>
      <c r="I47" s="18"/>
      <c r="J47" s="18"/>
      <c r="K47" s="20">
        <v>18200</v>
      </c>
      <c r="L47" s="20">
        <v>18200</v>
      </c>
      <c r="M47" s="20">
        <v>65000</v>
      </c>
    </row>
    <row r="48" spans="1:13" ht="45" x14ac:dyDescent="0.25">
      <c r="A48" s="16"/>
      <c r="B48" s="17" t="s">
        <v>24</v>
      </c>
      <c r="C48" s="17" t="s">
        <v>45</v>
      </c>
      <c r="D48" s="18"/>
      <c r="E48" s="18"/>
      <c r="F48" s="18"/>
      <c r="G48" s="18"/>
      <c r="H48" s="18"/>
      <c r="I48" s="18"/>
      <c r="J48" s="18"/>
      <c r="K48" s="20">
        <v>13600</v>
      </c>
      <c r="L48" s="20">
        <v>13600</v>
      </c>
      <c r="M48" s="18"/>
    </row>
    <row r="49" spans="1:13" x14ac:dyDescent="0.25">
      <c r="L49">
        <f>SUM(L28:L48)</f>
        <v>1017300</v>
      </c>
    </row>
    <row r="50" spans="1:13" x14ac:dyDescent="0.25">
      <c r="A50" t="s">
        <v>50</v>
      </c>
    </row>
    <row r="51" spans="1:13" ht="45" x14ac:dyDescent="0.25">
      <c r="A51" s="16"/>
      <c r="B51" s="17" t="s">
        <v>24</v>
      </c>
      <c r="C51" s="17" t="s">
        <v>25</v>
      </c>
      <c r="D51" s="18"/>
      <c r="E51" s="18"/>
      <c r="F51" s="18"/>
      <c r="G51" s="18"/>
      <c r="H51" s="18"/>
      <c r="I51" s="18"/>
      <c r="J51" s="18"/>
      <c r="K51" s="20">
        <v>1000</v>
      </c>
      <c r="L51" s="18"/>
      <c r="M51" s="20">
        <v>1000</v>
      </c>
    </row>
    <row r="52" spans="1:13" ht="45" x14ac:dyDescent="0.25">
      <c r="A52" s="16"/>
      <c r="B52" s="17" t="s">
        <v>24</v>
      </c>
      <c r="C52" s="17" t="s">
        <v>26</v>
      </c>
      <c r="D52" s="18"/>
      <c r="E52" s="18"/>
      <c r="F52" s="18"/>
      <c r="G52" s="18"/>
      <c r="H52" s="18"/>
      <c r="I52" s="18"/>
      <c r="J52" s="18"/>
      <c r="K52" s="20">
        <v>10500</v>
      </c>
      <c r="L52" s="18"/>
      <c r="M52" s="20">
        <v>10500</v>
      </c>
    </row>
    <row r="53" spans="1:13" ht="45" x14ac:dyDescent="0.25">
      <c r="A53" s="16"/>
      <c r="B53" s="17" t="s">
        <v>24</v>
      </c>
      <c r="C53" s="17" t="s">
        <v>27</v>
      </c>
      <c r="D53" s="18"/>
      <c r="E53" s="18"/>
      <c r="F53" s="18"/>
      <c r="G53" s="18"/>
      <c r="H53" s="18"/>
      <c r="I53" s="18"/>
      <c r="J53" s="18"/>
      <c r="K53" s="20">
        <v>15000</v>
      </c>
      <c r="L53" s="18"/>
      <c r="M53" s="20">
        <v>15000</v>
      </c>
    </row>
    <row r="54" spans="1:13" ht="45" x14ac:dyDescent="0.25">
      <c r="A54" s="16"/>
      <c r="B54" s="17" t="s">
        <v>24</v>
      </c>
      <c r="C54" s="17" t="s">
        <v>28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45" x14ac:dyDescent="0.25">
      <c r="A55" s="16"/>
      <c r="B55" s="17" t="s">
        <v>24</v>
      </c>
      <c r="C55" s="17" t="s">
        <v>29</v>
      </c>
      <c r="D55" s="18"/>
      <c r="E55" s="18"/>
      <c r="F55" s="18"/>
      <c r="G55" s="18"/>
      <c r="H55" s="18"/>
      <c r="I55" s="18"/>
      <c r="J55" s="18"/>
      <c r="K55" s="20">
        <v>80000</v>
      </c>
      <c r="L55" s="18"/>
      <c r="M55" s="20">
        <v>80000</v>
      </c>
    </row>
    <row r="56" spans="1:13" ht="45" x14ac:dyDescent="0.25">
      <c r="A56" s="16"/>
      <c r="B56" s="17" t="s">
        <v>24</v>
      </c>
      <c r="C56" s="17" t="s">
        <v>30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45" x14ac:dyDescent="0.25">
      <c r="A57" s="16"/>
      <c r="B57" s="17" t="s">
        <v>24</v>
      </c>
      <c r="C57" s="17" t="s">
        <v>31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45" x14ac:dyDescent="0.25">
      <c r="A58" s="16"/>
      <c r="B58" s="17" t="s">
        <v>24</v>
      </c>
      <c r="C58" s="17" t="s">
        <v>32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45" x14ac:dyDescent="0.25">
      <c r="A59" s="16"/>
      <c r="B59" s="17" t="s">
        <v>24</v>
      </c>
      <c r="C59" s="17" t="s">
        <v>33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45" x14ac:dyDescent="0.25">
      <c r="A60" s="16"/>
      <c r="B60" s="17" t="s">
        <v>24</v>
      </c>
      <c r="C60" s="17" t="s">
        <v>34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45" x14ac:dyDescent="0.25">
      <c r="A61" s="16"/>
      <c r="B61" s="17" t="s">
        <v>24</v>
      </c>
      <c r="C61" s="17" t="s">
        <v>35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45" x14ac:dyDescent="0.25">
      <c r="A62" s="16"/>
      <c r="B62" s="17" t="s">
        <v>24</v>
      </c>
      <c r="C62" s="17" t="s">
        <v>36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45" x14ac:dyDescent="0.25">
      <c r="A63" s="16"/>
      <c r="B63" s="17" t="s">
        <v>24</v>
      </c>
      <c r="C63" s="17" t="s">
        <v>37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45" x14ac:dyDescent="0.25">
      <c r="A64" s="16"/>
      <c r="B64" s="17" t="s">
        <v>24</v>
      </c>
      <c r="C64" s="17" t="s">
        <v>38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45" x14ac:dyDescent="0.25">
      <c r="A65" s="16"/>
      <c r="B65" s="17" t="s">
        <v>24</v>
      </c>
      <c r="C65" s="17" t="s">
        <v>39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45" x14ac:dyDescent="0.25">
      <c r="A66" s="16"/>
      <c r="B66" s="17" t="s">
        <v>24</v>
      </c>
      <c r="C66" s="17" t="s">
        <v>40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45" x14ac:dyDescent="0.25">
      <c r="A67" s="16"/>
      <c r="B67" s="17" t="s">
        <v>24</v>
      </c>
      <c r="C67" s="17" t="s">
        <v>41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45" x14ac:dyDescent="0.25">
      <c r="A68" s="16"/>
      <c r="B68" s="17" t="s">
        <v>24</v>
      </c>
      <c r="C68" s="17" t="s">
        <v>42</v>
      </c>
      <c r="D68" s="18"/>
      <c r="E68" s="18"/>
      <c r="F68" s="18"/>
      <c r="G68" s="18"/>
      <c r="H68" s="18"/>
      <c r="I68" s="18"/>
      <c r="J68" s="18"/>
      <c r="K68" s="20">
        <v>26700</v>
      </c>
      <c r="L68" s="18"/>
      <c r="M68" s="20">
        <v>26700</v>
      </c>
    </row>
    <row r="69" spans="1:13" ht="45" x14ac:dyDescent="0.25">
      <c r="A69" s="16"/>
      <c r="B69" s="17" t="s">
        <v>24</v>
      </c>
      <c r="C69" s="17" t="s">
        <v>43</v>
      </c>
      <c r="D69" s="18"/>
      <c r="E69" s="18"/>
      <c r="F69" s="18"/>
      <c r="G69" s="18"/>
      <c r="H69" s="18"/>
      <c r="I69" s="18"/>
      <c r="J69" s="18"/>
      <c r="K69" s="20">
        <v>23600</v>
      </c>
      <c r="L69" s="18"/>
      <c r="M69" s="20">
        <v>23600</v>
      </c>
    </row>
    <row r="70" spans="1:13" ht="45" x14ac:dyDescent="0.25">
      <c r="A70" s="16"/>
      <c r="B70" s="17" t="s">
        <v>24</v>
      </c>
      <c r="C70" s="17" t="s">
        <v>44</v>
      </c>
      <c r="D70" s="18"/>
      <c r="E70" s="18"/>
      <c r="F70" s="18"/>
      <c r="G70" s="18"/>
      <c r="H70" s="18"/>
      <c r="I70" s="18"/>
      <c r="J70" s="18"/>
      <c r="K70" s="20">
        <v>10000</v>
      </c>
      <c r="L70" s="18"/>
      <c r="M70" s="20">
        <v>10000</v>
      </c>
    </row>
    <row r="71" spans="1:13" ht="45" x14ac:dyDescent="0.25">
      <c r="A71" s="16"/>
      <c r="B71" s="17" t="s">
        <v>24</v>
      </c>
      <c r="C71" s="17" t="s">
        <v>45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x14ac:dyDescent="0.25">
      <c r="A72" t="s">
        <v>51</v>
      </c>
    </row>
    <row r="73" spans="1:13" ht="45" x14ac:dyDescent="0.25">
      <c r="A73" s="16"/>
      <c r="B73" s="17" t="s">
        <v>24</v>
      </c>
      <c r="C73" s="17" t="s">
        <v>25</v>
      </c>
      <c r="D73" s="18"/>
      <c r="E73" s="18"/>
      <c r="F73" s="18"/>
      <c r="G73" s="18"/>
      <c r="H73" s="18"/>
      <c r="I73" s="18"/>
      <c r="J73" s="18"/>
      <c r="K73" s="20">
        <v>21000</v>
      </c>
      <c r="L73" s="20">
        <v>21000</v>
      </c>
      <c r="M73" s="18"/>
    </row>
    <row r="74" spans="1:13" ht="45" x14ac:dyDescent="0.25">
      <c r="A74" s="16"/>
      <c r="B74" s="17" t="s">
        <v>24</v>
      </c>
      <c r="C74" s="17" t="s">
        <v>26</v>
      </c>
      <c r="D74" s="18"/>
      <c r="E74" s="18"/>
      <c r="F74" s="18"/>
      <c r="G74" s="18"/>
      <c r="H74" s="18"/>
      <c r="I74" s="18"/>
      <c r="J74" s="18"/>
      <c r="K74" s="20">
        <v>86000</v>
      </c>
      <c r="L74" s="20">
        <v>86000</v>
      </c>
      <c r="M74" s="18"/>
    </row>
    <row r="75" spans="1:13" ht="45" x14ac:dyDescent="0.25">
      <c r="A75" s="16"/>
      <c r="B75" s="17" t="s">
        <v>24</v>
      </c>
      <c r="C75" s="17" t="s">
        <v>27</v>
      </c>
      <c r="D75" s="18"/>
      <c r="E75" s="18"/>
      <c r="F75" s="18"/>
      <c r="G75" s="18"/>
      <c r="H75" s="18"/>
      <c r="I75" s="18"/>
      <c r="J75" s="18"/>
      <c r="K75" s="20">
        <v>38000</v>
      </c>
      <c r="L75" s="20">
        <v>38000</v>
      </c>
      <c r="M75" s="18"/>
    </row>
    <row r="76" spans="1:13" ht="45" x14ac:dyDescent="0.25">
      <c r="A76" s="16"/>
      <c r="B76" s="17" t="s">
        <v>24</v>
      </c>
      <c r="C76" s="17" t="s">
        <v>28</v>
      </c>
      <c r="D76" s="18"/>
      <c r="E76" s="18"/>
      <c r="F76" s="18"/>
      <c r="G76" s="18"/>
      <c r="H76" s="18"/>
      <c r="I76" s="18"/>
      <c r="J76" s="18"/>
      <c r="K76" s="20">
        <v>19000</v>
      </c>
      <c r="L76" s="20">
        <v>19000</v>
      </c>
      <c r="M76" s="18"/>
    </row>
    <row r="77" spans="1:13" ht="45" x14ac:dyDescent="0.25">
      <c r="A77" s="16"/>
      <c r="B77" s="17" t="s">
        <v>24</v>
      </c>
      <c r="C77" s="17" t="s">
        <v>29</v>
      </c>
      <c r="D77" s="18"/>
      <c r="E77" s="18"/>
      <c r="F77" s="18"/>
      <c r="G77" s="18"/>
      <c r="H77" s="18"/>
      <c r="I77" s="18"/>
      <c r="J77" s="18"/>
      <c r="K77" s="20">
        <v>32000</v>
      </c>
      <c r="L77" s="20">
        <v>32000</v>
      </c>
      <c r="M77" s="18"/>
    </row>
    <row r="78" spans="1:13" ht="45" x14ac:dyDescent="0.25">
      <c r="A78" s="16"/>
      <c r="B78" s="17" t="s">
        <v>24</v>
      </c>
      <c r="C78" s="17" t="s">
        <v>30</v>
      </c>
      <c r="D78" s="18"/>
      <c r="E78" s="18"/>
      <c r="F78" s="18"/>
      <c r="G78" s="18"/>
      <c r="H78" s="18"/>
      <c r="I78" s="18"/>
      <c r="J78" s="18"/>
      <c r="K78" s="20">
        <v>106435</v>
      </c>
      <c r="L78" s="20">
        <v>37000</v>
      </c>
      <c r="M78" s="20"/>
    </row>
    <row r="79" spans="1:13" ht="45" x14ac:dyDescent="0.25">
      <c r="A79" s="16"/>
      <c r="B79" s="17" t="s">
        <v>24</v>
      </c>
      <c r="C79" s="17" t="s">
        <v>31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45" x14ac:dyDescent="0.25">
      <c r="A80" s="16"/>
      <c r="B80" s="17" t="s">
        <v>24</v>
      </c>
      <c r="C80" s="17" t="s">
        <v>32</v>
      </c>
      <c r="D80" s="18"/>
      <c r="E80" s="18"/>
      <c r="F80" s="18"/>
      <c r="G80" s="18"/>
      <c r="H80" s="18"/>
      <c r="I80" s="18"/>
      <c r="J80" s="18"/>
      <c r="K80" s="20">
        <v>55232.98</v>
      </c>
      <c r="L80" s="20">
        <v>55232.98</v>
      </c>
      <c r="M80" s="18"/>
    </row>
    <row r="81" spans="1:13" ht="45" x14ac:dyDescent="0.25">
      <c r="A81" s="16"/>
      <c r="B81" s="17" t="s">
        <v>24</v>
      </c>
      <c r="C81" s="17" t="s">
        <v>33</v>
      </c>
      <c r="D81" s="18"/>
      <c r="E81" s="18"/>
      <c r="F81" s="18"/>
      <c r="G81" s="18"/>
      <c r="H81" s="18"/>
      <c r="I81" s="18"/>
      <c r="J81" s="18"/>
      <c r="K81" s="20">
        <v>35000</v>
      </c>
      <c r="L81" s="20">
        <v>35000</v>
      </c>
      <c r="M81" s="18"/>
    </row>
    <row r="82" spans="1:13" ht="45" x14ac:dyDescent="0.25">
      <c r="A82" s="16"/>
      <c r="B82" s="17" t="s">
        <v>24</v>
      </c>
      <c r="C82" s="17" t="s">
        <v>34</v>
      </c>
      <c r="D82" s="18"/>
      <c r="E82" s="18"/>
      <c r="F82" s="18"/>
      <c r="G82" s="18"/>
      <c r="H82" s="18"/>
      <c r="I82" s="18"/>
      <c r="J82" s="18"/>
      <c r="K82" s="20">
        <v>1000</v>
      </c>
      <c r="L82" s="18"/>
      <c r="M82" s="20"/>
    </row>
    <row r="83" spans="1:13" ht="45" x14ac:dyDescent="0.25">
      <c r="A83" s="16"/>
      <c r="B83" s="17" t="s">
        <v>24</v>
      </c>
      <c r="C83" s="17" t="s">
        <v>35</v>
      </c>
      <c r="D83" s="18"/>
      <c r="E83" s="18"/>
      <c r="F83" s="18"/>
      <c r="G83" s="18"/>
      <c r="H83" s="18"/>
      <c r="I83" s="18"/>
      <c r="J83" s="18"/>
      <c r="K83" s="20">
        <v>32000</v>
      </c>
      <c r="L83" s="20">
        <v>32000</v>
      </c>
      <c r="M83" s="18"/>
    </row>
    <row r="84" spans="1:13" ht="45" x14ac:dyDescent="0.25">
      <c r="A84" s="16"/>
      <c r="B84" s="17" t="s">
        <v>24</v>
      </c>
      <c r="C84" s="17" t="s">
        <v>36</v>
      </c>
      <c r="D84" s="18"/>
      <c r="E84" s="18"/>
      <c r="F84" s="18"/>
      <c r="G84" s="18"/>
      <c r="H84" s="18"/>
      <c r="I84" s="18"/>
      <c r="J84" s="18"/>
      <c r="K84" s="20">
        <v>322392.5</v>
      </c>
      <c r="L84" s="20">
        <v>322392.5</v>
      </c>
      <c r="M84" s="18"/>
    </row>
    <row r="85" spans="1:13" ht="45" x14ac:dyDescent="0.25">
      <c r="A85" s="16"/>
      <c r="B85" s="17" t="s">
        <v>24</v>
      </c>
      <c r="C85" s="17" t="s">
        <v>37</v>
      </c>
      <c r="D85" s="18"/>
      <c r="E85" s="18"/>
      <c r="F85" s="18"/>
      <c r="G85" s="18"/>
      <c r="H85" s="18"/>
      <c r="I85" s="18"/>
      <c r="J85" s="18"/>
      <c r="K85" s="20">
        <v>207170</v>
      </c>
      <c r="L85" s="20">
        <v>207170</v>
      </c>
      <c r="M85" s="18"/>
    </row>
    <row r="86" spans="1:13" ht="45" x14ac:dyDescent="0.25">
      <c r="A86" s="16"/>
      <c r="B86" s="17" t="s">
        <v>24</v>
      </c>
      <c r="C86" s="17" t="s">
        <v>38</v>
      </c>
      <c r="D86" s="18"/>
      <c r="E86" s="18"/>
      <c r="F86" s="18"/>
      <c r="G86" s="18"/>
      <c r="H86" s="18"/>
      <c r="I86" s="18"/>
      <c r="J86" s="18"/>
      <c r="K86" s="20">
        <v>93000</v>
      </c>
      <c r="L86" s="20">
        <v>93000</v>
      </c>
      <c r="M86" s="18"/>
    </row>
    <row r="87" spans="1:13" ht="45" x14ac:dyDescent="0.25">
      <c r="A87" s="16"/>
      <c r="B87" s="17" t="s">
        <v>24</v>
      </c>
      <c r="C87" s="17" t="s">
        <v>39</v>
      </c>
      <c r="D87" s="18"/>
      <c r="E87" s="18"/>
      <c r="F87" s="18"/>
      <c r="G87" s="18"/>
      <c r="H87" s="18"/>
      <c r="I87" s="18"/>
      <c r="J87" s="18"/>
      <c r="K87" s="20">
        <v>80000</v>
      </c>
      <c r="L87" s="20">
        <v>80000</v>
      </c>
      <c r="M87" s="18"/>
    </row>
    <row r="88" spans="1:13" ht="45" x14ac:dyDescent="0.25">
      <c r="A88" s="16"/>
      <c r="B88" s="17" t="s">
        <v>24</v>
      </c>
      <c r="C88" s="17" t="s">
        <v>40</v>
      </c>
      <c r="D88" s="18"/>
      <c r="E88" s="18"/>
      <c r="F88" s="18"/>
      <c r="G88" s="18"/>
      <c r="H88" s="18"/>
      <c r="I88" s="18"/>
      <c r="J88" s="18"/>
      <c r="K88" s="20">
        <v>50000</v>
      </c>
      <c r="L88" s="20">
        <v>50000</v>
      </c>
      <c r="M88" s="18"/>
    </row>
    <row r="89" spans="1:13" ht="45" x14ac:dyDescent="0.25">
      <c r="A89" s="16"/>
      <c r="B89" s="17" t="s">
        <v>24</v>
      </c>
      <c r="C89" s="17" t="s">
        <v>41</v>
      </c>
      <c r="D89" s="18"/>
      <c r="E89" s="18"/>
      <c r="F89" s="18"/>
      <c r="G89" s="18"/>
      <c r="H89" s="18"/>
      <c r="I89" s="18"/>
      <c r="J89" s="18"/>
      <c r="K89" s="20">
        <v>11000</v>
      </c>
      <c r="L89" s="20">
        <v>11000</v>
      </c>
      <c r="M89" s="18"/>
    </row>
    <row r="90" spans="1:13" ht="45" x14ac:dyDescent="0.25">
      <c r="A90" s="16"/>
      <c r="B90" s="17" t="s">
        <v>24</v>
      </c>
      <c r="C90" s="17" t="s">
        <v>42</v>
      </c>
      <c r="D90" s="18"/>
      <c r="E90" s="18"/>
      <c r="F90" s="18"/>
      <c r="G90" s="18"/>
      <c r="H90" s="18"/>
      <c r="I90" s="18"/>
      <c r="J90" s="18"/>
      <c r="K90" s="20">
        <v>28000</v>
      </c>
      <c r="L90" s="20">
        <v>28000</v>
      </c>
      <c r="M90" s="18"/>
    </row>
    <row r="91" spans="1:13" ht="45" x14ac:dyDescent="0.25">
      <c r="A91" s="16"/>
      <c r="B91" s="17" t="s">
        <v>24</v>
      </c>
      <c r="C91" s="17" t="s">
        <v>43</v>
      </c>
      <c r="D91" s="18"/>
      <c r="E91" s="18"/>
      <c r="F91" s="18"/>
      <c r="G91" s="18"/>
      <c r="H91" s="18"/>
      <c r="I91" s="18"/>
      <c r="J91" s="18"/>
      <c r="K91" s="20">
        <v>54000</v>
      </c>
      <c r="L91" s="20">
        <v>54000</v>
      </c>
      <c r="M91" s="18"/>
    </row>
    <row r="92" spans="1:13" ht="45" x14ac:dyDescent="0.25">
      <c r="A92" s="16"/>
      <c r="B92" s="17" t="s">
        <v>24</v>
      </c>
      <c r="C92" s="17" t="s">
        <v>44</v>
      </c>
      <c r="D92" s="18"/>
      <c r="E92" s="18"/>
      <c r="F92" s="18"/>
      <c r="G92" s="18"/>
      <c r="H92" s="18"/>
      <c r="I92" s="18"/>
      <c r="J92" s="18"/>
      <c r="K92" s="20">
        <v>33000</v>
      </c>
      <c r="L92" s="20">
        <v>33000</v>
      </c>
      <c r="M92" s="18"/>
    </row>
    <row r="93" spans="1:13" ht="45" x14ac:dyDescent="0.25">
      <c r="A93" s="16"/>
      <c r="B93" s="17" t="s">
        <v>24</v>
      </c>
      <c r="C93" s="17" t="s">
        <v>45</v>
      </c>
      <c r="D93" s="18"/>
      <c r="E93" s="18"/>
      <c r="F93" s="18"/>
      <c r="G93" s="18"/>
      <c r="H93" s="18"/>
      <c r="I93" s="18"/>
      <c r="J93" s="18"/>
      <c r="K93" s="20">
        <v>8000</v>
      </c>
      <c r="L93" s="20">
        <v>8000</v>
      </c>
      <c r="M93" s="18"/>
    </row>
    <row r="94" spans="1:13" x14ac:dyDescent="0.25">
      <c r="L94" s="19">
        <f>SUM(L73:L93)</f>
        <v>1241795.48</v>
      </c>
    </row>
    <row r="96" spans="1:13" x14ac:dyDescent="0.25">
      <c r="A96" t="s">
        <v>53</v>
      </c>
      <c r="D96" t="s">
        <v>47</v>
      </c>
    </row>
    <row r="97" spans="1:4" ht="45" x14ac:dyDescent="0.25">
      <c r="A97" s="16"/>
      <c r="B97" s="17" t="s">
        <v>24</v>
      </c>
      <c r="C97" s="17" t="s">
        <v>25</v>
      </c>
      <c r="D97" s="18"/>
    </row>
    <row r="98" spans="1:4" ht="45" x14ac:dyDescent="0.25">
      <c r="A98" s="16"/>
      <c r="B98" s="17" t="s">
        <v>24</v>
      </c>
      <c r="C98" s="17" t="s">
        <v>26</v>
      </c>
      <c r="D98" s="18"/>
    </row>
    <row r="99" spans="1:4" ht="45" x14ac:dyDescent="0.25">
      <c r="A99" s="16"/>
      <c r="B99" s="17" t="s">
        <v>24</v>
      </c>
      <c r="C99" s="17" t="s">
        <v>27</v>
      </c>
      <c r="D99" s="18"/>
    </row>
    <row r="100" spans="1:4" ht="45" x14ac:dyDescent="0.25">
      <c r="A100" s="16"/>
      <c r="B100" s="17" t="s">
        <v>24</v>
      </c>
      <c r="C100" s="17" t="s">
        <v>28</v>
      </c>
      <c r="D100" s="18"/>
    </row>
    <row r="101" spans="1:4" ht="45" x14ac:dyDescent="0.25">
      <c r="A101" s="16"/>
      <c r="B101" s="17" t="s">
        <v>24</v>
      </c>
      <c r="C101" s="17" t="s">
        <v>29</v>
      </c>
      <c r="D101" s="20">
        <v>4140922.23</v>
      </c>
    </row>
    <row r="102" spans="1:4" ht="45" x14ac:dyDescent="0.25">
      <c r="A102" s="16"/>
      <c r="B102" s="17" t="s">
        <v>24</v>
      </c>
      <c r="C102" s="17" t="s">
        <v>30</v>
      </c>
      <c r="D102" s="18"/>
    </row>
    <row r="103" spans="1:4" ht="45" x14ac:dyDescent="0.25">
      <c r="A103" s="16"/>
      <c r="B103" s="17" t="s">
        <v>24</v>
      </c>
      <c r="C103" s="17" t="s">
        <v>31</v>
      </c>
      <c r="D103" s="18"/>
    </row>
    <row r="104" spans="1:4" ht="45" x14ac:dyDescent="0.25">
      <c r="A104" s="16"/>
      <c r="B104" s="17" t="s">
        <v>24</v>
      </c>
      <c r="C104" s="17" t="s">
        <v>32</v>
      </c>
      <c r="D104" s="18"/>
    </row>
    <row r="105" spans="1:4" ht="45" x14ac:dyDescent="0.25">
      <c r="A105" s="16"/>
      <c r="B105" s="17" t="s">
        <v>24</v>
      </c>
      <c r="C105" s="17" t="s">
        <v>33</v>
      </c>
      <c r="D105" s="18"/>
    </row>
    <row r="106" spans="1:4" ht="45" x14ac:dyDescent="0.25">
      <c r="A106" s="16"/>
      <c r="B106" s="17" t="s">
        <v>24</v>
      </c>
      <c r="C106" s="17" t="s">
        <v>34</v>
      </c>
      <c r="D106" s="18"/>
    </row>
    <row r="107" spans="1:4" ht="45" x14ac:dyDescent="0.25">
      <c r="A107" s="16"/>
      <c r="B107" s="17" t="s">
        <v>24</v>
      </c>
      <c r="C107" s="17" t="s">
        <v>35</v>
      </c>
      <c r="D107" s="20">
        <v>757670.77</v>
      </c>
    </row>
    <row r="108" spans="1:4" ht="45" x14ac:dyDescent="0.25">
      <c r="A108" s="16"/>
      <c r="B108" s="17" t="s">
        <v>24</v>
      </c>
      <c r="C108" s="17" t="s">
        <v>36</v>
      </c>
      <c r="D108" s="20">
        <v>1707003.23</v>
      </c>
    </row>
    <row r="109" spans="1:4" ht="45" x14ac:dyDescent="0.25">
      <c r="A109" s="16"/>
      <c r="B109" s="17" t="s">
        <v>24</v>
      </c>
      <c r="C109" s="17" t="s">
        <v>37</v>
      </c>
      <c r="D109" s="20">
        <v>3881579.75</v>
      </c>
    </row>
    <row r="110" spans="1:4" ht="45" x14ac:dyDescent="0.25">
      <c r="A110" s="16"/>
      <c r="B110" s="17" t="s">
        <v>24</v>
      </c>
      <c r="C110" s="17" t="s">
        <v>38</v>
      </c>
      <c r="D110" s="18"/>
    </row>
    <row r="111" spans="1:4" ht="45" x14ac:dyDescent="0.25">
      <c r="A111" s="16"/>
      <c r="B111" s="17" t="s">
        <v>24</v>
      </c>
      <c r="C111" s="17" t="s">
        <v>39</v>
      </c>
      <c r="D111" s="18"/>
    </row>
    <row r="112" spans="1:4" ht="45" x14ac:dyDescent="0.25">
      <c r="A112" s="16"/>
      <c r="B112" s="17" t="s">
        <v>24</v>
      </c>
      <c r="C112" s="17" t="s">
        <v>40</v>
      </c>
      <c r="D112" s="18"/>
    </row>
    <row r="113" spans="1:4" ht="45" x14ac:dyDescent="0.25">
      <c r="A113" s="16"/>
      <c r="B113" s="17" t="s">
        <v>24</v>
      </c>
      <c r="C113" s="17" t="s">
        <v>41</v>
      </c>
      <c r="D113" s="18"/>
    </row>
    <row r="114" spans="1:4" ht="45" x14ac:dyDescent="0.25">
      <c r="A114" s="16"/>
      <c r="B114" s="17" t="s">
        <v>24</v>
      </c>
      <c r="C114" s="17" t="s">
        <v>42</v>
      </c>
      <c r="D114" s="18"/>
    </row>
    <row r="115" spans="1:4" ht="45" x14ac:dyDescent="0.25">
      <c r="A115" s="16"/>
      <c r="B115" s="17" t="s">
        <v>24</v>
      </c>
      <c r="C115" s="17" t="s">
        <v>43</v>
      </c>
      <c r="D115" s="18"/>
    </row>
    <row r="116" spans="1:4" ht="45" x14ac:dyDescent="0.25">
      <c r="A116" s="16"/>
      <c r="B116" s="17" t="s">
        <v>24</v>
      </c>
      <c r="C116" s="17" t="s">
        <v>44</v>
      </c>
      <c r="D116" s="20">
        <v>1610703.5</v>
      </c>
    </row>
    <row r="117" spans="1:4" ht="45" x14ac:dyDescent="0.25">
      <c r="A117" s="16"/>
      <c r="B117" s="17" t="s">
        <v>24</v>
      </c>
      <c r="C117" s="17" t="s">
        <v>45</v>
      </c>
      <c r="D117" s="18"/>
    </row>
    <row r="120" spans="1:4" x14ac:dyDescent="0.25">
      <c r="A120" t="s">
        <v>59</v>
      </c>
    </row>
    <row r="121" spans="1:4" ht="45" x14ac:dyDescent="0.25">
      <c r="A121" s="16"/>
      <c r="B121" s="17" t="s">
        <v>24</v>
      </c>
      <c r="C121" s="17" t="s">
        <v>25</v>
      </c>
      <c r="D121" s="20">
        <v>2606018.11</v>
      </c>
    </row>
    <row r="122" spans="1:4" ht="45" x14ac:dyDescent="0.25">
      <c r="A122" s="16"/>
      <c r="B122" s="17" t="s">
        <v>24</v>
      </c>
      <c r="C122" s="17" t="s">
        <v>26</v>
      </c>
      <c r="D122" s="20">
        <v>3551104.67</v>
      </c>
    </row>
    <row r="123" spans="1:4" ht="45" x14ac:dyDescent="0.25">
      <c r="A123" s="16"/>
      <c r="B123" s="17" t="s">
        <v>24</v>
      </c>
      <c r="C123" s="17" t="s">
        <v>27</v>
      </c>
      <c r="D123" s="20">
        <v>3781001.14</v>
      </c>
    </row>
    <row r="124" spans="1:4" ht="45" x14ac:dyDescent="0.25">
      <c r="A124" s="16"/>
      <c r="B124" s="17" t="s">
        <v>24</v>
      </c>
      <c r="C124" s="17" t="s">
        <v>28</v>
      </c>
      <c r="D124" s="20">
        <v>5044966.95</v>
      </c>
    </row>
    <row r="125" spans="1:4" ht="45" x14ac:dyDescent="0.25">
      <c r="A125" s="16"/>
      <c r="B125" s="17" t="s">
        <v>24</v>
      </c>
      <c r="C125" s="17" t="s">
        <v>29</v>
      </c>
      <c r="D125" s="20">
        <v>12517741.57</v>
      </c>
    </row>
    <row r="126" spans="1:4" ht="45" x14ac:dyDescent="0.25">
      <c r="A126" s="16"/>
      <c r="B126" s="17" t="s">
        <v>24</v>
      </c>
      <c r="C126" s="17" t="s">
        <v>30</v>
      </c>
      <c r="D126" s="20">
        <v>5064446.9800000004</v>
      </c>
    </row>
    <row r="127" spans="1:4" ht="45" x14ac:dyDescent="0.25">
      <c r="A127" s="16"/>
      <c r="B127" s="17" t="s">
        <v>24</v>
      </c>
      <c r="C127" s="17" t="s">
        <v>31</v>
      </c>
      <c r="D127" s="20">
        <v>6628324.21</v>
      </c>
    </row>
    <row r="128" spans="1:4" ht="45" x14ac:dyDescent="0.25">
      <c r="A128" s="16"/>
      <c r="B128" s="17" t="s">
        <v>24</v>
      </c>
      <c r="C128" s="17" t="s">
        <v>32</v>
      </c>
      <c r="D128" s="20">
        <v>5038134.51</v>
      </c>
    </row>
    <row r="129" spans="1:4" ht="45" x14ac:dyDescent="0.25">
      <c r="A129" s="16"/>
      <c r="B129" s="17" t="s">
        <v>24</v>
      </c>
      <c r="C129" s="17" t="s">
        <v>33</v>
      </c>
      <c r="D129" s="20">
        <v>2982031.71</v>
      </c>
    </row>
    <row r="130" spans="1:4" ht="45" x14ac:dyDescent="0.25">
      <c r="A130" s="16"/>
      <c r="B130" s="17" t="s">
        <v>24</v>
      </c>
      <c r="C130" s="17" t="s">
        <v>34</v>
      </c>
      <c r="D130" s="20">
        <v>2590673.66</v>
      </c>
    </row>
    <row r="131" spans="1:4" ht="45" x14ac:dyDescent="0.25">
      <c r="A131" s="16"/>
      <c r="B131" s="17" t="s">
        <v>24</v>
      </c>
      <c r="C131" s="17" t="s">
        <v>35</v>
      </c>
      <c r="D131" s="20">
        <v>4327110.54</v>
      </c>
    </row>
    <row r="132" spans="1:4" ht="45" x14ac:dyDescent="0.25">
      <c r="A132" s="16"/>
      <c r="B132" s="17" t="s">
        <v>24</v>
      </c>
      <c r="C132" s="17" t="s">
        <v>36</v>
      </c>
      <c r="D132" s="20">
        <v>21250481.27</v>
      </c>
    </row>
    <row r="133" spans="1:4" ht="45" x14ac:dyDescent="0.25">
      <c r="A133" s="16"/>
      <c r="B133" s="17" t="s">
        <v>24</v>
      </c>
      <c r="C133" s="17" t="s">
        <v>37</v>
      </c>
      <c r="D133" s="20">
        <v>12770964.41</v>
      </c>
    </row>
    <row r="134" spans="1:4" ht="45" x14ac:dyDescent="0.25">
      <c r="A134" s="16"/>
      <c r="B134" s="17" t="s">
        <v>24</v>
      </c>
      <c r="C134" s="17" t="s">
        <v>38</v>
      </c>
      <c r="D134" s="20">
        <v>4220199.59</v>
      </c>
    </row>
    <row r="135" spans="1:4" ht="45" x14ac:dyDescent="0.25">
      <c r="A135" s="16"/>
      <c r="B135" s="17" t="s">
        <v>24</v>
      </c>
      <c r="C135" s="17" t="s">
        <v>39</v>
      </c>
      <c r="D135" s="20">
        <v>1799690.52</v>
      </c>
    </row>
    <row r="136" spans="1:4" ht="45" x14ac:dyDescent="0.25">
      <c r="A136" s="16"/>
      <c r="B136" s="17" t="s">
        <v>24</v>
      </c>
      <c r="C136" s="17" t="s">
        <v>40</v>
      </c>
      <c r="D136" s="20">
        <v>3025861.16</v>
      </c>
    </row>
    <row r="137" spans="1:4" ht="45" x14ac:dyDescent="0.25">
      <c r="A137" s="16"/>
      <c r="B137" s="17" t="s">
        <v>24</v>
      </c>
      <c r="C137" s="17" t="s">
        <v>41</v>
      </c>
      <c r="D137" s="20">
        <v>9914878.5099999998</v>
      </c>
    </row>
    <row r="138" spans="1:4" ht="45" x14ac:dyDescent="0.25">
      <c r="A138" s="16"/>
      <c r="B138" s="17" t="s">
        <v>24</v>
      </c>
      <c r="C138" s="17" t="s">
        <v>42</v>
      </c>
      <c r="D138" s="20">
        <v>2723585.55</v>
      </c>
    </row>
    <row r="139" spans="1:4" ht="45" x14ac:dyDescent="0.25">
      <c r="A139" s="16"/>
      <c r="B139" s="17" t="s">
        <v>24</v>
      </c>
      <c r="C139" s="17" t="s">
        <v>43</v>
      </c>
      <c r="D139" s="20">
        <v>4615228.76</v>
      </c>
    </row>
    <row r="140" spans="1:4" ht="45" x14ac:dyDescent="0.25">
      <c r="A140" s="16"/>
      <c r="B140" s="17" t="s">
        <v>24</v>
      </c>
      <c r="C140" s="17" t="s">
        <v>44</v>
      </c>
      <c r="D140" s="20">
        <v>6259175.1500000004</v>
      </c>
    </row>
    <row r="141" spans="1:4" ht="45" x14ac:dyDescent="0.25">
      <c r="A141" s="16"/>
      <c r="B141" s="17" t="s">
        <v>24</v>
      </c>
      <c r="C141" s="17" t="s">
        <v>45</v>
      </c>
      <c r="D141" s="20">
        <v>3442814.19</v>
      </c>
    </row>
    <row r="144" spans="1:4" x14ac:dyDescent="0.25">
      <c r="A144" t="s">
        <v>63</v>
      </c>
    </row>
    <row r="147" spans="1:4" x14ac:dyDescent="0.25">
      <c r="A147" s="212" t="s">
        <v>64</v>
      </c>
      <c r="B147" s="212"/>
      <c r="C147" s="212"/>
      <c r="D147" s="212"/>
    </row>
    <row r="148" spans="1:4" x14ac:dyDescent="0.25">
      <c r="A148" s="16"/>
      <c r="B148" s="16"/>
      <c r="C148" s="16"/>
      <c r="D148" s="16"/>
    </row>
    <row r="149" spans="1:4" ht="45" x14ac:dyDescent="0.25">
      <c r="A149" s="16"/>
      <c r="B149" s="64"/>
      <c r="C149" s="64" t="s">
        <v>65</v>
      </c>
      <c r="D149" s="64" t="s">
        <v>66</v>
      </c>
    </row>
    <row r="150" spans="1:4" ht="45" x14ac:dyDescent="0.25">
      <c r="A150" s="16"/>
      <c r="B150" s="17" t="s">
        <v>24</v>
      </c>
      <c r="C150" s="17" t="s">
        <v>67</v>
      </c>
      <c r="D150" s="20">
        <v>6044028.1299999999</v>
      </c>
    </row>
    <row r="151" spans="1:4" ht="45" x14ac:dyDescent="0.25">
      <c r="A151" s="16"/>
      <c r="B151" s="17" t="s">
        <v>24</v>
      </c>
      <c r="C151" s="17" t="s">
        <v>68</v>
      </c>
      <c r="D151" s="20">
        <v>4620230.2</v>
      </c>
    </row>
    <row r="152" spans="1:4" ht="45" x14ac:dyDescent="0.25">
      <c r="A152" s="16"/>
      <c r="B152" s="17" t="s">
        <v>24</v>
      </c>
      <c r="C152" s="17" t="s">
        <v>69</v>
      </c>
      <c r="D152" s="20">
        <v>3673560</v>
      </c>
    </row>
    <row r="153" spans="1:4" ht="45" x14ac:dyDescent="0.25">
      <c r="A153" s="16"/>
      <c r="B153" s="17" t="s">
        <v>24</v>
      </c>
      <c r="C153" s="17" t="s">
        <v>70</v>
      </c>
      <c r="D153" s="20">
        <v>11025120</v>
      </c>
    </row>
    <row r="154" spans="1:4" ht="45" x14ac:dyDescent="0.25">
      <c r="A154" s="16"/>
      <c r="B154" s="17" t="s">
        <v>24</v>
      </c>
      <c r="C154" s="17" t="s">
        <v>71</v>
      </c>
      <c r="D154" s="20">
        <v>4071280</v>
      </c>
    </row>
    <row r="155" spans="1:4" ht="45" x14ac:dyDescent="0.25">
      <c r="A155" s="16"/>
      <c r="B155" s="17" t="s">
        <v>24</v>
      </c>
      <c r="C155" s="17" t="s">
        <v>72</v>
      </c>
      <c r="D155" s="20">
        <v>1981537.17</v>
      </c>
    </row>
    <row r="156" spans="1:4" ht="45" x14ac:dyDescent="0.25">
      <c r="A156" s="16"/>
      <c r="B156" s="17" t="s">
        <v>24</v>
      </c>
      <c r="C156" s="17" t="s">
        <v>73</v>
      </c>
      <c r="D156" s="20">
        <v>6388669.1500000004</v>
      </c>
    </row>
    <row r="157" spans="1:4" ht="45" x14ac:dyDescent="0.25">
      <c r="A157" s="16"/>
      <c r="B157" s="17" t="s">
        <v>24</v>
      </c>
      <c r="C157" s="17" t="s">
        <v>74</v>
      </c>
      <c r="D157" s="20">
        <v>10014359.66</v>
      </c>
    </row>
    <row r="158" spans="1:4" ht="45" x14ac:dyDescent="0.25">
      <c r="A158" s="16"/>
      <c r="B158" s="17" t="s">
        <v>24</v>
      </c>
      <c r="C158" s="17" t="s">
        <v>75</v>
      </c>
      <c r="D158" s="20">
        <v>10207290.890000001</v>
      </c>
    </row>
    <row r="159" spans="1:4" ht="45" x14ac:dyDescent="0.25">
      <c r="A159" s="16"/>
      <c r="B159" s="17" t="s">
        <v>24</v>
      </c>
      <c r="C159" s="17" t="s">
        <v>76</v>
      </c>
      <c r="D159" s="20">
        <v>4152848.69</v>
      </c>
    </row>
    <row r="160" spans="1:4" ht="45" x14ac:dyDescent="0.25">
      <c r="A160" s="16"/>
      <c r="B160" s="17" t="s">
        <v>24</v>
      </c>
      <c r="C160" s="17" t="s">
        <v>77</v>
      </c>
      <c r="D160" s="20">
        <v>2845168.6</v>
      </c>
    </row>
    <row r="161" spans="1:4" ht="45" x14ac:dyDescent="0.25">
      <c r="A161" s="16"/>
      <c r="B161" s="17" t="s">
        <v>24</v>
      </c>
      <c r="C161" s="17" t="s">
        <v>78</v>
      </c>
      <c r="D161" s="20">
        <v>3417400</v>
      </c>
    </row>
    <row r="162" spans="1:4" ht="45" x14ac:dyDescent="0.25">
      <c r="A162" s="16"/>
      <c r="B162" s="17" t="s">
        <v>24</v>
      </c>
      <c r="C162" s="17" t="s">
        <v>79</v>
      </c>
      <c r="D162" s="20">
        <v>4746535.6900000004</v>
      </c>
    </row>
    <row r="163" spans="1:4" ht="45" x14ac:dyDescent="0.25">
      <c r="A163" s="16"/>
      <c r="B163" s="17" t="s">
        <v>24</v>
      </c>
      <c r="C163" s="17" t="s">
        <v>80</v>
      </c>
      <c r="D163" s="20">
        <v>8654266.0299999993</v>
      </c>
    </row>
    <row r="164" spans="1:4" ht="45" x14ac:dyDescent="0.25">
      <c r="A164" s="16"/>
      <c r="B164" s="17" t="s">
        <v>24</v>
      </c>
      <c r="C164" s="17" t="s">
        <v>81</v>
      </c>
      <c r="D164" s="20">
        <v>4192655.12</v>
      </c>
    </row>
    <row r="165" spans="1:4" ht="45" x14ac:dyDescent="0.25">
      <c r="A165" s="16"/>
      <c r="B165" s="17" t="s">
        <v>24</v>
      </c>
      <c r="C165" s="17" t="s">
        <v>82</v>
      </c>
      <c r="D165" s="20">
        <v>15240486.98</v>
      </c>
    </row>
    <row r="166" spans="1:4" ht="45" x14ac:dyDescent="0.25">
      <c r="A166" s="16"/>
      <c r="B166" s="17" t="s">
        <v>24</v>
      </c>
      <c r="C166" s="17" t="s">
        <v>83</v>
      </c>
      <c r="D166" s="20">
        <v>5673111.5</v>
      </c>
    </row>
    <row r="167" spans="1:4" ht="45" x14ac:dyDescent="0.25">
      <c r="A167" s="16"/>
      <c r="B167" s="17" t="s">
        <v>24</v>
      </c>
      <c r="C167" s="17" t="s">
        <v>84</v>
      </c>
      <c r="D167" s="20">
        <v>3593675.2</v>
      </c>
    </row>
    <row r="168" spans="1:4" ht="45" x14ac:dyDescent="0.25">
      <c r="A168" s="16"/>
      <c r="B168" s="17" t="s">
        <v>24</v>
      </c>
      <c r="C168" s="17" t="s">
        <v>85</v>
      </c>
      <c r="D168" s="20">
        <v>3688500</v>
      </c>
    </row>
    <row r="169" spans="1:4" ht="45" x14ac:dyDescent="0.25">
      <c r="A169" s="16"/>
      <c r="B169" s="17" t="s">
        <v>24</v>
      </c>
      <c r="C169" s="17" t="s">
        <v>86</v>
      </c>
      <c r="D169" s="20">
        <v>3640099.24</v>
      </c>
    </row>
    <row r="170" spans="1:4" ht="45" x14ac:dyDescent="0.25">
      <c r="A170" s="16"/>
      <c r="B170" s="17" t="s">
        <v>24</v>
      </c>
      <c r="C170" s="17" t="s">
        <v>87</v>
      </c>
      <c r="D170" s="20">
        <v>4403610</v>
      </c>
    </row>
    <row r="171" spans="1:4" x14ac:dyDescent="0.25">
      <c r="A171" s="16"/>
      <c r="B171" s="65" t="s">
        <v>88</v>
      </c>
      <c r="C171" s="65"/>
      <c r="D171" s="66">
        <v>122274432.25</v>
      </c>
    </row>
    <row r="174" spans="1:4" ht="45" x14ac:dyDescent="0.25">
      <c r="A174" s="16"/>
      <c r="B174" s="64"/>
      <c r="C174" s="64" t="s">
        <v>65</v>
      </c>
      <c r="D174" s="64" t="s">
        <v>66</v>
      </c>
    </row>
    <row r="175" spans="1:4" ht="45" x14ac:dyDescent="0.25">
      <c r="A175" s="16"/>
      <c r="B175" s="17" t="s">
        <v>24</v>
      </c>
      <c r="C175" s="17" t="s">
        <v>67</v>
      </c>
      <c r="D175" s="20">
        <v>13005</v>
      </c>
    </row>
    <row r="176" spans="1:4" ht="45" x14ac:dyDescent="0.25">
      <c r="A176" s="16"/>
      <c r="B176" s="17" t="s">
        <v>24</v>
      </c>
      <c r="C176" s="17" t="s">
        <v>68</v>
      </c>
      <c r="D176" s="20">
        <v>2000</v>
      </c>
    </row>
    <row r="177" spans="1:4" ht="45" x14ac:dyDescent="0.25">
      <c r="A177" s="16"/>
      <c r="B177" s="17" t="s">
        <v>24</v>
      </c>
      <c r="C177" s="17" t="s">
        <v>69</v>
      </c>
      <c r="D177" s="20">
        <v>3381</v>
      </c>
    </row>
    <row r="178" spans="1:4" ht="45" x14ac:dyDescent="0.25">
      <c r="A178" s="16"/>
      <c r="B178" s="17" t="s">
        <v>24</v>
      </c>
      <c r="C178" s="17" t="s">
        <v>70</v>
      </c>
      <c r="D178" s="18">
        <v>35000</v>
      </c>
    </row>
    <row r="179" spans="1:4" ht="45" x14ac:dyDescent="0.25">
      <c r="A179" s="16"/>
      <c r="B179" s="17" t="s">
        <v>24</v>
      </c>
      <c r="C179" s="17" t="s">
        <v>71</v>
      </c>
      <c r="D179" s="20">
        <v>1120</v>
      </c>
    </row>
    <row r="180" spans="1:4" ht="45" x14ac:dyDescent="0.25">
      <c r="A180" s="16"/>
      <c r="B180" s="17" t="s">
        <v>24</v>
      </c>
      <c r="C180" s="17" t="s">
        <v>72</v>
      </c>
      <c r="D180" s="18">
        <v>1750</v>
      </c>
    </row>
    <row r="181" spans="1:4" ht="45" x14ac:dyDescent="0.25">
      <c r="A181" s="16"/>
      <c r="B181" s="17" t="s">
        <v>24</v>
      </c>
      <c r="C181" s="17" t="s">
        <v>73</v>
      </c>
      <c r="D181" s="20">
        <v>6102.17</v>
      </c>
    </row>
    <row r="182" spans="1:4" ht="45" x14ac:dyDescent="0.25">
      <c r="A182" s="16"/>
      <c r="B182" s="17" t="s">
        <v>24</v>
      </c>
      <c r="C182" s="17" t="s">
        <v>74</v>
      </c>
      <c r="D182" s="20">
        <v>83048.5</v>
      </c>
    </row>
    <row r="183" spans="1:4" ht="45" x14ac:dyDescent="0.25">
      <c r="A183" s="16"/>
      <c r="B183" s="17" t="s">
        <v>24</v>
      </c>
      <c r="C183" s="17" t="s">
        <v>75</v>
      </c>
      <c r="D183" s="20">
        <f>11020+99013</f>
        <v>110033</v>
      </c>
    </row>
    <row r="184" spans="1:4" ht="45" x14ac:dyDescent="0.25">
      <c r="A184" s="16"/>
      <c r="B184" s="17" t="s">
        <v>24</v>
      </c>
      <c r="C184" s="17" t="s">
        <v>76</v>
      </c>
      <c r="D184" s="18"/>
    </row>
    <row r="185" spans="1:4" ht="45" x14ac:dyDescent="0.25">
      <c r="A185" s="16"/>
      <c r="B185" s="17" t="s">
        <v>24</v>
      </c>
      <c r="C185" s="17" t="s">
        <v>77</v>
      </c>
      <c r="D185" s="18"/>
    </row>
    <row r="186" spans="1:4" ht="45" x14ac:dyDescent="0.25">
      <c r="A186" s="16"/>
      <c r="B186" s="17" t="s">
        <v>24</v>
      </c>
      <c r="C186" s="17" t="s">
        <v>78</v>
      </c>
      <c r="D186" s="18">
        <v>500</v>
      </c>
    </row>
    <row r="187" spans="1:4" ht="45" x14ac:dyDescent="0.25">
      <c r="A187" s="16"/>
      <c r="B187" s="17" t="s">
        <v>24</v>
      </c>
      <c r="C187" s="17" t="s">
        <v>79</v>
      </c>
      <c r="D187" s="20">
        <v>6853</v>
      </c>
    </row>
    <row r="188" spans="1:4" ht="45" x14ac:dyDescent="0.25">
      <c r="A188" s="16"/>
      <c r="B188" s="17" t="s">
        <v>24</v>
      </c>
      <c r="C188" s="17" t="s">
        <v>80</v>
      </c>
      <c r="D188" s="20">
        <v>3400</v>
      </c>
    </row>
    <row r="189" spans="1:4" ht="45" x14ac:dyDescent="0.25">
      <c r="A189" s="16"/>
      <c r="B189" s="17" t="s">
        <v>24</v>
      </c>
      <c r="C189" s="17" t="s">
        <v>81</v>
      </c>
      <c r="D189" s="20">
        <v>10000</v>
      </c>
    </row>
    <row r="190" spans="1:4" ht="45" x14ac:dyDescent="0.25">
      <c r="A190" s="16"/>
      <c r="B190" s="17" t="s">
        <v>24</v>
      </c>
      <c r="C190" s="17" t="s">
        <v>82</v>
      </c>
      <c r="D190" s="20">
        <v>22792</v>
      </c>
    </row>
    <row r="191" spans="1:4" ht="45" x14ac:dyDescent="0.25">
      <c r="A191" s="16"/>
      <c r="B191" s="17" t="s">
        <v>24</v>
      </c>
      <c r="C191" s="17" t="s">
        <v>83</v>
      </c>
      <c r="D191" s="20">
        <v>5850</v>
      </c>
    </row>
    <row r="192" spans="1:4" ht="45" x14ac:dyDescent="0.25">
      <c r="A192" s="16"/>
      <c r="B192" s="17" t="s">
        <v>24</v>
      </c>
      <c r="C192" s="17" t="s">
        <v>84</v>
      </c>
      <c r="D192" s="20">
        <v>8500</v>
      </c>
    </row>
    <row r="193" spans="1:14" ht="45" x14ac:dyDescent="0.25">
      <c r="A193" s="16"/>
      <c r="B193" s="17" t="s">
        <v>24</v>
      </c>
      <c r="C193" s="17" t="s">
        <v>85</v>
      </c>
      <c r="D193" s="20">
        <v>2000</v>
      </c>
    </row>
    <row r="194" spans="1:14" ht="45" x14ac:dyDescent="0.25">
      <c r="A194" s="16"/>
      <c r="B194" s="17" t="s">
        <v>24</v>
      </c>
      <c r="C194" s="17" t="s">
        <v>86</v>
      </c>
      <c r="D194" s="18"/>
    </row>
    <row r="195" spans="1:14" ht="45" x14ac:dyDescent="0.25">
      <c r="A195" s="16"/>
      <c r="B195" s="17" t="s">
        <v>24</v>
      </c>
      <c r="C195" s="17" t="s">
        <v>87</v>
      </c>
      <c r="D195" s="18"/>
    </row>
    <row r="196" spans="1:14" x14ac:dyDescent="0.25">
      <c r="A196" s="16"/>
      <c r="B196" s="65" t="s">
        <v>88</v>
      </c>
      <c r="C196" s="65"/>
      <c r="D196" s="66">
        <v>179571.67</v>
      </c>
    </row>
    <row r="197" spans="1:14" ht="30" x14ac:dyDescent="0.25">
      <c r="A197" s="16"/>
      <c r="B197" s="65" t="s">
        <v>89</v>
      </c>
      <c r="C197" s="65"/>
      <c r="D197" s="66">
        <v>179571.67</v>
      </c>
    </row>
    <row r="198" spans="1:14" x14ac:dyDescent="0.25">
      <c r="A198" t="s">
        <v>90</v>
      </c>
    </row>
    <row r="199" spans="1:14" ht="45" x14ac:dyDescent="0.25">
      <c r="A199" s="16"/>
      <c r="B199" s="17" t="s">
        <v>24</v>
      </c>
      <c r="C199" s="17" t="s">
        <v>67</v>
      </c>
      <c r="D199" s="18"/>
      <c r="L199" s="20">
        <v>18200</v>
      </c>
      <c r="M199" s="20">
        <v>219226</v>
      </c>
      <c r="N199" s="19">
        <f>D199+L199+M199</f>
        <v>237426</v>
      </c>
    </row>
    <row r="200" spans="1:14" ht="45" x14ac:dyDescent="0.25">
      <c r="A200" s="16"/>
      <c r="B200" s="17" t="s">
        <v>24</v>
      </c>
      <c r="C200" s="17" t="s">
        <v>68</v>
      </c>
      <c r="D200" s="20">
        <v>1000</v>
      </c>
      <c r="L200" s="20">
        <v>12200</v>
      </c>
      <c r="M200" s="20">
        <v>4000</v>
      </c>
      <c r="N200" s="19">
        <f t="shared" ref="N200:N219" si="0">D200+L200+M200</f>
        <v>17200</v>
      </c>
    </row>
    <row r="201" spans="1:14" ht="45" x14ac:dyDescent="0.25">
      <c r="A201" s="16"/>
      <c r="B201" s="17" t="s">
        <v>24</v>
      </c>
      <c r="C201" s="17" t="s">
        <v>69</v>
      </c>
      <c r="D201" s="18"/>
      <c r="L201" s="20">
        <v>21100</v>
      </c>
      <c r="M201" s="20">
        <v>156900</v>
      </c>
      <c r="N201" s="19">
        <f t="shared" si="0"/>
        <v>178000</v>
      </c>
    </row>
    <row r="202" spans="1:14" ht="45" x14ac:dyDescent="0.25">
      <c r="A202" s="16"/>
      <c r="B202" s="17" t="s">
        <v>24</v>
      </c>
      <c r="C202" s="17" t="s">
        <v>70</v>
      </c>
      <c r="D202" s="18"/>
      <c r="L202" s="20">
        <v>21000</v>
      </c>
      <c r="M202" s="20">
        <v>2462935.9</v>
      </c>
      <c r="N202" s="19">
        <f t="shared" si="0"/>
        <v>2483935.9</v>
      </c>
    </row>
    <row r="203" spans="1:14" ht="45" x14ac:dyDescent="0.25">
      <c r="A203" s="16"/>
      <c r="B203" s="17" t="s">
        <v>24</v>
      </c>
      <c r="C203" s="17" t="s">
        <v>71</v>
      </c>
      <c r="D203" s="18"/>
      <c r="L203" s="20">
        <v>10800</v>
      </c>
      <c r="M203" s="18"/>
      <c r="N203" s="19">
        <f t="shared" si="0"/>
        <v>10800</v>
      </c>
    </row>
    <row r="204" spans="1:14" ht="45" x14ac:dyDescent="0.25">
      <c r="A204" s="16"/>
      <c r="B204" s="17" t="s">
        <v>24</v>
      </c>
      <c r="C204" s="17" t="s">
        <v>72</v>
      </c>
      <c r="D204" s="18"/>
      <c r="L204" s="20">
        <v>90900</v>
      </c>
      <c r="M204" s="18"/>
      <c r="N204" s="19">
        <f t="shared" si="0"/>
        <v>90900</v>
      </c>
    </row>
    <row r="205" spans="1:14" ht="45" x14ac:dyDescent="0.25">
      <c r="A205" s="16"/>
      <c r="B205" s="17" t="s">
        <v>24</v>
      </c>
      <c r="C205" s="17" t="s">
        <v>73</v>
      </c>
      <c r="D205" s="18"/>
      <c r="L205" s="20">
        <v>19900</v>
      </c>
      <c r="M205" s="20">
        <v>3278.96</v>
      </c>
      <c r="N205" s="19">
        <f t="shared" si="0"/>
        <v>23178.959999999999</v>
      </c>
    </row>
    <row r="206" spans="1:14" ht="45" x14ac:dyDescent="0.25">
      <c r="A206" s="16"/>
      <c r="B206" s="17" t="s">
        <v>24</v>
      </c>
      <c r="C206" s="17" t="s">
        <v>74</v>
      </c>
      <c r="D206" s="20">
        <v>1000</v>
      </c>
      <c r="L206" s="20">
        <v>23700</v>
      </c>
      <c r="M206" s="20">
        <v>100000</v>
      </c>
      <c r="N206" s="19">
        <f t="shared" si="0"/>
        <v>124700</v>
      </c>
    </row>
    <row r="207" spans="1:14" ht="45" x14ac:dyDescent="0.25">
      <c r="A207" s="16"/>
      <c r="B207" s="17" t="s">
        <v>24</v>
      </c>
      <c r="C207" s="17" t="s">
        <v>75</v>
      </c>
      <c r="D207" s="20">
        <v>7750</v>
      </c>
      <c r="L207" s="20">
        <v>90500</v>
      </c>
      <c r="M207" s="18"/>
      <c r="N207" s="19">
        <f t="shared" si="0"/>
        <v>98250</v>
      </c>
    </row>
    <row r="208" spans="1:14" ht="45" x14ac:dyDescent="0.25">
      <c r="A208" s="16"/>
      <c r="B208" s="17" t="s">
        <v>24</v>
      </c>
      <c r="C208" s="17" t="s">
        <v>76</v>
      </c>
      <c r="D208" s="18"/>
      <c r="L208" s="20">
        <v>13600</v>
      </c>
      <c r="M208" s="18"/>
      <c r="N208" s="19">
        <f t="shared" si="0"/>
        <v>13600</v>
      </c>
    </row>
    <row r="209" spans="1:14" ht="45" x14ac:dyDescent="0.25">
      <c r="A209" s="16"/>
      <c r="B209" s="17" t="s">
        <v>24</v>
      </c>
      <c r="C209" s="17" t="s">
        <v>77</v>
      </c>
      <c r="D209" s="18"/>
      <c r="L209" s="20">
        <v>6800</v>
      </c>
      <c r="M209" s="18"/>
      <c r="N209" s="19">
        <f t="shared" si="0"/>
        <v>6800</v>
      </c>
    </row>
    <row r="210" spans="1:14" ht="45" x14ac:dyDescent="0.25">
      <c r="A210" s="16"/>
      <c r="B210" s="17" t="s">
        <v>24</v>
      </c>
      <c r="C210" s="17" t="s">
        <v>78</v>
      </c>
      <c r="D210" s="18"/>
      <c r="L210" s="20">
        <v>15000</v>
      </c>
      <c r="M210" s="20">
        <v>115300</v>
      </c>
      <c r="N210" s="19">
        <f t="shared" si="0"/>
        <v>130300</v>
      </c>
    </row>
    <row r="211" spans="1:14" ht="45" x14ac:dyDescent="0.25">
      <c r="A211" s="16"/>
      <c r="B211" s="17" t="s">
        <v>24</v>
      </c>
      <c r="C211" s="17" t="s">
        <v>79</v>
      </c>
      <c r="D211" s="20">
        <v>4000</v>
      </c>
      <c r="L211" s="20">
        <v>15000</v>
      </c>
      <c r="M211" s="20">
        <v>6000</v>
      </c>
      <c r="N211" s="19">
        <f t="shared" si="0"/>
        <v>25000</v>
      </c>
    </row>
    <row r="212" spans="1:14" ht="45" x14ac:dyDescent="0.25">
      <c r="A212" s="16"/>
      <c r="B212" s="17" t="s">
        <v>24</v>
      </c>
      <c r="C212" s="17" t="s">
        <v>80</v>
      </c>
      <c r="D212" s="20">
        <v>100000</v>
      </c>
      <c r="L212" s="20">
        <v>13600</v>
      </c>
      <c r="M212" s="20">
        <v>1453922.45</v>
      </c>
      <c r="N212" s="19">
        <f t="shared" si="0"/>
        <v>1567522.45</v>
      </c>
    </row>
    <row r="213" spans="1:14" ht="45" x14ac:dyDescent="0.25">
      <c r="A213" s="16"/>
      <c r="B213" s="17" t="s">
        <v>24</v>
      </c>
      <c r="C213" s="17" t="s">
        <v>81</v>
      </c>
      <c r="D213" s="18"/>
      <c r="L213" s="20">
        <v>33900</v>
      </c>
      <c r="M213" s="20">
        <v>14010</v>
      </c>
      <c r="N213" s="19">
        <f t="shared" si="0"/>
        <v>47910</v>
      </c>
    </row>
    <row r="214" spans="1:14" ht="45" x14ac:dyDescent="0.25">
      <c r="A214" s="16"/>
      <c r="B214" s="17" t="s">
        <v>24</v>
      </c>
      <c r="C214" s="17" t="s">
        <v>82</v>
      </c>
      <c r="D214" s="20">
        <v>55408</v>
      </c>
      <c r="L214" s="20">
        <v>27300</v>
      </c>
      <c r="M214" s="20">
        <v>50000</v>
      </c>
      <c r="N214" s="19">
        <f t="shared" si="0"/>
        <v>132708</v>
      </c>
    </row>
    <row r="215" spans="1:14" ht="45" x14ac:dyDescent="0.25">
      <c r="A215" s="16"/>
      <c r="B215" s="17" t="s">
        <v>24</v>
      </c>
      <c r="C215" s="17" t="s">
        <v>83</v>
      </c>
      <c r="D215" s="18"/>
      <c r="L215" s="20">
        <v>20000</v>
      </c>
      <c r="M215" s="20">
        <v>3005.7</v>
      </c>
      <c r="N215" s="19">
        <f t="shared" si="0"/>
        <v>23005.7</v>
      </c>
    </row>
    <row r="216" spans="1:14" ht="45" x14ac:dyDescent="0.25">
      <c r="A216" s="16"/>
      <c r="B216" s="17" t="s">
        <v>24</v>
      </c>
      <c r="C216" s="17" t="s">
        <v>84</v>
      </c>
      <c r="D216" s="20">
        <v>129811.68</v>
      </c>
      <c r="L216" s="20">
        <v>12900</v>
      </c>
      <c r="M216" s="20">
        <v>7213.68</v>
      </c>
      <c r="N216" s="19">
        <f t="shared" si="0"/>
        <v>149925.35999999999</v>
      </c>
    </row>
    <row r="217" spans="1:14" ht="45" x14ac:dyDescent="0.25">
      <c r="A217" s="16"/>
      <c r="B217" s="17" t="s">
        <v>24</v>
      </c>
      <c r="C217" s="17" t="s">
        <v>85</v>
      </c>
      <c r="D217" s="18"/>
      <c r="L217" s="20">
        <v>11100</v>
      </c>
      <c r="M217" s="20">
        <v>164700</v>
      </c>
      <c r="N217" s="19">
        <f t="shared" si="0"/>
        <v>175800</v>
      </c>
    </row>
    <row r="218" spans="1:14" ht="45" x14ac:dyDescent="0.25">
      <c r="A218" s="16"/>
      <c r="B218" s="17" t="s">
        <v>24</v>
      </c>
      <c r="C218" s="17" t="s">
        <v>86</v>
      </c>
      <c r="D218" s="18"/>
      <c r="L218" s="20">
        <v>11600</v>
      </c>
      <c r="M218" s="18"/>
      <c r="N218" s="19">
        <f t="shared" si="0"/>
        <v>11600</v>
      </c>
    </row>
    <row r="219" spans="1:14" ht="45" x14ac:dyDescent="0.25">
      <c r="A219" s="16"/>
      <c r="B219" s="17" t="s">
        <v>24</v>
      </c>
      <c r="C219" s="17" t="s">
        <v>87</v>
      </c>
      <c r="D219" s="18"/>
      <c r="L219" s="20">
        <v>13600</v>
      </c>
      <c r="M219" s="18"/>
      <c r="N219" s="19">
        <f t="shared" si="0"/>
        <v>13600</v>
      </c>
    </row>
    <row r="220" spans="1:14" x14ac:dyDescent="0.25">
      <c r="A220" s="16"/>
      <c r="B220" s="65" t="s">
        <v>88</v>
      </c>
      <c r="C220" s="65"/>
      <c r="D220" s="66">
        <v>298969.68</v>
      </c>
    </row>
    <row r="223" spans="1:14" ht="45" x14ac:dyDescent="0.25">
      <c r="A223" s="16"/>
      <c r="B223" s="64"/>
      <c r="C223" s="64" t="s">
        <v>65</v>
      </c>
      <c r="D223" s="64" t="s">
        <v>66</v>
      </c>
    </row>
    <row r="224" spans="1:14" ht="45" x14ac:dyDescent="0.25">
      <c r="A224" s="16"/>
      <c r="B224" s="17" t="s">
        <v>24</v>
      </c>
      <c r="C224" s="17" t="s">
        <v>67</v>
      </c>
      <c r="D224" s="20">
        <v>41700</v>
      </c>
      <c r="L224" s="18"/>
      <c r="M224" s="19">
        <f>D224+L224</f>
        <v>41700</v>
      </c>
    </row>
    <row r="225" spans="1:13" ht="45" x14ac:dyDescent="0.25">
      <c r="A225" s="16"/>
      <c r="B225" s="17" t="s">
        <v>24</v>
      </c>
      <c r="C225" s="17" t="s">
        <v>68</v>
      </c>
      <c r="D225" s="20">
        <v>49530.2</v>
      </c>
      <c r="L225" s="18"/>
      <c r="M225" s="19">
        <f t="shared" ref="M225:M245" si="1">D225+L225</f>
        <v>49530.2</v>
      </c>
    </row>
    <row r="226" spans="1:13" ht="45" x14ac:dyDescent="0.25">
      <c r="A226" s="16"/>
      <c r="B226" s="17" t="s">
        <v>24</v>
      </c>
      <c r="C226" s="17" t="s">
        <v>69</v>
      </c>
      <c r="D226" s="20">
        <v>60996</v>
      </c>
      <c r="L226" s="20">
        <v>4400</v>
      </c>
      <c r="M226" s="19">
        <f t="shared" si="1"/>
        <v>65396</v>
      </c>
    </row>
    <row r="227" spans="1:13" ht="45" x14ac:dyDescent="0.25">
      <c r="A227" s="16"/>
      <c r="B227" s="17" t="s">
        <v>24</v>
      </c>
      <c r="C227" s="17" t="s">
        <v>70</v>
      </c>
      <c r="D227" s="20">
        <v>117650</v>
      </c>
      <c r="L227" s="18"/>
      <c r="M227" s="19">
        <f t="shared" si="1"/>
        <v>117650</v>
      </c>
    </row>
    <row r="228" spans="1:13" ht="45" x14ac:dyDescent="0.25">
      <c r="A228" s="16"/>
      <c r="B228" s="17" t="s">
        <v>24</v>
      </c>
      <c r="C228" s="17" t="s">
        <v>71</v>
      </c>
      <c r="D228" s="20">
        <v>16800</v>
      </c>
      <c r="L228" s="18"/>
      <c r="M228" s="19">
        <f t="shared" si="1"/>
        <v>16800</v>
      </c>
    </row>
    <row r="229" spans="1:13" ht="45" x14ac:dyDescent="0.25">
      <c r="A229" s="16"/>
      <c r="B229" s="17" t="s">
        <v>24</v>
      </c>
      <c r="C229" s="17" t="s">
        <v>72</v>
      </c>
      <c r="D229" s="18"/>
      <c r="L229" s="18"/>
      <c r="M229" s="19">
        <f t="shared" si="1"/>
        <v>0</v>
      </c>
    </row>
    <row r="230" spans="1:13" ht="45" x14ac:dyDescent="0.25">
      <c r="A230" s="16"/>
      <c r="B230" s="17" t="s">
        <v>24</v>
      </c>
      <c r="C230" s="17" t="s">
        <v>73</v>
      </c>
      <c r="D230" s="20">
        <v>13100</v>
      </c>
      <c r="L230" s="20">
        <v>30000</v>
      </c>
      <c r="M230" s="19">
        <f t="shared" si="1"/>
        <v>43100</v>
      </c>
    </row>
    <row r="231" spans="1:13" ht="45" x14ac:dyDescent="0.25">
      <c r="A231" s="16"/>
      <c r="B231" s="17" t="s">
        <v>24</v>
      </c>
      <c r="C231" s="17" t="s">
        <v>74</v>
      </c>
      <c r="D231" s="20">
        <v>21600</v>
      </c>
      <c r="L231" s="20">
        <v>224469.41</v>
      </c>
      <c r="M231" s="19">
        <f t="shared" si="1"/>
        <v>246069.41</v>
      </c>
    </row>
    <row r="232" spans="1:13" ht="45" x14ac:dyDescent="0.25">
      <c r="A232" s="16"/>
      <c r="B232" s="17" t="s">
        <v>24</v>
      </c>
      <c r="C232" s="17" t="s">
        <v>75</v>
      </c>
      <c r="D232" s="20">
        <v>104000</v>
      </c>
      <c r="L232" s="20">
        <v>203697</v>
      </c>
      <c r="M232" s="19">
        <f t="shared" si="1"/>
        <v>307697</v>
      </c>
    </row>
    <row r="233" spans="1:13" ht="45" x14ac:dyDescent="0.25">
      <c r="A233" s="16"/>
      <c r="B233" s="17" t="s">
        <v>24</v>
      </c>
      <c r="C233" s="17" t="s">
        <v>76</v>
      </c>
      <c r="D233" s="20">
        <v>50000</v>
      </c>
      <c r="L233" s="20">
        <v>18600</v>
      </c>
      <c r="M233" s="19">
        <f t="shared" si="1"/>
        <v>68600</v>
      </c>
    </row>
    <row r="234" spans="1:13" ht="45" x14ac:dyDescent="0.25">
      <c r="A234" s="16"/>
      <c r="B234" s="17" t="s">
        <v>24</v>
      </c>
      <c r="C234" s="17" t="s">
        <v>77</v>
      </c>
      <c r="D234" s="20">
        <v>2600</v>
      </c>
      <c r="L234" s="20">
        <v>5000</v>
      </c>
      <c r="M234" s="19">
        <f t="shared" si="1"/>
        <v>7600</v>
      </c>
    </row>
    <row r="235" spans="1:13" ht="45" x14ac:dyDescent="0.25">
      <c r="A235" s="16"/>
      <c r="B235" s="17" t="s">
        <v>24</v>
      </c>
      <c r="C235" s="17" t="s">
        <v>78</v>
      </c>
      <c r="D235" s="20">
        <v>50600</v>
      </c>
      <c r="L235" s="18"/>
      <c r="M235" s="19">
        <f t="shared" si="1"/>
        <v>50600</v>
      </c>
    </row>
    <row r="236" spans="1:13" ht="45" x14ac:dyDescent="0.25">
      <c r="A236" s="16"/>
      <c r="B236" s="17" t="s">
        <v>24</v>
      </c>
      <c r="C236" s="17" t="s">
        <v>79</v>
      </c>
      <c r="D236" s="20">
        <v>20400</v>
      </c>
      <c r="L236" s="20">
        <v>27000</v>
      </c>
      <c r="M236" s="19">
        <f t="shared" si="1"/>
        <v>47400</v>
      </c>
    </row>
    <row r="237" spans="1:13" ht="45" x14ac:dyDescent="0.25">
      <c r="A237" s="16"/>
      <c r="B237" s="17" t="s">
        <v>24</v>
      </c>
      <c r="C237" s="17" t="s">
        <v>80</v>
      </c>
      <c r="D237" s="20">
        <v>64200</v>
      </c>
      <c r="L237" s="18"/>
      <c r="M237" s="19">
        <f t="shared" si="1"/>
        <v>64200</v>
      </c>
    </row>
    <row r="238" spans="1:13" ht="45" x14ac:dyDescent="0.25">
      <c r="A238" s="16"/>
      <c r="B238" s="17" t="s">
        <v>24</v>
      </c>
      <c r="C238" s="17" t="s">
        <v>81</v>
      </c>
      <c r="D238" s="20">
        <v>15990</v>
      </c>
      <c r="L238" s="20">
        <v>70000</v>
      </c>
      <c r="M238" s="19">
        <f t="shared" si="1"/>
        <v>85990</v>
      </c>
    </row>
    <row r="239" spans="1:13" ht="45" x14ac:dyDescent="0.25">
      <c r="A239" s="16"/>
      <c r="B239" s="17" t="s">
        <v>24</v>
      </c>
      <c r="C239" s="17" t="s">
        <v>82</v>
      </c>
      <c r="D239" s="20">
        <v>80900</v>
      </c>
      <c r="L239" s="18"/>
      <c r="M239" s="19">
        <f t="shared" si="1"/>
        <v>80900</v>
      </c>
    </row>
    <row r="240" spans="1:13" ht="45" x14ac:dyDescent="0.25">
      <c r="A240" s="16"/>
      <c r="B240" s="17" t="s">
        <v>24</v>
      </c>
      <c r="C240" s="17" t="s">
        <v>83</v>
      </c>
      <c r="D240" s="20">
        <v>5000</v>
      </c>
      <c r="L240" s="20">
        <v>17680</v>
      </c>
      <c r="M240" s="19">
        <f t="shared" si="1"/>
        <v>22680</v>
      </c>
    </row>
    <row r="241" spans="1:13" ht="45" x14ac:dyDescent="0.25">
      <c r="A241" s="16"/>
      <c r="B241" s="17" t="s">
        <v>24</v>
      </c>
      <c r="C241" s="17" t="s">
        <v>84</v>
      </c>
      <c r="D241" s="20">
        <v>82200</v>
      </c>
      <c r="L241" s="18"/>
      <c r="M241" s="19">
        <f t="shared" si="1"/>
        <v>82200</v>
      </c>
    </row>
    <row r="242" spans="1:13" ht="45" x14ac:dyDescent="0.25">
      <c r="A242" s="16"/>
      <c r="B242" s="17" t="s">
        <v>24</v>
      </c>
      <c r="C242" s="17" t="s">
        <v>85</v>
      </c>
      <c r="D242" s="20">
        <v>150000</v>
      </c>
      <c r="L242" s="20">
        <v>12400</v>
      </c>
      <c r="M242" s="19">
        <f t="shared" si="1"/>
        <v>162400</v>
      </c>
    </row>
    <row r="243" spans="1:13" ht="45" x14ac:dyDescent="0.25">
      <c r="A243" s="16"/>
      <c r="B243" s="17" t="s">
        <v>24</v>
      </c>
      <c r="C243" s="17" t="s">
        <v>86</v>
      </c>
      <c r="D243" s="20">
        <v>205200</v>
      </c>
      <c r="L243" s="18"/>
      <c r="M243" s="19">
        <f t="shared" si="1"/>
        <v>205200</v>
      </c>
    </row>
    <row r="244" spans="1:13" ht="45" x14ac:dyDescent="0.25">
      <c r="A244" s="16"/>
      <c r="B244" s="17" t="s">
        <v>24</v>
      </c>
      <c r="C244" s="17" t="s">
        <v>87</v>
      </c>
      <c r="D244" s="18"/>
      <c r="L244" s="18"/>
      <c r="M244" s="19">
        <f t="shared" si="1"/>
        <v>0</v>
      </c>
    </row>
    <row r="245" spans="1:13" x14ac:dyDescent="0.25">
      <c r="A245" s="16"/>
      <c r="B245" s="65" t="s">
        <v>88</v>
      </c>
      <c r="C245" s="65"/>
      <c r="D245" s="66">
        <v>1152466.2</v>
      </c>
      <c r="L245" s="66">
        <v>613246.41</v>
      </c>
      <c r="M245" s="19">
        <f t="shared" si="1"/>
        <v>1765712.6099999999</v>
      </c>
    </row>
    <row r="246" spans="1:13" x14ac:dyDescent="0.25">
      <c r="A246" t="s">
        <v>93</v>
      </c>
    </row>
    <row r="247" spans="1:13" ht="45" x14ac:dyDescent="0.25">
      <c r="A247" s="16"/>
      <c r="B247" s="17" t="s">
        <v>24</v>
      </c>
      <c r="C247" s="17" t="s">
        <v>67</v>
      </c>
      <c r="D247" s="20">
        <v>10000</v>
      </c>
    </row>
    <row r="248" spans="1:13" ht="45" x14ac:dyDescent="0.25">
      <c r="A248" s="16"/>
      <c r="B248" s="17" t="s">
        <v>24</v>
      </c>
      <c r="C248" s="17" t="s">
        <v>68</v>
      </c>
      <c r="D248" s="20">
        <v>12000</v>
      </c>
    </row>
    <row r="249" spans="1:13" ht="45" x14ac:dyDescent="0.25">
      <c r="A249" s="16"/>
      <c r="B249" s="17" t="s">
        <v>24</v>
      </c>
      <c r="C249" s="17" t="s">
        <v>69</v>
      </c>
      <c r="D249" s="20">
        <v>10000</v>
      </c>
    </row>
    <row r="250" spans="1:13" ht="45" x14ac:dyDescent="0.25">
      <c r="A250" s="16"/>
      <c r="B250" s="17" t="s">
        <v>24</v>
      </c>
      <c r="C250" s="17" t="s">
        <v>70</v>
      </c>
      <c r="D250" s="20">
        <v>50000</v>
      </c>
    </row>
    <row r="251" spans="1:13" ht="45" x14ac:dyDescent="0.25">
      <c r="A251" s="16"/>
      <c r="B251" s="17" t="s">
        <v>24</v>
      </c>
      <c r="C251" s="17" t="s">
        <v>71</v>
      </c>
      <c r="D251" s="20">
        <v>3000</v>
      </c>
    </row>
    <row r="252" spans="1:13" ht="45" x14ac:dyDescent="0.25">
      <c r="A252" s="16"/>
      <c r="B252" s="17" t="s">
        <v>24</v>
      </c>
      <c r="C252" s="17" t="s">
        <v>72</v>
      </c>
      <c r="D252" s="18"/>
    </row>
    <row r="253" spans="1:13" ht="45" x14ac:dyDescent="0.25">
      <c r="A253" s="16"/>
      <c r="B253" s="17" t="s">
        <v>24</v>
      </c>
      <c r="C253" s="17" t="s">
        <v>73</v>
      </c>
      <c r="D253" s="20">
        <v>10000</v>
      </c>
    </row>
    <row r="254" spans="1:13" ht="45" x14ac:dyDescent="0.25">
      <c r="A254" s="16"/>
      <c r="B254" s="17" t="s">
        <v>24</v>
      </c>
      <c r="C254" s="17" t="s">
        <v>74</v>
      </c>
      <c r="D254" s="20">
        <v>55000</v>
      </c>
    </row>
    <row r="255" spans="1:13" ht="45" x14ac:dyDescent="0.25">
      <c r="A255" s="16"/>
      <c r="B255" s="17" t="s">
        <v>24</v>
      </c>
      <c r="C255" s="17" t="s">
        <v>75</v>
      </c>
      <c r="D255" s="18"/>
    </row>
    <row r="256" spans="1:13" ht="45" x14ac:dyDescent="0.25">
      <c r="A256" s="16"/>
      <c r="B256" s="17" t="s">
        <v>24</v>
      </c>
      <c r="C256" s="17" t="s">
        <v>76</v>
      </c>
      <c r="D256" s="20">
        <v>4645.6000000000004</v>
      </c>
    </row>
    <row r="257" spans="1:4" ht="45" x14ac:dyDescent="0.25">
      <c r="A257" s="16"/>
      <c r="B257" s="17" t="s">
        <v>24</v>
      </c>
      <c r="C257" s="17" t="s">
        <v>77</v>
      </c>
      <c r="D257" s="18"/>
    </row>
    <row r="258" spans="1:4" ht="45" x14ac:dyDescent="0.25">
      <c r="A258" s="16"/>
      <c r="B258" s="17" t="s">
        <v>24</v>
      </c>
      <c r="C258" s="17" t="s">
        <v>78</v>
      </c>
      <c r="D258" s="18"/>
    </row>
    <row r="259" spans="1:4" ht="45" x14ac:dyDescent="0.25">
      <c r="A259" s="16"/>
      <c r="B259" s="17" t="s">
        <v>24</v>
      </c>
      <c r="C259" s="17" t="s">
        <v>79</v>
      </c>
      <c r="D259" s="20">
        <v>35000</v>
      </c>
    </row>
    <row r="260" spans="1:4" ht="45" x14ac:dyDescent="0.25">
      <c r="A260" s="16"/>
      <c r="B260" s="17" t="s">
        <v>24</v>
      </c>
      <c r="C260" s="17" t="s">
        <v>80</v>
      </c>
      <c r="D260" s="20">
        <v>44698</v>
      </c>
    </row>
    <row r="261" spans="1:4" ht="45" x14ac:dyDescent="0.25">
      <c r="A261" s="16"/>
      <c r="B261" s="17" t="s">
        <v>24</v>
      </c>
      <c r="C261" s="17" t="s">
        <v>81</v>
      </c>
      <c r="D261" s="18"/>
    </row>
    <row r="262" spans="1:4" ht="45" x14ac:dyDescent="0.25">
      <c r="A262" s="16"/>
      <c r="B262" s="17" t="s">
        <v>24</v>
      </c>
      <c r="C262" s="17" t="s">
        <v>82</v>
      </c>
      <c r="D262" s="20">
        <v>80000</v>
      </c>
    </row>
    <row r="263" spans="1:4" ht="45" x14ac:dyDescent="0.25">
      <c r="A263" s="16"/>
      <c r="B263" s="17" t="s">
        <v>24</v>
      </c>
      <c r="C263" s="17" t="s">
        <v>83</v>
      </c>
      <c r="D263" s="20">
        <v>38000</v>
      </c>
    </row>
    <row r="264" spans="1:4" ht="45" x14ac:dyDescent="0.25">
      <c r="A264" s="16"/>
      <c r="B264" s="17" t="s">
        <v>24</v>
      </c>
      <c r="C264" s="17" t="s">
        <v>84</v>
      </c>
      <c r="D264" s="20">
        <v>10000</v>
      </c>
    </row>
    <row r="265" spans="1:4" ht="45" x14ac:dyDescent="0.25">
      <c r="A265" s="16"/>
      <c r="B265" s="17" t="s">
        <v>24</v>
      </c>
      <c r="C265" s="17" t="s">
        <v>85</v>
      </c>
      <c r="D265" s="20">
        <v>10500</v>
      </c>
    </row>
    <row r="266" spans="1:4" ht="45" x14ac:dyDescent="0.25">
      <c r="A266" s="16"/>
      <c r="B266" s="17" t="s">
        <v>24</v>
      </c>
      <c r="C266" s="17" t="s">
        <v>86</v>
      </c>
      <c r="D266" s="20">
        <v>1000</v>
      </c>
    </row>
    <row r="267" spans="1:4" ht="45" x14ac:dyDescent="0.25">
      <c r="A267" s="16"/>
      <c r="B267" s="17" t="s">
        <v>24</v>
      </c>
      <c r="C267" s="17" t="s">
        <v>87</v>
      </c>
      <c r="D267" s="20">
        <v>38000</v>
      </c>
    </row>
    <row r="268" spans="1:4" x14ac:dyDescent="0.25">
      <c r="A268" s="16"/>
      <c r="B268" s="65" t="s">
        <v>88</v>
      </c>
      <c r="C268" s="65"/>
      <c r="D268" s="66">
        <v>411843.6</v>
      </c>
    </row>
    <row r="270" spans="1:4" ht="45" x14ac:dyDescent="0.25">
      <c r="A270" s="16"/>
      <c r="B270" s="17" t="s">
        <v>24</v>
      </c>
      <c r="C270" s="17" t="s">
        <v>74</v>
      </c>
      <c r="D270" s="20">
        <v>2991100</v>
      </c>
    </row>
    <row r="271" spans="1:4" ht="45" x14ac:dyDescent="0.25">
      <c r="A271" s="16"/>
      <c r="B271" s="17" t="s">
        <v>24</v>
      </c>
      <c r="C271" s="17" t="s">
        <v>75</v>
      </c>
      <c r="D271" s="20">
        <v>2436458</v>
      </c>
    </row>
    <row r="272" spans="1:4" ht="45" x14ac:dyDescent="0.25">
      <c r="A272" s="16"/>
      <c r="B272" s="17" t="s">
        <v>24</v>
      </c>
      <c r="C272" s="17" t="s">
        <v>76</v>
      </c>
      <c r="D272" s="20">
        <v>486020.98</v>
      </c>
    </row>
    <row r="273" spans="1:4" ht="45" x14ac:dyDescent="0.25">
      <c r="A273" s="16"/>
      <c r="B273" s="17" t="s">
        <v>24</v>
      </c>
      <c r="C273" s="17" t="s">
        <v>77</v>
      </c>
      <c r="D273" s="18"/>
    </row>
    <row r="274" spans="1:4" ht="45" x14ac:dyDescent="0.25">
      <c r="A274" s="16"/>
      <c r="B274" s="17" t="s">
        <v>24</v>
      </c>
      <c r="C274" s="17" t="s">
        <v>78</v>
      </c>
      <c r="D274" s="18"/>
    </row>
    <row r="275" spans="1:4" ht="45" x14ac:dyDescent="0.25">
      <c r="A275" s="16"/>
      <c r="B275" s="17" t="s">
        <v>24</v>
      </c>
      <c r="C275" s="17" t="s">
        <v>79</v>
      </c>
      <c r="D275" s="18"/>
    </row>
    <row r="276" spans="1:4" ht="45" x14ac:dyDescent="0.25">
      <c r="A276" s="16"/>
      <c r="B276" s="17" t="s">
        <v>24</v>
      </c>
      <c r="C276" s="17" t="s">
        <v>80</v>
      </c>
      <c r="D276" s="18"/>
    </row>
    <row r="277" spans="1:4" ht="45" x14ac:dyDescent="0.25">
      <c r="A277" s="16"/>
      <c r="B277" s="17" t="s">
        <v>24</v>
      </c>
      <c r="C277" s="17" t="s">
        <v>81</v>
      </c>
      <c r="D277" s="18"/>
    </row>
    <row r="278" spans="1:4" ht="45" x14ac:dyDescent="0.25">
      <c r="A278" s="16"/>
      <c r="B278" s="17" t="s">
        <v>24</v>
      </c>
      <c r="C278" s="17" t="s">
        <v>82</v>
      </c>
      <c r="D278" s="20">
        <v>3506850</v>
      </c>
    </row>
  </sheetData>
  <mergeCells count="2">
    <mergeCell ref="L28:M28"/>
    <mergeCell ref="A147:D1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33"/>
  <sheetViews>
    <sheetView workbookViewId="0">
      <selection activeCell="C4" sqref="C4:L4"/>
    </sheetView>
  </sheetViews>
  <sheetFormatPr defaultRowHeight="15" x14ac:dyDescent="0.25"/>
  <cols>
    <col min="1" max="1" width="3.42578125" customWidth="1"/>
    <col min="2" max="2" width="21" customWidth="1"/>
    <col min="3" max="3" width="10.140625" customWidth="1"/>
    <col min="4" max="4" width="10" customWidth="1"/>
    <col min="5" max="5" width="10.140625" customWidth="1"/>
    <col min="6" max="6" width="12" customWidth="1"/>
    <col min="7" max="7" width="11" customWidth="1"/>
    <col min="8" max="8" width="11" hidden="1" customWidth="1"/>
    <col min="9" max="9" width="13.42578125" customWidth="1"/>
    <col min="10" max="10" width="13" customWidth="1"/>
    <col min="11" max="11" width="12.140625" customWidth="1"/>
    <col min="12" max="12" width="9.7109375" customWidth="1"/>
    <col min="13" max="13" width="10" customWidth="1"/>
    <col min="14" max="14" width="12.5703125" customWidth="1"/>
    <col min="15" max="15" width="10.7109375" customWidth="1"/>
    <col min="257" max="257" width="3.42578125" customWidth="1"/>
    <col min="258" max="258" width="21" customWidth="1"/>
    <col min="259" max="259" width="10.140625" customWidth="1"/>
    <col min="260" max="260" width="10" customWidth="1"/>
    <col min="261" max="261" width="10.140625" customWidth="1"/>
    <col min="262" max="262" width="12" customWidth="1"/>
    <col min="263" max="263" width="11" customWidth="1"/>
    <col min="264" max="264" width="0" hidden="1" customWidth="1"/>
    <col min="265" max="265" width="13.42578125" customWidth="1"/>
    <col min="266" max="266" width="13" customWidth="1"/>
    <col min="267" max="267" width="12.140625" customWidth="1"/>
    <col min="268" max="268" width="9.7109375" customWidth="1"/>
    <col min="269" max="269" width="10" customWidth="1"/>
    <col min="270" max="270" width="12.5703125" customWidth="1"/>
    <col min="271" max="271" width="10.7109375" customWidth="1"/>
    <col min="513" max="513" width="3.42578125" customWidth="1"/>
    <col min="514" max="514" width="21" customWidth="1"/>
    <col min="515" max="515" width="10.140625" customWidth="1"/>
    <col min="516" max="516" width="10" customWidth="1"/>
    <col min="517" max="517" width="10.140625" customWidth="1"/>
    <col min="518" max="518" width="12" customWidth="1"/>
    <col min="519" max="519" width="11" customWidth="1"/>
    <col min="520" max="520" width="0" hidden="1" customWidth="1"/>
    <col min="521" max="521" width="13.42578125" customWidth="1"/>
    <col min="522" max="522" width="13" customWidth="1"/>
    <col min="523" max="523" width="12.140625" customWidth="1"/>
    <col min="524" max="524" width="9.7109375" customWidth="1"/>
    <col min="525" max="525" width="10" customWidth="1"/>
    <col min="526" max="526" width="12.5703125" customWidth="1"/>
    <col min="527" max="527" width="10.7109375" customWidth="1"/>
    <col min="769" max="769" width="3.42578125" customWidth="1"/>
    <col min="770" max="770" width="21" customWidth="1"/>
    <col min="771" max="771" width="10.140625" customWidth="1"/>
    <col min="772" max="772" width="10" customWidth="1"/>
    <col min="773" max="773" width="10.140625" customWidth="1"/>
    <col min="774" max="774" width="12" customWidth="1"/>
    <col min="775" max="775" width="11" customWidth="1"/>
    <col min="776" max="776" width="0" hidden="1" customWidth="1"/>
    <col min="777" max="777" width="13.42578125" customWidth="1"/>
    <col min="778" max="778" width="13" customWidth="1"/>
    <col min="779" max="779" width="12.140625" customWidth="1"/>
    <col min="780" max="780" width="9.7109375" customWidth="1"/>
    <col min="781" max="781" width="10" customWidth="1"/>
    <col min="782" max="782" width="12.5703125" customWidth="1"/>
    <col min="783" max="783" width="10.7109375" customWidth="1"/>
    <col min="1025" max="1025" width="3.42578125" customWidth="1"/>
    <col min="1026" max="1026" width="21" customWidth="1"/>
    <col min="1027" max="1027" width="10.140625" customWidth="1"/>
    <col min="1028" max="1028" width="10" customWidth="1"/>
    <col min="1029" max="1029" width="10.140625" customWidth="1"/>
    <col min="1030" max="1030" width="12" customWidth="1"/>
    <col min="1031" max="1031" width="11" customWidth="1"/>
    <col min="1032" max="1032" width="0" hidden="1" customWidth="1"/>
    <col min="1033" max="1033" width="13.42578125" customWidth="1"/>
    <col min="1034" max="1034" width="13" customWidth="1"/>
    <col min="1035" max="1035" width="12.140625" customWidth="1"/>
    <col min="1036" max="1036" width="9.7109375" customWidth="1"/>
    <col min="1037" max="1037" width="10" customWidth="1"/>
    <col min="1038" max="1038" width="12.5703125" customWidth="1"/>
    <col min="1039" max="1039" width="10.7109375" customWidth="1"/>
    <col min="1281" max="1281" width="3.42578125" customWidth="1"/>
    <col min="1282" max="1282" width="21" customWidth="1"/>
    <col min="1283" max="1283" width="10.140625" customWidth="1"/>
    <col min="1284" max="1284" width="10" customWidth="1"/>
    <col min="1285" max="1285" width="10.140625" customWidth="1"/>
    <col min="1286" max="1286" width="12" customWidth="1"/>
    <col min="1287" max="1287" width="11" customWidth="1"/>
    <col min="1288" max="1288" width="0" hidden="1" customWidth="1"/>
    <col min="1289" max="1289" width="13.42578125" customWidth="1"/>
    <col min="1290" max="1290" width="13" customWidth="1"/>
    <col min="1291" max="1291" width="12.140625" customWidth="1"/>
    <col min="1292" max="1292" width="9.7109375" customWidth="1"/>
    <col min="1293" max="1293" width="10" customWidth="1"/>
    <col min="1294" max="1294" width="12.5703125" customWidth="1"/>
    <col min="1295" max="1295" width="10.7109375" customWidth="1"/>
    <col min="1537" max="1537" width="3.42578125" customWidth="1"/>
    <col min="1538" max="1538" width="21" customWidth="1"/>
    <col min="1539" max="1539" width="10.140625" customWidth="1"/>
    <col min="1540" max="1540" width="10" customWidth="1"/>
    <col min="1541" max="1541" width="10.140625" customWidth="1"/>
    <col min="1542" max="1542" width="12" customWidth="1"/>
    <col min="1543" max="1543" width="11" customWidth="1"/>
    <col min="1544" max="1544" width="0" hidden="1" customWidth="1"/>
    <col min="1545" max="1545" width="13.42578125" customWidth="1"/>
    <col min="1546" max="1546" width="13" customWidth="1"/>
    <col min="1547" max="1547" width="12.140625" customWidth="1"/>
    <col min="1548" max="1548" width="9.7109375" customWidth="1"/>
    <col min="1549" max="1549" width="10" customWidth="1"/>
    <col min="1550" max="1550" width="12.5703125" customWidth="1"/>
    <col min="1551" max="1551" width="10.7109375" customWidth="1"/>
    <col min="1793" max="1793" width="3.42578125" customWidth="1"/>
    <col min="1794" max="1794" width="21" customWidth="1"/>
    <col min="1795" max="1795" width="10.140625" customWidth="1"/>
    <col min="1796" max="1796" width="10" customWidth="1"/>
    <col min="1797" max="1797" width="10.140625" customWidth="1"/>
    <col min="1798" max="1798" width="12" customWidth="1"/>
    <col min="1799" max="1799" width="11" customWidth="1"/>
    <col min="1800" max="1800" width="0" hidden="1" customWidth="1"/>
    <col min="1801" max="1801" width="13.42578125" customWidth="1"/>
    <col min="1802" max="1802" width="13" customWidth="1"/>
    <col min="1803" max="1803" width="12.140625" customWidth="1"/>
    <col min="1804" max="1804" width="9.7109375" customWidth="1"/>
    <col min="1805" max="1805" width="10" customWidth="1"/>
    <col min="1806" max="1806" width="12.5703125" customWidth="1"/>
    <col min="1807" max="1807" width="10.7109375" customWidth="1"/>
    <col min="2049" max="2049" width="3.42578125" customWidth="1"/>
    <col min="2050" max="2050" width="21" customWidth="1"/>
    <col min="2051" max="2051" width="10.140625" customWidth="1"/>
    <col min="2052" max="2052" width="10" customWidth="1"/>
    <col min="2053" max="2053" width="10.140625" customWidth="1"/>
    <col min="2054" max="2054" width="12" customWidth="1"/>
    <col min="2055" max="2055" width="11" customWidth="1"/>
    <col min="2056" max="2056" width="0" hidden="1" customWidth="1"/>
    <col min="2057" max="2057" width="13.42578125" customWidth="1"/>
    <col min="2058" max="2058" width="13" customWidth="1"/>
    <col min="2059" max="2059" width="12.140625" customWidth="1"/>
    <col min="2060" max="2060" width="9.7109375" customWidth="1"/>
    <col min="2061" max="2061" width="10" customWidth="1"/>
    <col min="2062" max="2062" width="12.5703125" customWidth="1"/>
    <col min="2063" max="2063" width="10.7109375" customWidth="1"/>
    <col min="2305" max="2305" width="3.42578125" customWidth="1"/>
    <col min="2306" max="2306" width="21" customWidth="1"/>
    <col min="2307" max="2307" width="10.140625" customWidth="1"/>
    <col min="2308" max="2308" width="10" customWidth="1"/>
    <col min="2309" max="2309" width="10.140625" customWidth="1"/>
    <col min="2310" max="2310" width="12" customWidth="1"/>
    <col min="2311" max="2311" width="11" customWidth="1"/>
    <col min="2312" max="2312" width="0" hidden="1" customWidth="1"/>
    <col min="2313" max="2313" width="13.42578125" customWidth="1"/>
    <col min="2314" max="2314" width="13" customWidth="1"/>
    <col min="2315" max="2315" width="12.140625" customWidth="1"/>
    <col min="2316" max="2316" width="9.7109375" customWidth="1"/>
    <col min="2317" max="2317" width="10" customWidth="1"/>
    <col min="2318" max="2318" width="12.5703125" customWidth="1"/>
    <col min="2319" max="2319" width="10.7109375" customWidth="1"/>
    <col min="2561" max="2561" width="3.42578125" customWidth="1"/>
    <col min="2562" max="2562" width="21" customWidth="1"/>
    <col min="2563" max="2563" width="10.140625" customWidth="1"/>
    <col min="2564" max="2564" width="10" customWidth="1"/>
    <col min="2565" max="2565" width="10.140625" customWidth="1"/>
    <col min="2566" max="2566" width="12" customWidth="1"/>
    <col min="2567" max="2567" width="11" customWidth="1"/>
    <col min="2568" max="2568" width="0" hidden="1" customWidth="1"/>
    <col min="2569" max="2569" width="13.42578125" customWidth="1"/>
    <col min="2570" max="2570" width="13" customWidth="1"/>
    <col min="2571" max="2571" width="12.140625" customWidth="1"/>
    <col min="2572" max="2572" width="9.7109375" customWidth="1"/>
    <col min="2573" max="2573" width="10" customWidth="1"/>
    <col min="2574" max="2574" width="12.5703125" customWidth="1"/>
    <col min="2575" max="2575" width="10.7109375" customWidth="1"/>
    <col min="2817" max="2817" width="3.42578125" customWidth="1"/>
    <col min="2818" max="2818" width="21" customWidth="1"/>
    <col min="2819" max="2819" width="10.140625" customWidth="1"/>
    <col min="2820" max="2820" width="10" customWidth="1"/>
    <col min="2821" max="2821" width="10.140625" customWidth="1"/>
    <col min="2822" max="2822" width="12" customWidth="1"/>
    <col min="2823" max="2823" width="11" customWidth="1"/>
    <col min="2824" max="2824" width="0" hidden="1" customWidth="1"/>
    <col min="2825" max="2825" width="13.42578125" customWidth="1"/>
    <col min="2826" max="2826" width="13" customWidth="1"/>
    <col min="2827" max="2827" width="12.140625" customWidth="1"/>
    <col min="2828" max="2828" width="9.7109375" customWidth="1"/>
    <col min="2829" max="2829" width="10" customWidth="1"/>
    <col min="2830" max="2830" width="12.5703125" customWidth="1"/>
    <col min="2831" max="2831" width="10.7109375" customWidth="1"/>
    <col min="3073" max="3073" width="3.42578125" customWidth="1"/>
    <col min="3074" max="3074" width="21" customWidth="1"/>
    <col min="3075" max="3075" width="10.140625" customWidth="1"/>
    <col min="3076" max="3076" width="10" customWidth="1"/>
    <col min="3077" max="3077" width="10.140625" customWidth="1"/>
    <col min="3078" max="3078" width="12" customWidth="1"/>
    <col min="3079" max="3079" width="11" customWidth="1"/>
    <col min="3080" max="3080" width="0" hidden="1" customWidth="1"/>
    <col min="3081" max="3081" width="13.42578125" customWidth="1"/>
    <col min="3082" max="3082" width="13" customWidth="1"/>
    <col min="3083" max="3083" width="12.140625" customWidth="1"/>
    <col min="3084" max="3084" width="9.7109375" customWidth="1"/>
    <col min="3085" max="3085" width="10" customWidth="1"/>
    <col min="3086" max="3086" width="12.5703125" customWidth="1"/>
    <col min="3087" max="3087" width="10.7109375" customWidth="1"/>
    <col min="3329" max="3329" width="3.42578125" customWidth="1"/>
    <col min="3330" max="3330" width="21" customWidth="1"/>
    <col min="3331" max="3331" width="10.140625" customWidth="1"/>
    <col min="3332" max="3332" width="10" customWidth="1"/>
    <col min="3333" max="3333" width="10.140625" customWidth="1"/>
    <col min="3334" max="3334" width="12" customWidth="1"/>
    <col min="3335" max="3335" width="11" customWidth="1"/>
    <col min="3336" max="3336" width="0" hidden="1" customWidth="1"/>
    <col min="3337" max="3337" width="13.42578125" customWidth="1"/>
    <col min="3338" max="3338" width="13" customWidth="1"/>
    <col min="3339" max="3339" width="12.140625" customWidth="1"/>
    <col min="3340" max="3340" width="9.7109375" customWidth="1"/>
    <col min="3341" max="3341" width="10" customWidth="1"/>
    <col min="3342" max="3342" width="12.5703125" customWidth="1"/>
    <col min="3343" max="3343" width="10.7109375" customWidth="1"/>
    <col min="3585" max="3585" width="3.42578125" customWidth="1"/>
    <col min="3586" max="3586" width="21" customWidth="1"/>
    <col min="3587" max="3587" width="10.140625" customWidth="1"/>
    <col min="3588" max="3588" width="10" customWidth="1"/>
    <col min="3589" max="3589" width="10.140625" customWidth="1"/>
    <col min="3590" max="3590" width="12" customWidth="1"/>
    <col min="3591" max="3591" width="11" customWidth="1"/>
    <col min="3592" max="3592" width="0" hidden="1" customWidth="1"/>
    <col min="3593" max="3593" width="13.42578125" customWidth="1"/>
    <col min="3594" max="3594" width="13" customWidth="1"/>
    <col min="3595" max="3595" width="12.140625" customWidth="1"/>
    <col min="3596" max="3596" width="9.7109375" customWidth="1"/>
    <col min="3597" max="3597" width="10" customWidth="1"/>
    <col min="3598" max="3598" width="12.5703125" customWidth="1"/>
    <col min="3599" max="3599" width="10.7109375" customWidth="1"/>
    <col min="3841" max="3841" width="3.42578125" customWidth="1"/>
    <col min="3842" max="3842" width="21" customWidth="1"/>
    <col min="3843" max="3843" width="10.140625" customWidth="1"/>
    <col min="3844" max="3844" width="10" customWidth="1"/>
    <col min="3845" max="3845" width="10.140625" customWidth="1"/>
    <col min="3846" max="3846" width="12" customWidth="1"/>
    <col min="3847" max="3847" width="11" customWidth="1"/>
    <col min="3848" max="3848" width="0" hidden="1" customWidth="1"/>
    <col min="3849" max="3849" width="13.42578125" customWidth="1"/>
    <col min="3850" max="3850" width="13" customWidth="1"/>
    <col min="3851" max="3851" width="12.140625" customWidth="1"/>
    <col min="3852" max="3852" width="9.7109375" customWidth="1"/>
    <col min="3853" max="3853" width="10" customWidth="1"/>
    <col min="3854" max="3854" width="12.5703125" customWidth="1"/>
    <col min="3855" max="3855" width="10.7109375" customWidth="1"/>
    <col min="4097" max="4097" width="3.42578125" customWidth="1"/>
    <col min="4098" max="4098" width="21" customWidth="1"/>
    <col min="4099" max="4099" width="10.140625" customWidth="1"/>
    <col min="4100" max="4100" width="10" customWidth="1"/>
    <col min="4101" max="4101" width="10.140625" customWidth="1"/>
    <col min="4102" max="4102" width="12" customWidth="1"/>
    <col min="4103" max="4103" width="11" customWidth="1"/>
    <col min="4104" max="4104" width="0" hidden="1" customWidth="1"/>
    <col min="4105" max="4105" width="13.42578125" customWidth="1"/>
    <col min="4106" max="4106" width="13" customWidth="1"/>
    <col min="4107" max="4107" width="12.140625" customWidth="1"/>
    <col min="4108" max="4108" width="9.7109375" customWidth="1"/>
    <col min="4109" max="4109" width="10" customWidth="1"/>
    <col min="4110" max="4110" width="12.5703125" customWidth="1"/>
    <col min="4111" max="4111" width="10.7109375" customWidth="1"/>
    <col min="4353" max="4353" width="3.42578125" customWidth="1"/>
    <col min="4354" max="4354" width="21" customWidth="1"/>
    <col min="4355" max="4355" width="10.140625" customWidth="1"/>
    <col min="4356" max="4356" width="10" customWidth="1"/>
    <col min="4357" max="4357" width="10.140625" customWidth="1"/>
    <col min="4358" max="4358" width="12" customWidth="1"/>
    <col min="4359" max="4359" width="11" customWidth="1"/>
    <col min="4360" max="4360" width="0" hidden="1" customWidth="1"/>
    <col min="4361" max="4361" width="13.42578125" customWidth="1"/>
    <col min="4362" max="4362" width="13" customWidth="1"/>
    <col min="4363" max="4363" width="12.140625" customWidth="1"/>
    <col min="4364" max="4364" width="9.7109375" customWidth="1"/>
    <col min="4365" max="4365" width="10" customWidth="1"/>
    <col min="4366" max="4366" width="12.5703125" customWidth="1"/>
    <col min="4367" max="4367" width="10.7109375" customWidth="1"/>
    <col min="4609" max="4609" width="3.42578125" customWidth="1"/>
    <col min="4610" max="4610" width="21" customWidth="1"/>
    <col min="4611" max="4611" width="10.140625" customWidth="1"/>
    <col min="4612" max="4612" width="10" customWidth="1"/>
    <col min="4613" max="4613" width="10.140625" customWidth="1"/>
    <col min="4614" max="4614" width="12" customWidth="1"/>
    <col min="4615" max="4615" width="11" customWidth="1"/>
    <col min="4616" max="4616" width="0" hidden="1" customWidth="1"/>
    <col min="4617" max="4617" width="13.42578125" customWidth="1"/>
    <col min="4618" max="4618" width="13" customWidth="1"/>
    <col min="4619" max="4619" width="12.140625" customWidth="1"/>
    <col min="4620" max="4620" width="9.7109375" customWidth="1"/>
    <col min="4621" max="4621" width="10" customWidth="1"/>
    <col min="4622" max="4622" width="12.5703125" customWidth="1"/>
    <col min="4623" max="4623" width="10.7109375" customWidth="1"/>
    <col min="4865" max="4865" width="3.42578125" customWidth="1"/>
    <col min="4866" max="4866" width="21" customWidth="1"/>
    <col min="4867" max="4867" width="10.140625" customWidth="1"/>
    <col min="4868" max="4868" width="10" customWidth="1"/>
    <col min="4869" max="4869" width="10.140625" customWidth="1"/>
    <col min="4870" max="4870" width="12" customWidth="1"/>
    <col min="4871" max="4871" width="11" customWidth="1"/>
    <col min="4872" max="4872" width="0" hidden="1" customWidth="1"/>
    <col min="4873" max="4873" width="13.42578125" customWidth="1"/>
    <col min="4874" max="4874" width="13" customWidth="1"/>
    <col min="4875" max="4875" width="12.140625" customWidth="1"/>
    <col min="4876" max="4876" width="9.7109375" customWidth="1"/>
    <col min="4877" max="4877" width="10" customWidth="1"/>
    <col min="4878" max="4878" width="12.5703125" customWidth="1"/>
    <col min="4879" max="4879" width="10.7109375" customWidth="1"/>
    <col min="5121" max="5121" width="3.42578125" customWidth="1"/>
    <col min="5122" max="5122" width="21" customWidth="1"/>
    <col min="5123" max="5123" width="10.140625" customWidth="1"/>
    <col min="5124" max="5124" width="10" customWidth="1"/>
    <col min="5125" max="5125" width="10.140625" customWidth="1"/>
    <col min="5126" max="5126" width="12" customWidth="1"/>
    <col min="5127" max="5127" width="11" customWidth="1"/>
    <col min="5128" max="5128" width="0" hidden="1" customWidth="1"/>
    <col min="5129" max="5129" width="13.42578125" customWidth="1"/>
    <col min="5130" max="5130" width="13" customWidth="1"/>
    <col min="5131" max="5131" width="12.140625" customWidth="1"/>
    <col min="5132" max="5132" width="9.7109375" customWidth="1"/>
    <col min="5133" max="5133" width="10" customWidth="1"/>
    <col min="5134" max="5134" width="12.5703125" customWidth="1"/>
    <col min="5135" max="5135" width="10.7109375" customWidth="1"/>
    <col min="5377" max="5377" width="3.42578125" customWidth="1"/>
    <col min="5378" max="5378" width="21" customWidth="1"/>
    <col min="5379" max="5379" width="10.140625" customWidth="1"/>
    <col min="5380" max="5380" width="10" customWidth="1"/>
    <col min="5381" max="5381" width="10.140625" customWidth="1"/>
    <col min="5382" max="5382" width="12" customWidth="1"/>
    <col min="5383" max="5383" width="11" customWidth="1"/>
    <col min="5384" max="5384" width="0" hidden="1" customWidth="1"/>
    <col min="5385" max="5385" width="13.42578125" customWidth="1"/>
    <col min="5386" max="5386" width="13" customWidth="1"/>
    <col min="5387" max="5387" width="12.140625" customWidth="1"/>
    <col min="5388" max="5388" width="9.7109375" customWidth="1"/>
    <col min="5389" max="5389" width="10" customWidth="1"/>
    <col min="5390" max="5390" width="12.5703125" customWidth="1"/>
    <col min="5391" max="5391" width="10.7109375" customWidth="1"/>
    <col min="5633" max="5633" width="3.42578125" customWidth="1"/>
    <col min="5634" max="5634" width="21" customWidth="1"/>
    <col min="5635" max="5635" width="10.140625" customWidth="1"/>
    <col min="5636" max="5636" width="10" customWidth="1"/>
    <col min="5637" max="5637" width="10.140625" customWidth="1"/>
    <col min="5638" max="5638" width="12" customWidth="1"/>
    <col min="5639" max="5639" width="11" customWidth="1"/>
    <col min="5640" max="5640" width="0" hidden="1" customWidth="1"/>
    <col min="5641" max="5641" width="13.42578125" customWidth="1"/>
    <col min="5642" max="5642" width="13" customWidth="1"/>
    <col min="5643" max="5643" width="12.140625" customWidth="1"/>
    <col min="5644" max="5644" width="9.7109375" customWidth="1"/>
    <col min="5645" max="5645" width="10" customWidth="1"/>
    <col min="5646" max="5646" width="12.5703125" customWidth="1"/>
    <col min="5647" max="5647" width="10.7109375" customWidth="1"/>
    <col min="5889" max="5889" width="3.42578125" customWidth="1"/>
    <col min="5890" max="5890" width="21" customWidth="1"/>
    <col min="5891" max="5891" width="10.140625" customWidth="1"/>
    <col min="5892" max="5892" width="10" customWidth="1"/>
    <col min="5893" max="5893" width="10.140625" customWidth="1"/>
    <col min="5894" max="5894" width="12" customWidth="1"/>
    <col min="5895" max="5895" width="11" customWidth="1"/>
    <col min="5896" max="5896" width="0" hidden="1" customWidth="1"/>
    <col min="5897" max="5897" width="13.42578125" customWidth="1"/>
    <col min="5898" max="5898" width="13" customWidth="1"/>
    <col min="5899" max="5899" width="12.140625" customWidth="1"/>
    <col min="5900" max="5900" width="9.7109375" customWidth="1"/>
    <col min="5901" max="5901" width="10" customWidth="1"/>
    <col min="5902" max="5902" width="12.5703125" customWidth="1"/>
    <col min="5903" max="5903" width="10.7109375" customWidth="1"/>
    <col min="6145" max="6145" width="3.42578125" customWidth="1"/>
    <col min="6146" max="6146" width="21" customWidth="1"/>
    <col min="6147" max="6147" width="10.140625" customWidth="1"/>
    <col min="6148" max="6148" width="10" customWidth="1"/>
    <col min="6149" max="6149" width="10.140625" customWidth="1"/>
    <col min="6150" max="6150" width="12" customWidth="1"/>
    <col min="6151" max="6151" width="11" customWidth="1"/>
    <col min="6152" max="6152" width="0" hidden="1" customWidth="1"/>
    <col min="6153" max="6153" width="13.42578125" customWidth="1"/>
    <col min="6154" max="6154" width="13" customWidth="1"/>
    <col min="6155" max="6155" width="12.140625" customWidth="1"/>
    <col min="6156" max="6156" width="9.7109375" customWidth="1"/>
    <col min="6157" max="6157" width="10" customWidth="1"/>
    <col min="6158" max="6158" width="12.5703125" customWidth="1"/>
    <col min="6159" max="6159" width="10.7109375" customWidth="1"/>
    <col min="6401" max="6401" width="3.42578125" customWidth="1"/>
    <col min="6402" max="6402" width="21" customWidth="1"/>
    <col min="6403" max="6403" width="10.140625" customWidth="1"/>
    <col min="6404" max="6404" width="10" customWidth="1"/>
    <col min="6405" max="6405" width="10.140625" customWidth="1"/>
    <col min="6406" max="6406" width="12" customWidth="1"/>
    <col min="6407" max="6407" width="11" customWidth="1"/>
    <col min="6408" max="6408" width="0" hidden="1" customWidth="1"/>
    <col min="6409" max="6409" width="13.42578125" customWidth="1"/>
    <col min="6410" max="6410" width="13" customWidth="1"/>
    <col min="6411" max="6411" width="12.140625" customWidth="1"/>
    <col min="6412" max="6412" width="9.7109375" customWidth="1"/>
    <col min="6413" max="6413" width="10" customWidth="1"/>
    <col min="6414" max="6414" width="12.5703125" customWidth="1"/>
    <col min="6415" max="6415" width="10.7109375" customWidth="1"/>
    <col min="6657" max="6657" width="3.42578125" customWidth="1"/>
    <col min="6658" max="6658" width="21" customWidth="1"/>
    <col min="6659" max="6659" width="10.140625" customWidth="1"/>
    <col min="6660" max="6660" width="10" customWidth="1"/>
    <col min="6661" max="6661" width="10.140625" customWidth="1"/>
    <col min="6662" max="6662" width="12" customWidth="1"/>
    <col min="6663" max="6663" width="11" customWidth="1"/>
    <col min="6664" max="6664" width="0" hidden="1" customWidth="1"/>
    <col min="6665" max="6665" width="13.42578125" customWidth="1"/>
    <col min="6666" max="6666" width="13" customWidth="1"/>
    <col min="6667" max="6667" width="12.140625" customWidth="1"/>
    <col min="6668" max="6668" width="9.7109375" customWidth="1"/>
    <col min="6669" max="6669" width="10" customWidth="1"/>
    <col min="6670" max="6670" width="12.5703125" customWidth="1"/>
    <col min="6671" max="6671" width="10.7109375" customWidth="1"/>
    <col min="6913" max="6913" width="3.42578125" customWidth="1"/>
    <col min="6914" max="6914" width="21" customWidth="1"/>
    <col min="6915" max="6915" width="10.140625" customWidth="1"/>
    <col min="6916" max="6916" width="10" customWidth="1"/>
    <col min="6917" max="6917" width="10.140625" customWidth="1"/>
    <col min="6918" max="6918" width="12" customWidth="1"/>
    <col min="6919" max="6919" width="11" customWidth="1"/>
    <col min="6920" max="6920" width="0" hidden="1" customWidth="1"/>
    <col min="6921" max="6921" width="13.42578125" customWidth="1"/>
    <col min="6922" max="6922" width="13" customWidth="1"/>
    <col min="6923" max="6923" width="12.140625" customWidth="1"/>
    <col min="6924" max="6924" width="9.7109375" customWidth="1"/>
    <col min="6925" max="6925" width="10" customWidth="1"/>
    <col min="6926" max="6926" width="12.5703125" customWidth="1"/>
    <col min="6927" max="6927" width="10.7109375" customWidth="1"/>
    <col min="7169" max="7169" width="3.42578125" customWidth="1"/>
    <col min="7170" max="7170" width="21" customWidth="1"/>
    <col min="7171" max="7171" width="10.140625" customWidth="1"/>
    <col min="7172" max="7172" width="10" customWidth="1"/>
    <col min="7173" max="7173" width="10.140625" customWidth="1"/>
    <col min="7174" max="7174" width="12" customWidth="1"/>
    <col min="7175" max="7175" width="11" customWidth="1"/>
    <col min="7176" max="7176" width="0" hidden="1" customWidth="1"/>
    <col min="7177" max="7177" width="13.42578125" customWidth="1"/>
    <col min="7178" max="7178" width="13" customWidth="1"/>
    <col min="7179" max="7179" width="12.140625" customWidth="1"/>
    <col min="7180" max="7180" width="9.7109375" customWidth="1"/>
    <col min="7181" max="7181" width="10" customWidth="1"/>
    <col min="7182" max="7182" width="12.5703125" customWidth="1"/>
    <col min="7183" max="7183" width="10.7109375" customWidth="1"/>
    <col min="7425" max="7425" width="3.42578125" customWidth="1"/>
    <col min="7426" max="7426" width="21" customWidth="1"/>
    <col min="7427" max="7427" width="10.140625" customWidth="1"/>
    <col min="7428" max="7428" width="10" customWidth="1"/>
    <col min="7429" max="7429" width="10.140625" customWidth="1"/>
    <col min="7430" max="7430" width="12" customWidth="1"/>
    <col min="7431" max="7431" width="11" customWidth="1"/>
    <col min="7432" max="7432" width="0" hidden="1" customWidth="1"/>
    <col min="7433" max="7433" width="13.42578125" customWidth="1"/>
    <col min="7434" max="7434" width="13" customWidth="1"/>
    <col min="7435" max="7435" width="12.140625" customWidth="1"/>
    <col min="7436" max="7436" width="9.7109375" customWidth="1"/>
    <col min="7437" max="7437" width="10" customWidth="1"/>
    <col min="7438" max="7438" width="12.5703125" customWidth="1"/>
    <col min="7439" max="7439" width="10.7109375" customWidth="1"/>
    <col min="7681" max="7681" width="3.42578125" customWidth="1"/>
    <col min="7682" max="7682" width="21" customWidth="1"/>
    <col min="7683" max="7683" width="10.140625" customWidth="1"/>
    <col min="7684" max="7684" width="10" customWidth="1"/>
    <col min="7685" max="7685" width="10.140625" customWidth="1"/>
    <col min="7686" max="7686" width="12" customWidth="1"/>
    <col min="7687" max="7687" width="11" customWidth="1"/>
    <col min="7688" max="7688" width="0" hidden="1" customWidth="1"/>
    <col min="7689" max="7689" width="13.42578125" customWidth="1"/>
    <col min="7690" max="7690" width="13" customWidth="1"/>
    <col min="7691" max="7691" width="12.140625" customWidth="1"/>
    <col min="7692" max="7692" width="9.7109375" customWidth="1"/>
    <col min="7693" max="7693" width="10" customWidth="1"/>
    <col min="7694" max="7694" width="12.5703125" customWidth="1"/>
    <col min="7695" max="7695" width="10.7109375" customWidth="1"/>
    <col min="7937" max="7937" width="3.42578125" customWidth="1"/>
    <col min="7938" max="7938" width="21" customWidth="1"/>
    <col min="7939" max="7939" width="10.140625" customWidth="1"/>
    <col min="7940" max="7940" width="10" customWidth="1"/>
    <col min="7941" max="7941" width="10.140625" customWidth="1"/>
    <col min="7942" max="7942" width="12" customWidth="1"/>
    <col min="7943" max="7943" width="11" customWidth="1"/>
    <col min="7944" max="7944" width="0" hidden="1" customWidth="1"/>
    <col min="7945" max="7945" width="13.42578125" customWidth="1"/>
    <col min="7946" max="7946" width="13" customWidth="1"/>
    <col min="7947" max="7947" width="12.140625" customWidth="1"/>
    <col min="7948" max="7948" width="9.7109375" customWidth="1"/>
    <col min="7949" max="7949" width="10" customWidth="1"/>
    <col min="7950" max="7950" width="12.5703125" customWidth="1"/>
    <col min="7951" max="7951" width="10.7109375" customWidth="1"/>
    <col min="8193" max="8193" width="3.42578125" customWidth="1"/>
    <col min="8194" max="8194" width="21" customWidth="1"/>
    <col min="8195" max="8195" width="10.140625" customWidth="1"/>
    <col min="8196" max="8196" width="10" customWidth="1"/>
    <col min="8197" max="8197" width="10.140625" customWidth="1"/>
    <col min="8198" max="8198" width="12" customWidth="1"/>
    <col min="8199" max="8199" width="11" customWidth="1"/>
    <col min="8200" max="8200" width="0" hidden="1" customWidth="1"/>
    <col min="8201" max="8201" width="13.42578125" customWidth="1"/>
    <col min="8202" max="8202" width="13" customWidth="1"/>
    <col min="8203" max="8203" width="12.140625" customWidth="1"/>
    <col min="8204" max="8204" width="9.7109375" customWidth="1"/>
    <col min="8205" max="8205" width="10" customWidth="1"/>
    <col min="8206" max="8206" width="12.5703125" customWidth="1"/>
    <col min="8207" max="8207" width="10.7109375" customWidth="1"/>
    <col min="8449" max="8449" width="3.42578125" customWidth="1"/>
    <col min="8450" max="8450" width="21" customWidth="1"/>
    <col min="8451" max="8451" width="10.140625" customWidth="1"/>
    <col min="8452" max="8452" width="10" customWidth="1"/>
    <col min="8453" max="8453" width="10.140625" customWidth="1"/>
    <col min="8454" max="8454" width="12" customWidth="1"/>
    <col min="8455" max="8455" width="11" customWidth="1"/>
    <col min="8456" max="8456" width="0" hidden="1" customWidth="1"/>
    <col min="8457" max="8457" width="13.42578125" customWidth="1"/>
    <col min="8458" max="8458" width="13" customWidth="1"/>
    <col min="8459" max="8459" width="12.140625" customWidth="1"/>
    <col min="8460" max="8460" width="9.7109375" customWidth="1"/>
    <col min="8461" max="8461" width="10" customWidth="1"/>
    <col min="8462" max="8462" width="12.5703125" customWidth="1"/>
    <col min="8463" max="8463" width="10.7109375" customWidth="1"/>
    <col min="8705" max="8705" width="3.42578125" customWidth="1"/>
    <col min="8706" max="8706" width="21" customWidth="1"/>
    <col min="8707" max="8707" width="10.140625" customWidth="1"/>
    <col min="8708" max="8708" width="10" customWidth="1"/>
    <col min="8709" max="8709" width="10.140625" customWidth="1"/>
    <col min="8710" max="8710" width="12" customWidth="1"/>
    <col min="8711" max="8711" width="11" customWidth="1"/>
    <col min="8712" max="8712" width="0" hidden="1" customWidth="1"/>
    <col min="8713" max="8713" width="13.42578125" customWidth="1"/>
    <col min="8714" max="8714" width="13" customWidth="1"/>
    <col min="8715" max="8715" width="12.140625" customWidth="1"/>
    <col min="8716" max="8716" width="9.7109375" customWidth="1"/>
    <col min="8717" max="8717" width="10" customWidth="1"/>
    <col min="8718" max="8718" width="12.5703125" customWidth="1"/>
    <col min="8719" max="8719" width="10.7109375" customWidth="1"/>
    <col min="8961" max="8961" width="3.42578125" customWidth="1"/>
    <col min="8962" max="8962" width="21" customWidth="1"/>
    <col min="8963" max="8963" width="10.140625" customWidth="1"/>
    <col min="8964" max="8964" width="10" customWidth="1"/>
    <col min="8965" max="8965" width="10.140625" customWidth="1"/>
    <col min="8966" max="8966" width="12" customWidth="1"/>
    <col min="8967" max="8967" width="11" customWidth="1"/>
    <col min="8968" max="8968" width="0" hidden="1" customWidth="1"/>
    <col min="8969" max="8969" width="13.42578125" customWidth="1"/>
    <col min="8970" max="8970" width="13" customWidth="1"/>
    <col min="8971" max="8971" width="12.140625" customWidth="1"/>
    <col min="8972" max="8972" width="9.7109375" customWidth="1"/>
    <col min="8973" max="8973" width="10" customWidth="1"/>
    <col min="8974" max="8974" width="12.5703125" customWidth="1"/>
    <col min="8975" max="8975" width="10.7109375" customWidth="1"/>
    <col min="9217" max="9217" width="3.42578125" customWidth="1"/>
    <col min="9218" max="9218" width="21" customWidth="1"/>
    <col min="9219" max="9219" width="10.140625" customWidth="1"/>
    <col min="9220" max="9220" width="10" customWidth="1"/>
    <col min="9221" max="9221" width="10.140625" customWidth="1"/>
    <col min="9222" max="9222" width="12" customWidth="1"/>
    <col min="9223" max="9223" width="11" customWidth="1"/>
    <col min="9224" max="9224" width="0" hidden="1" customWidth="1"/>
    <col min="9225" max="9225" width="13.42578125" customWidth="1"/>
    <col min="9226" max="9226" width="13" customWidth="1"/>
    <col min="9227" max="9227" width="12.140625" customWidth="1"/>
    <col min="9228" max="9228" width="9.7109375" customWidth="1"/>
    <col min="9229" max="9229" width="10" customWidth="1"/>
    <col min="9230" max="9230" width="12.5703125" customWidth="1"/>
    <col min="9231" max="9231" width="10.7109375" customWidth="1"/>
    <col min="9473" max="9473" width="3.42578125" customWidth="1"/>
    <col min="9474" max="9474" width="21" customWidth="1"/>
    <col min="9475" max="9475" width="10.140625" customWidth="1"/>
    <col min="9476" max="9476" width="10" customWidth="1"/>
    <col min="9477" max="9477" width="10.140625" customWidth="1"/>
    <col min="9478" max="9478" width="12" customWidth="1"/>
    <col min="9479" max="9479" width="11" customWidth="1"/>
    <col min="9480" max="9480" width="0" hidden="1" customWidth="1"/>
    <col min="9481" max="9481" width="13.42578125" customWidth="1"/>
    <col min="9482" max="9482" width="13" customWidth="1"/>
    <col min="9483" max="9483" width="12.140625" customWidth="1"/>
    <col min="9484" max="9484" width="9.7109375" customWidth="1"/>
    <col min="9485" max="9485" width="10" customWidth="1"/>
    <col min="9486" max="9486" width="12.5703125" customWidth="1"/>
    <col min="9487" max="9487" width="10.7109375" customWidth="1"/>
    <col min="9729" max="9729" width="3.42578125" customWidth="1"/>
    <col min="9730" max="9730" width="21" customWidth="1"/>
    <col min="9731" max="9731" width="10.140625" customWidth="1"/>
    <col min="9732" max="9732" width="10" customWidth="1"/>
    <col min="9733" max="9733" width="10.140625" customWidth="1"/>
    <col min="9734" max="9734" width="12" customWidth="1"/>
    <col min="9735" max="9735" width="11" customWidth="1"/>
    <col min="9736" max="9736" width="0" hidden="1" customWidth="1"/>
    <col min="9737" max="9737" width="13.42578125" customWidth="1"/>
    <col min="9738" max="9738" width="13" customWidth="1"/>
    <col min="9739" max="9739" width="12.140625" customWidth="1"/>
    <col min="9740" max="9740" width="9.7109375" customWidth="1"/>
    <col min="9741" max="9741" width="10" customWidth="1"/>
    <col min="9742" max="9742" width="12.5703125" customWidth="1"/>
    <col min="9743" max="9743" width="10.7109375" customWidth="1"/>
    <col min="9985" max="9985" width="3.42578125" customWidth="1"/>
    <col min="9986" max="9986" width="21" customWidth="1"/>
    <col min="9987" max="9987" width="10.140625" customWidth="1"/>
    <col min="9988" max="9988" width="10" customWidth="1"/>
    <col min="9989" max="9989" width="10.140625" customWidth="1"/>
    <col min="9990" max="9990" width="12" customWidth="1"/>
    <col min="9991" max="9991" width="11" customWidth="1"/>
    <col min="9992" max="9992" width="0" hidden="1" customWidth="1"/>
    <col min="9993" max="9993" width="13.42578125" customWidth="1"/>
    <col min="9994" max="9994" width="13" customWidth="1"/>
    <col min="9995" max="9995" width="12.140625" customWidth="1"/>
    <col min="9996" max="9996" width="9.7109375" customWidth="1"/>
    <col min="9997" max="9997" width="10" customWidth="1"/>
    <col min="9998" max="9998" width="12.5703125" customWidth="1"/>
    <col min="9999" max="9999" width="10.7109375" customWidth="1"/>
    <col min="10241" max="10241" width="3.42578125" customWidth="1"/>
    <col min="10242" max="10242" width="21" customWidth="1"/>
    <col min="10243" max="10243" width="10.140625" customWidth="1"/>
    <col min="10244" max="10244" width="10" customWidth="1"/>
    <col min="10245" max="10245" width="10.140625" customWidth="1"/>
    <col min="10246" max="10246" width="12" customWidth="1"/>
    <col min="10247" max="10247" width="11" customWidth="1"/>
    <col min="10248" max="10248" width="0" hidden="1" customWidth="1"/>
    <col min="10249" max="10249" width="13.42578125" customWidth="1"/>
    <col min="10250" max="10250" width="13" customWidth="1"/>
    <col min="10251" max="10251" width="12.140625" customWidth="1"/>
    <col min="10252" max="10252" width="9.7109375" customWidth="1"/>
    <col min="10253" max="10253" width="10" customWidth="1"/>
    <col min="10254" max="10254" width="12.5703125" customWidth="1"/>
    <col min="10255" max="10255" width="10.7109375" customWidth="1"/>
    <col min="10497" max="10497" width="3.42578125" customWidth="1"/>
    <col min="10498" max="10498" width="21" customWidth="1"/>
    <col min="10499" max="10499" width="10.140625" customWidth="1"/>
    <col min="10500" max="10500" width="10" customWidth="1"/>
    <col min="10501" max="10501" width="10.140625" customWidth="1"/>
    <col min="10502" max="10502" width="12" customWidth="1"/>
    <col min="10503" max="10503" width="11" customWidth="1"/>
    <col min="10504" max="10504" width="0" hidden="1" customWidth="1"/>
    <col min="10505" max="10505" width="13.42578125" customWidth="1"/>
    <col min="10506" max="10506" width="13" customWidth="1"/>
    <col min="10507" max="10507" width="12.140625" customWidth="1"/>
    <col min="10508" max="10508" width="9.7109375" customWidth="1"/>
    <col min="10509" max="10509" width="10" customWidth="1"/>
    <col min="10510" max="10510" width="12.5703125" customWidth="1"/>
    <col min="10511" max="10511" width="10.7109375" customWidth="1"/>
    <col min="10753" max="10753" width="3.42578125" customWidth="1"/>
    <col min="10754" max="10754" width="21" customWidth="1"/>
    <col min="10755" max="10755" width="10.140625" customWidth="1"/>
    <col min="10756" max="10756" width="10" customWidth="1"/>
    <col min="10757" max="10757" width="10.140625" customWidth="1"/>
    <col min="10758" max="10758" width="12" customWidth="1"/>
    <col min="10759" max="10759" width="11" customWidth="1"/>
    <col min="10760" max="10760" width="0" hidden="1" customWidth="1"/>
    <col min="10761" max="10761" width="13.42578125" customWidth="1"/>
    <col min="10762" max="10762" width="13" customWidth="1"/>
    <col min="10763" max="10763" width="12.140625" customWidth="1"/>
    <col min="10764" max="10764" width="9.7109375" customWidth="1"/>
    <col min="10765" max="10765" width="10" customWidth="1"/>
    <col min="10766" max="10766" width="12.5703125" customWidth="1"/>
    <col min="10767" max="10767" width="10.7109375" customWidth="1"/>
    <col min="11009" max="11009" width="3.42578125" customWidth="1"/>
    <col min="11010" max="11010" width="21" customWidth="1"/>
    <col min="11011" max="11011" width="10.140625" customWidth="1"/>
    <col min="11012" max="11012" width="10" customWidth="1"/>
    <col min="11013" max="11013" width="10.140625" customWidth="1"/>
    <col min="11014" max="11014" width="12" customWidth="1"/>
    <col min="11015" max="11015" width="11" customWidth="1"/>
    <col min="11016" max="11016" width="0" hidden="1" customWidth="1"/>
    <col min="11017" max="11017" width="13.42578125" customWidth="1"/>
    <col min="11018" max="11018" width="13" customWidth="1"/>
    <col min="11019" max="11019" width="12.140625" customWidth="1"/>
    <col min="11020" max="11020" width="9.7109375" customWidth="1"/>
    <col min="11021" max="11021" width="10" customWidth="1"/>
    <col min="11022" max="11022" width="12.5703125" customWidth="1"/>
    <col min="11023" max="11023" width="10.7109375" customWidth="1"/>
    <col min="11265" max="11265" width="3.42578125" customWidth="1"/>
    <col min="11266" max="11266" width="21" customWidth="1"/>
    <col min="11267" max="11267" width="10.140625" customWidth="1"/>
    <col min="11268" max="11268" width="10" customWidth="1"/>
    <col min="11269" max="11269" width="10.140625" customWidth="1"/>
    <col min="11270" max="11270" width="12" customWidth="1"/>
    <col min="11271" max="11271" width="11" customWidth="1"/>
    <col min="11272" max="11272" width="0" hidden="1" customWidth="1"/>
    <col min="11273" max="11273" width="13.42578125" customWidth="1"/>
    <col min="11274" max="11274" width="13" customWidth="1"/>
    <col min="11275" max="11275" width="12.140625" customWidth="1"/>
    <col min="11276" max="11276" width="9.7109375" customWidth="1"/>
    <col min="11277" max="11277" width="10" customWidth="1"/>
    <col min="11278" max="11278" width="12.5703125" customWidth="1"/>
    <col min="11279" max="11279" width="10.7109375" customWidth="1"/>
    <col min="11521" max="11521" width="3.42578125" customWidth="1"/>
    <col min="11522" max="11522" width="21" customWidth="1"/>
    <col min="11523" max="11523" width="10.140625" customWidth="1"/>
    <col min="11524" max="11524" width="10" customWidth="1"/>
    <col min="11525" max="11525" width="10.140625" customWidth="1"/>
    <col min="11526" max="11526" width="12" customWidth="1"/>
    <col min="11527" max="11527" width="11" customWidth="1"/>
    <col min="11528" max="11528" width="0" hidden="1" customWidth="1"/>
    <col min="11529" max="11529" width="13.42578125" customWidth="1"/>
    <col min="11530" max="11530" width="13" customWidth="1"/>
    <col min="11531" max="11531" width="12.140625" customWidth="1"/>
    <col min="11532" max="11532" width="9.7109375" customWidth="1"/>
    <col min="11533" max="11533" width="10" customWidth="1"/>
    <col min="11534" max="11534" width="12.5703125" customWidth="1"/>
    <col min="11535" max="11535" width="10.7109375" customWidth="1"/>
    <col min="11777" max="11777" width="3.42578125" customWidth="1"/>
    <col min="11778" max="11778" width="21" customWidth="1"/>
    <col min="11779" max="11779" width="10.140625" customWidth="1"/>
    <col min="11780" max="11780" width="10" customWidth="1"/>
    <col min="11781" max="11781" width="10.140625" customWidth="1"/>
    <col min="11782" max="11782" width="12" customWidth="1"/>
    <col min="11783" max="11783" width="11" customWidth="1"/>
    <col min="11784" max="11784" width="0" hidden="1" customWidth="1"/>
    <col min="11785" max="11785" width="13.42578125" customWidth="1"/>
    <col min="11786" max="11786" width="13" customWidth="1"/>
    <col min="11787" max="11787" width="12.140625" customWidth="1"/>
    <col min="11788" max="11788" width="9.7109375" customWidth="1"/>
    <col min="11789" max="11789" width="10" customWidth="1"/>
    <col min="11790" max="11790" width="12.5703125" customWidth="1"/>
    <col min="11791" max="11791" width="10.7109375" customWidth="1"/>
    <col min="12033" max="12033" width="3.42578125" customWidth="1"/>
    <col min="12034" max="12034" width="21" customWidth="1"/>
    <col min="12035" max="12035" width="10.140625" customWidth="1"/>
    <col min="12036" max="12036" width="10" customWidth="1"/>
    <col min="12037" max="12037" width="10.140625" customWidth="1"/>
    <col min="12038" max="12038" width="12" customWidth="1"/>
    <col min="12039" max="12039" width="11" customWidth="1"/>
    <col min="12040" max="12040" width="0" hidden="1" customWidth="1"/>
    <col min="12041" max="12041" width="13.42578125" customWidth="1"/>
    <col min="12042" max="12042" width="13" customWidth="1"/>
    <col min="12043" max="12043" width="12.140625" customWidth="1"/>
    <col min="12044" max="12044" width="9.7109375" customWidth="1"/>
    <col min="12045" max="12045" width="10" customWidth="1"/>
    <col min="12046" max="12046" width="12.5703125" customWidth="1"/>
    <col min="12047" max="12047" width="10.7109375" customWidth="1"/>
    <col min="12289" max="12289" width="3.42578125" customWidth="1"/>
    <col min="12290" max="12290" width="21" customWidth="1"/>
    <col min="12291" max="12291" width="10.140625" customWidth="1"/>
    <col min="12292" max="12292" width="10" customWidth="1"/>
    <col min="12293" max="12293" width="10.140625" customWidth="1"/>
    <col min="12294" max="12294" width="12" customWidth="1"/>
    <col min="12295" max="12295" width="11" customWidth="1"/>
    <col min="12296" max="12296" width="0" hidden="1" customWidth="1"/>
    <col min="12297" max="12297" width="13.42578125" customWidth="1"/>
    <col min="12298" max="12298" width="13" customWidth="1"/>
    <col min="12299" max="12299" width="12.140625" customWidth="1"/>
    <col min="12300" max="12300" width="9.7109375" customWidth="1"/>
    <col min="12301" max="12301" width="10" customWidth="1"/>
    <col min="12302" max="12302" width="12.5703125" customWidth="1"/>
    <col min="12303" max="12303" width="10.7109375" customWidth="1"/>
    <col min="12545" max="12545" width="3.42578125" customWidth="1"/>
    <col min="12546" max="12546" width="21" customWidth="1"/>
    <col min="12547" max="12547" width="10.140625" customWidth="1"/>
    <col min="12548" max="12548" width="10" customWidth="1"/>
    <col min="12549" max="12549" width="10.140625" customWidth="1"/>
    <col min="12550" max="12550" width="12" customWidth="1"/>
    <col min="12551" max="12551" width="11" customWidth="1"/>
    <col min="12552" max="12552" width="0" hidden="1" customWidth="1"/>
    <col min="12553" max="12553" width="13.42578125" customWidth="1"/>
    <col min="12554" max="12554" width="13" customWidth="1"/>
    <col min="12555" max="12555" width="12.140625" customWidth="1"/>
    <col min="12556" max="12556" width="9.7109375" customWidth="1"/>
    <col min="12557" max="12557" width="10" customWidth="1"/>
    <col min="12558" max="12558" width="12.5703125" customWidth="1"/>
    <col min="12559" max="12559" width="10.7109375" customWidth="1"/>
    <col min="12801" max="12801" width="3.42578125" customWidth="1"/>
    <col min="12802" max="12802" width="21" customWidth="1"/>
    <col min="12803" max="12803" width="10.140625" customWidth="1"/>
    <col min="12804" max="12804" width="10" customWidth="1"/>
    <col min="12805" max="12805" width="10.140625" customWidth="1"/>
    <col min="12806" max="12806" width="12" customWidth="1"/>
    <col min="12807" max="12807" width="11" customWidth="1"/>
    <col min="12808" max="12808" width="0" hidden="1" customWidth="1"/>
    <col min="12809" max="12809" width="13.42578125" customWidth="1"/>
    <col min="12810" max="12810" width="13" customWidth="1"/>
    <col min="12811" max="12811" width="12.140625" customWidth="1"/>
    <col min="12812" max="12812" width="9.7109375" customWidth="1"/>
    <col min="12813" max="12813" width="10" customWidth="1"/>
    <col min="12814" max="12814" width="12.5703125" customWidth="1"/>
    <col min="12815" max="12815" width="10.7109375" customWidth="1"/>
    <col min="13057" max="13057" width="3.42578125" customWidth="1"/>
    <col min="13058" max="13058" width="21" customWidth="1"/>
    <col min="13059" max="13059" width="10.140625" customWidth="1"/>
    <col min="13060" max="13060" width="10" customWidth="1"/>
    <col min="13061" max="13061" width="10.140625" customWidth="1"/>
    <col min="13062" max="13062" width="12" customWidth="1"/>
    <col min="13063" max="13063" width="11" customWidth="1"/>
    <col min="13064" max="13064" width="0" hidden="1" customWidth="1"/>
    <col min="13065" max="13065" width="13.42578125" customWidth="1"/>
    <col min="13066" max="13066" width="13" customWidth="1"/>
    <col min="13067" max="13067" width="12.140625" customWidth="1"/>
    <col min="13068" max="13068" width="9.7109375" customWidth="1"/>
    <col min="13069" max="13069" width="10" customWidth="1"/>
    <col min="13070" max="13070" width="12.5703125" customWidth="1"/>
    <col min="13071" max="13071" width="10.7109375" customWidth="1"/>
    <col min="13313" max="13313" width="3.42578125" customWidth="1"/>
    <col min="13314" max="13314" width="21" customWidth="1"/>
    <col min="13315" max="13315" width="10.140625" customWidth="1"/>
    <col min="13316" max="13316" width="10" customWidth="1"/>
    <col min="13317" max="13317" width="10.140625" customWidth="1"/>
    <col min="13318" max="13318" width="12" customWidth="1"/>
    <col min="13319" max="13319" width="11" customWidth="1"/>
    <col min="13320" max="13320" width="0" hidden="1" customWidth="1"/>
    <col min="13321" max="13321" width="13.42578125" customWidth="1"/>
    <col min="13322" max="13322" width="13" customWidth="1"/>
    <col min="13323" max="13323" width="12.140625" customWidth="1"/>
    <col min="13324" max="13324" width="9.7109375" customWidth="1"/>
    <col min="13325" max="13325" width="10" customWidth="1"/>
    <col min="13326" max="13326" width="12.5703125" customWidth="1"/>
    <col min="13327" max="13327" width="10.7109375" customWidth="1"/>
    <col min="13569" max="13569" width="3.42578125" customWidth="1"/>
    <col min="13570" max="13570" width="21" customWidth="1"/>
    <col min="13571" max="13571" width="10.140625" customWidth="1"/>
    <col min="13572" max="13572" width="10" customWidth="1"/>
    <col min="13573" max="13573" width="10.140625" customWidth="1"/>
    <col min="13574" max="13574" width="12" customWidth="1"/>
    <col min="13575" max="13575" width="11" customWidth="1"/>
    <col min="13576" max="13576" width="0" hidden="1" customWidth="1"/>
    <col min="13577" max="13577" width="13.42578125" customWidth="1"/>
    <col min="13578" max="13578" width="13" customWidth="1"/>
    <col min="13579" max="13579" width="12.140625" customWidth="1"/>
    <col min="13580" max="13580" width="9.7109375" customWidth="1"/>
    <col min="13581" max="13581" width="10" customWidth="1"/>
    <col min="13582" max="13582" width="12.5703125" customWidth="1"/>
    <col min="13583" max="13583" width="10.7109375" customWidth="1"/>
    <col min="13825" max="13825" width="3.42578125" customWidth="1"/>
    <col min="13826" max="13826" width="21" customWidth="1"/>
    <col min="13827" max="13827" width="10.140625" customWidth="1"/>
    <col min="13828" max="13828" width="10" customWidth="1"/>
    <col min="13829" max="13829" width="10.140625" customWidth="1"/>
    <col min="13830" max="13830" width="12" customWidth="1"/>
    <col min="13831" max="13831" width="11" customWidth="1"/>
    <col min="13832" max="13832" width="0" hidden="1" customWidth="1"/>
    <col min="13833" max="13833" width="13.42578125" customWidth="1"/>
    <col min="13834" max="13834" width="13" customWidth="1"/>
    <col min="13835" max="13835" width="12.140625" customWidth="1"/>
    <col min="13836" max="13836" width="9.7109375" customWidth="1"/>
    <col min="13837" max="13837" width="10" customWidth="1"/>
    <col min="13838" max="13838" width="12.5703125" customWidth="1"/>
    <col min="13839" max="13839" width="10.7109375" customWidth="1"/>
    <col min="14081" max="14081" width="3.42578125" customWidth="1"/>
    <col min="14082" max="14082" width="21" customWidth="1"/>
    <col min="14083" max="14083" width="10.140625" customWidth="1"/>
    <col min="14084" max="14084" width="10" customWidth="1"/>
    <col min="14085" max="14085" width="10.140625" customWidth="1"/>
    <col min="14086" max="14086" width="12" customWidth="1"/>
    <col min="14087" max="14087" width="11" customWidth="1"/>
    <col min="14088" max="14088" width="0" hidden="1" customWidth="1"/>
    <col min="14089" max="14089" width="13.42578125" customWidth="1"/>
    <col min="14090" max="14090" width="13" customWidth="1"/>
    <col min="14091" max="14091" width="12.140625" customWidth="1"/>
    <col min="14092" max="14092" width="9.7109375" customWidth="1"/>
    <col min="14093" max="14093" width="10" customWidth="1"/>
    <col min="14094" max="14094" width="12.5703125" customWidth="1"/>
    <col min="14095" max="14095" width="10.7109375" customWidth="1"/>
    <col min="14337" max="14337" width="3.42578125" customWidth="1"/>
    <col min="14338" max="14338" width="21" customWidth="1"/>
    <col min="14339" max="14339" width="10.140625" customWidth="1"/>
    <col min="14340" max="14340" width="10" customWidth="1"/>
    <col min="14341" max="14341" width="10.140625" customWidth="1"/>
    <col min="14342" max="14342" width="12" customWidth="1"/>
    <col min="14343" max="14343" width="11" customWidth="1"/>
    <col min="14344" max="14344" width="0" hidden="1" customWidth="1"/>
    <col min="14345" max="14345" width="13.42578125" customWidth="1"/>
    <col min="14346" max="14346" width="13" customWidth="1"/>
    <col min="14347" max="14347" width="12.140625" customWidth="1"/>
    <col min="14348" max="14348" width="9.7109375" customWidth="1"/>
    <col min="14349" max="14349" width="10" customWidth="1"/>
    <col min="14350" max="14350" width="12.5703125" customWidth="1"/>
    <col min="14351" max="14351" width="10.7109375" customWidth="1"/>
    <col min="14593" max="14593" width="3.42578125" customWidth="1"/>
    <col min="14594" max="14594" width="21" customWidth="1"/>
    <col min="14595" max="14595" width="10.140625" customWidth="1"/>
    <col min="14596" max="14596" width="10" customWidth="1"/>
    <col min="14597" max="14597" width="10.140625" customWidth="1"/>
    <col min="14598" max="14598" width="12" customWidth="1"/>
    <col min="14599" max="14599" width="11" customWidth="1"/>
    <col min="14600" max="14600" width="0" hidden="1" customWidth="1"/>
    <col min="14601" max="14601" width="13.42578125" customWidth="1"/>
    <col min="14602" max="14602" width="13" customWidth="1"/>
    <col min="14603" max="14603" width="12.140625" customWidth="1"/>
    <col min="14604" max="14604" width="9.7109375" customWidth="1"/>
    <col min="14605" max="14605" width="10" customWidth="1"/>
    <col min="14606" max="14606" width="12.5703125" customWidth="1"/>
    <col min="14607" max="14607" width="10.7109375" customWidth="1"/>
    <col min="14849" max="14849" width="3.42578125" customWidth="1"/>
    <col min="14850" max="14850" width="21" customWidth="1"/>
    <col min="14851" max="14851" width="10.140625" customWidth="1"/>
    <col min="14852" max="14852" width="10" customWidth="1"/>
    <col min="14853" max="14853" width="10.140625" customWidth="1"/>
    <col min="14854" max="14854" width="12" customWidth="1"/>
    <col min="14855" max="14855" width="11" customWidth="1"/>
    <col min="14856" max="14856" width="0" hidden="1" customWidth="1"/>
    <col min="14857" max="14857" width="13.42578125" customWidth="1"/>
    <col min="14858" max="14858" width="13" customWidth="1"/>
    <col min="14859" max="14859" width="12.140625" customWidth="1"/>
    <col min="14860" max="14860" width="9.7109375" customWidth="1"/>
    <col min="14861" max="14861" width="10" customWidth="1"/>
    <col min="14862" max="14862" width="12.5703125" customWidth="1"/>
    <col min="14863" max="14863" width="10.7109375" customWidth="1"/>
    <col min="15105" max="15105" width="3.42578125" customWidth="1"/>
    <col min="15106" max="15106" width="21" customWidth="1"/>
    <col min="15107" max="15107" width="10.140625" customWidth="1"/>
    <col min="15108" max="15108" width="10" customWidth="1"/>
    <col min="15109" max="15109" width="10.140625" customWidth="1"/>
    <col min="15110" max="15110" width="12" customWidth="1"/>
    <col min="15111" max="15111" width="11" customWidth="1"/>
    <col min="15112" max="15112" width="0" hidden="1" customWidth="1"/>
    <col min="15113" max="15113" width="13.42578125" customWidth="1"/>
    <col min="15114" max="15114" width="13" customWidth="1"/>
    <col min="15115" max="15115" width="12.140625" customWidth="1"/>
    <col min="15116" max="15116" width="9.7109375" customWidth="1"/>
    <col min="15117" max="15117" width="10" customWidth="1"/>
    <col min="15118" max="15118" width="12.5703125" customWidth="1"/>
    <col min="15119" max="15119" width="10.7109375" customWidth="1"/>
    <col min="15361" max="15361" width="3.42578125" customWidth="1"/>
    <col min="15362" max="15362" width="21" customWidth="1"/>
    <col min="15363" max="15363" width="10.140625" customWidth="1"/>
    <col min="15364" max="15364" width="10" customWidth="1"/>
    <col min="15365" max="15365" width="10.140625" customWidth="1"/>
    <col min="15366" max="15366" width="12" customWidth="1"/>
    <col min="15367" max="15367" width="11" customWidth="1"/>
    <col min="15368" max="15368" width="0" hidden="1" customWidth="1"/>
    <col min="15369" max="15369" width="13.42578125" customWidth="1"/>
    <col min="15370" max="15370" width="13" customWidth="1"/>
    <col min="15371" max="15371" width="12.140625" customWidth="1"/>
    <col min="15372" max="15372" width="9.7109375" customWidth="1"/>
    <col min="15373" max="15373" width="10" customWidth="1"/>
    <col min="15374" max="15374" width="12.5703125" customWidth="1"/>
    <col min="15375" max="15375" width="10.7109375" customWidth="1"/>
    <col min="15617" max="15617" width="3.42578125" customWidth="1"/>
    <col min="15618" max="15618" width="21" customWidth="1"/>
    <col min="15619" max="15619" width="10.140625" customWidth="1"/>
    <col min="15620" max="15620" width="10" customWidth="1"/>
    <col min="15621" max="15621" width="10.140625" customWidth="1"/>
    <col min="15622" max="15622" width="12" customWidth="1"/>
    <col min="15623" max="15623" width="11" customWidth="1"/>
    <col min="15624" max="15624" width="0" hidden="1" customWidth="1"/>
    <col min="15625" max="15625" width="13.42578125" customWidth="1"/>
    <col min="15626" max="15626" width="13" customWidth="1"/>
    <col min="15627" max="15627" width="12.140625" customWidth="1"/>
    <col min="15628" max="15628" width="9.7109375" customWidth="1"/>
    <col min="15629" max="15629" width="10" customWidth="1"/>
    <col min="15630" max="15630" width="12.5703125" customWidth="1"/>
    <col min="15631" max="15631" width="10.7109375" customWidth="1"/>
    <col min="15873" max="15873" width="3.42578125" customWidth="1"/>
    <col min="15874" max="15874" width="21" customWidth="1"/>
    <col min="15875" max="15875" width="10.140625" customWidth="1"/>
    <col min="15876" max="15876" width="10" customWidth="1"/>
    <col min="15877" max="15877" width="10.140625" customWidth="1"/>
    <col min="15878" max="15878" width="12" customWidth="1"/>
    <col min="15879" max="15879" width="11" customWidth="1"/>
    <col min="15880" max="15880" width="0" hidden="1" customWidth="1"/>
    <col min="15881" max="15881" width="13.42578125" customWidth="1"/>
    <col min="15882" max="15882" width="13" customWidth="1"/>
    <col min="15883" max="15883" width="12.140625" customWidth="1"/>
    <col min="15884" max="15884" width="9.7109375" customWidth="1"/>
    <col min="15885" max="15885" width="10" customWidth="1"/>
    <col min="15886" max="15886" width="12.5703125" customWidth="1"/>
    <col min="15887" max="15887" width="10.7109375" customWidth="1"/>
    <col min="16129" max="16129" width="3.42578125" customWidth="1"/>
    <col min="16130" max="16130" width="21" customWidth="1"/>
    <col min="16131" max="16131" width="10.140625" customWidth="1"/>
    <col min="16132" max="16132" width="10" customWidth="1"/>
    <col min="16133" max="16133" width="10.140625" customWidth="1"/>
    <col min="16134" max="16134" width="12" customWidth="1"/>
    <col min="16135" max="16135" width="11" customWidth="1"/>
    <col min="16136" max="16136" width="0" hidden="1" customWidth="1"/>
    <col min="16137" max="16137" width="13.42578125" customWidth="1"/>
    <col min="16138" max="16138" width="13" customWidth="1"/>
    <col min="16139" max="16139" width="12.140625" customWidth="1"/>
    <col min="16140" max="16140" width="9.7109375" customWidth="1"/>
    <col min="16141" max="16141" width="10" customWidth="1"/>
    <col min="16142" max="16142" width="12.5703125" customWidth="1"/>
    <col min="16143" max="16143" width="10.7109375" customWidth="1"/>
  </cols>
  <sheetData>
    <row r="2" spans="1:15" ht="15.75" x14ac:dyDescent="0.25">
      <c r="B2" s="217" t="s">
        <v>219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N2" s="77"/>
    </row>
    <row r="4" spans="1:15" ht="12.75" customHeight="1" x14ac:dyDescent="0.25">
      <c r="A4" s="218" t="s">
        <v>97</v>
      </c>
      <c r="B4" s="218" t="s">
        <v>98</v>
      </c>
      <c r="C4" s="221" t="s">
        <v>220</v>
      </c>
      <c r="D4" s="221"/>
      <c r="E4" s="221"/>
      <c r="F4" s="221"/>
      <c r="G4" s="221"/>
      <c r="H4" s="221"/>
      <c r="I4" s="221"/>
      <c r="J4" s="221"/>
      <c r="K4" s="221"/>
      <c r="L4" s="221"/>
      <c r="M4" s="24"/>
    </row>
    <row r="5" spans="1:15" ht="25.5" customHeight="1" x14ac:dyDescent="0.25">
      <c r="A5" s="219"/>
      <c r="B5" s="219"/>
      <c r="C5" s="222" t="s">
        <v>99</v>
      </c>
      <c r="D5" s="224" t="s">
        <v>100</v>
      </c>
      <c r="E5" s="225"/>
      <c r="F5" s="222" t="s">
        <v>101</v>
      </c>
      <c r="G5" s="222"/>
      <c r="H5" s="78"/>
      <c r="I5" s="222" t="s">
        <v>221</v>
      </c>
      <c r="J5" s="222"/>
      <c r="K5" s="222"/>
      <c r="L5" s="222"/>
      <c r="M5" s="213"/>
      <c r="N5" s="215"/>
      <c r="O5" s="24"/>
    </row>
    <row r="6" spans="1:15" ht="77.25" customHeight="1" x14ac:dyDescent="0.25">
      <c r="A6" s="220"/>
      <c r="B6" s="220"/>
      <c r="C6" s="223"/>
      <c r="D6" s="79" t="s">
        <v>106</v>
      </c>
      <c r="E6" s="79" t="s">
        <v>107</v>
      </c>
      <c r="F6" s="223"/>
      <c r="G6" s="223"/>
      <c r="H6" s="80"/>
      <c r="I6" s="223"/>
      <c r="J6" s="223"/>
      <c r="K6" s="223"/>
      <c r="L6" s="223"/>
      <c r="M6" s="214"/>
      <c r="N6" s="216"/>
      <c r="O6" s="81"/>
    </row>
    <row r="7" spans="1:15" x14ac:dyDescent="0.25">
      <c r="A7" s="82">
        <v>1</v>
      </c>
      <c r="B7" s="83">
        <v>2</v>
      </c>
      <c r="C7" s="83" t="s">
        <v>108</v>
      </c>
      <c r="D7" s="83">
        <v>4</v>
      </c>
      <c r="E7" s="83">
        <v>5</v>
      </c>
      <c r="F7" s="83">
        <v>6</v>
      </c>
      <c r="G7" s="83"/>
      <c r="H7" s="83"/>
      <c r="I7" s="79"/>
      <c r="J7" s="79"/>
      <c r="K7" s="83"/>
      <c r="L7" s="83"/>
      <c r="M7" s="84"/>
      <c r="N7" s="85"/>
      <c r="O7" s="24"/>
    </row>
    <row r="8" spans="1:15" ht="20.25" x14ac:dyDescent="0.3">
      <c r="A8" s="24">
        <v>1</v>
      </c>
      <c r="B8" s="86" t="s">
        <v>112</v>
      </c>
      <c r="C8" s="87">
        <f t="shared" ref="C8:C30" si="0">SUM(D8+E8)</f>
        <v>101</v>
      </c>
      <c r="D8" s="88">
        <v>0</v>
      </c>
      <c r="E8" s="89">
        <v>101</v>
      </c>
      <c r="F8" s="90">
        <v>3280</v>
      </c>
      <c r="G8" s="91"/>
      <c r="H8" s="91"/>
      <c r="I8" s="91"/>
      <c r="J8" s="92"/>
      <c r="K8" s="93"/>
      <c r="L8" s="93"/>
      <c r="M8" s="94"/>
      <c r="N8" s="95"/>
      <c r="O8" s="94"/>
    </row>
    <row r="9" spans="1:15" ht="20.25" x14ac:dyDescent="0.3">
      <c r="A9" s="24">
        <v>2</v>
      </c>
      <c r="B9" s="86" t="s">
        <v>113</v>
      </c>
      <c r="C9" s="87">
        <f t="shared" si="0"/>
        <v>695</v>
      </c>
      <c r="D9" s="88">
        <v>557</v>
      </c>
      <c r="E9" s="89">
        <v>138</v>
      </c>
      <c r="F9" s="90">
        <v>255</v>
      </c>
      <c r="G9" s="91"/>
      <c r="H9" s="91"/>
      <c r="I9" s="91"/>
      <c r="J9" s="92"/>
      <c r="K9" s="93"/>
      <c r="L9" s="93"/>
      <c r="M9" s="94"/>
      <c r="N9" s="96"/>
      <c r="O9" s="94"/>
    </row>
    <row r="10" spans="1:15" ht="20.25" x14ac:dyDescent="0.3">
      <c r="A10" s="24">
        <v>3</v>
      </c>
      <c r="B10" s="86" t="s">
        <v>114</v>
      </c>
      <c r="C10" s="87">
        <f t="shared" si="0"/>
        <v>1549</v>
      </c>
      <c r="D10" s="88">
        <v>0</v>
      </c>
      <c r="E10" s="89">
        <v>1549</v>
      </c>
      <c r="F10" s="90">
        <v>27080.1</v>
      </c>
      <c r="G10" s="91"/>
      <c r="H10" s="91"/>
      <c r="I10" s="91"/>
      <c r="J10" s="92"/>
      <c r="K10" s="93"/>
      <c r="L10" s="93"/>
      <c r="M10" s="94"/>
      <c r="N10" s="96"/>
      <c r="O10" s="94"/>
    </row>
    <row r="11" spans="1:15" ht="20.25" x14ac:dyDescent="0.3">
      <c r="A11" s="24">
        <v>4</v>
      </c>
      <c r="B11" s="86" t="s">
        <v>115</v>
      </c>
      <c r="C11" s="87">
        <f t="shared" si="0"/>
        <v>562</v>
      </c>
      <c r="D11" s="88">
        <v>321</v>
      </c>
      <c r="E11" s="89">
        <v>241</v>
      </c>
      <c r="F11" s="90">
        <v>1391</v>
      </c>
      <c r="G11" s="91"/>
      <c r="H11" s="91"/>
      <c r="I11" s="91"/>
      <c r="J11" s="92"/>
      <c r="K11" s="93"/>
      <c r="L11" s="93"/>
      <c r="M11" s="94"/>
      <c r="N11" s="96"/>
      <c r="O11" s="94"/>
    </row>
    <row r="12" spans="1:15" ht="20.25" x14ac:dyDescent="0.3">
      <c r="A12" s="24">
        <v>5</v>
      </c>
      <c r="B12" s="86" t="s">
        <v>116</v>
      </c>
      <c r="C12" s="87">
        <f t="shared" si="0"/>
        <v>1125</v>
      </c>
      <c r="D12" s="88">
        <v>811</v>
      </c>
      <c r="E12" s="89">
        <v>314</v>
      </c>
      <c r="F12" s="90">
        <v>1824</v>
      </c>
      <c r="G12" s="91"/>
      <c r="H12" s="91"/>
      <c r="I12" s="91"/>
      <c r="J12" s="92"/>
      <c r="K12" s="93"/>
      <c r="L12" s="93"/>
      <c r="M12" s="94"/>
      <c r="N12" s="96"/>
      <c r="O12" s="94"/>
    </row>
    <row r="13" spans="1:15" ht="20.25" x14ac:dyDescent="0.3">
      <c r="A13" s="24">
        <v>6</v>
      </c>
      <c r="B13" s="86" t="s">
        <v>117</v>
      </c>
      <c r="C13" s="87">
        <f t="shared" si="0"/>
        <v>3176</v>
      </c>
      <c r="D13" s="88">
        <v>2227</v>
      </c>
      <c r="E13" s="89">
        <v>949</v>
      </c>
      <c r="F13" s="90">
        <v>7540</v>
      </c>
      <c r="G13" s="91"/>
      <c r="H13" s="91"/>
      <c r="I13" s="91"/>
      <c r="J13" s="92"/>
      <c r="K13" s="93"/>
      <c r="L13" s="93"/>
      <c r="M13" s="94"/>
      <c r="N13" s="96"/>
      <c r="O13" s="94"/>
    </row>
    <row r="14" spans="1:15" ht="20.25" x14ac:dyDescent="0.3">
      <c r="A14" s="24">
        <v>7</v>
      </c>
      <c r="B14" s="86" t="s">
        <v>118</v>
      </c>
      <c r="C14" s="87">
        <f t="shared" si="0"/>
        <v>807</v>
      </c>
      <c r="D14" s="88">
        <v>645</v>
      </c>
      <c r="E14" s="89">
        <v>162</v>
      </c>
      <c r="F14" s="90">
        <v>1000</v>
      </c>
      <c r="G14" s="91"/>
      <c r="H14" s="91"/>
      <c r="I14" s="91"/>
      <c r="J14" s="92"/>
      <c r="K14" s="93"/>
      <c r="L14" s="93"/>
      <c r="M14" s="94"/>
      <c r="N14" s="96"/>
      <c r="O14" s="94"/>
    </row>
    <row r="15" spans="1:15" ht="20.25" x14ac:dyDescent="0.3">
      <c r="A15" s="24">
        <v>8</v>
      </c>
      <c r="B15" s="86" t="s">
        <v>119</v>
      </c>
      <c r="C15" s="87">
        <f t="shared" si="0"/>
        <v>2546</v>
      </c>
      <c r="D15" s="88">
        <v>1762</v>
      </c>
      <c r="E15" s="89">
        <v>784</v>
      </c>
      <c r="F15" s="90">
        <v>3310</v>
      </c>
      <c r="G15" s="91"/>
      <c r="H15" s="91"/>
      <c r="I15" s="91"/>
      <c r="J15" s="92"/>
      <c r="K15" s="93"/>
      <c r="L15" s="93"/>
      <c r="M15" s="94"/>
      <c r="N15" s="96"/>
      <c r="O15" s="94"/>
    </row>
    <row r="16" spans="1:15" ht="20.25" x14ac:dyDescent="0.3">
      <c r="A16" s="24">
        <v>9</v>
      </c>
      <c r="B16" s="86" t="s">
        <v>120</v>
      </c>
      <c r="C16" s="87">
        <f t="shared" si="0"/>
        <v>692</v>
      </c>
      <c r="D16" s="88">
        <v>515</v>
      </c>
      <c r="E16" s="89">
        <v>177</v>
      </c>
      <c r="F16" s="90">
        <v>2780</v>
      </c>
      <c r="G16" s="91"/>
      <c r="H16" s="91"/>
      <c r="I16" s="91"/>
      <c r="J16" s="92"/>
      <c r="K16" s="93"/>
      <c r="L16" s="93"/>
      <c r="M16" s="94"/>
      <c r="N16" s="96"/>
      <c r="O16" s="94"/>
    </row>
    <row r="17" spans="1:15" ht="20.25" x14ac:dyDescent="0.3">
      <c r="A17" s="24">
        <v>10</v>
      </c>
      <c r="B17" s="86" t="s">
        <v>121</v>
      </c>
      <c r="C17" s="87">
        <f t="shared" si="0"/>
        <v>523</v>
      </c>
      <c r="D17" s="88">
        <v>378</v>
      </c>
      <c r="E17" s="89">
        <v>145</v>
      </c>
      <c r="F17" s="90">
        <v>1820</v>
      </c>
      <c r="G17" s="91"/>
      <c r="H17" s="91"/>
      <c r="I17" s="91"/>
      <c r="J17" s="92"/>
      <c r="K17" s="93"/>
      <c r="L17" s="93"/>
      <c r="M17" s="94"/>
      <c r="N17" s="96"/>
      <c r="O17" s="94"/>
    </row>
    <row r="18" spans="1:15" ht="20.25" x14ac:dyDescent="0.3">
      <c r="A18" s="24">
        <v>11</v>
      </c>
      <c r="B18" s="86" t="s">
        <v>122</v>
      </c>
      <c r="C18" s="87">
        <f t="shared" si="0"/>
        <v>1157</v>
      </c>
      <c r="D18" s="88">
        <v>954</v>
      </c>
      <c r="E18" s="89">
        <v>203</v>
      </c>
      <c r="F18" s="90">
        <v>1420</v>
      </c>
      <c r="G18" s="91"/>
      <c r="H18" s="91"/>
      <c r="I18" s="91"/>
      <c r="J18" s="92"/>
      <c r="K18" s="93"/>
      <c r="L18" s="97"/>
      <c r="M18" s="94"/>
      <c r="N18" s="96"/>
      <c r="O18" s="94"/>
    </row>
    <row r="19" spans="1:15" ht="20.25" x14ac:dyDescent="0.3">
      <c r="A19" s="24">
        <v>12</v>
      </c>
      <c r="B19" s="86" t="s">
        <v>123</v>
      </c>
      <c r="C19" s="87">
        <f t="shared" si="0"/>
        <v>185</v>
      </c>
      <c r="D19" s="88">
        <v>150</v>
      </c>
      <c r="E19" s="98">
        <v>35</v>
      </c>
      <c r="F19" s="90">
        <v>118</v>
      </c>
      <c r="G19" s="91"/>
      <c r="H19" s="91"/>
      <c r="I19" s="91"/>
      <c r="J19" s="92"/>
      <c r="K19" s="93"/>
      <c r="L19" s="93"/>
      <c r="M19" s="94"/>
      <c r="N19" s="96"/>
      <c r="O19" s="94"/>
    </row>
    <row r="20" spans="1:15" ht="20.25" x14ac:dyDescent="0.3">
      <c r="A20" s="24">
        <v>13</v>
      </c>
      <c r="B20" s="86" t="s">
        <v>124</v>
      </c>
      <c r="C20" s="87">
        <f t="shared" si="0"/>
        <v>3216</v>
      </c>
      <c r="D20" s="88">
        <v>2627</v>
      </c>
      <c r="E20" s="89">
        <v>589</v>
      </c>
      <c r="F20" s="90">
        <v>2810</v>
      </c>
      <c r="G20" s="91"/>
      <c r="H20" s="91"/>
      <c r="I20" s="91"/>
      <c r="J20" s="92"/>
      <c r="K20" s="93"/>
      <c r="L20" s="93"/>
      <c r="M20" s="94"/>
      <c r="N20" s="96"/>
      <c r="O20" s="94"/>
    </row>
    <row r="21" spans="1:15" ht="20.25" x14ac:dyDescent="0.3">
      <c r="A21" s="24">
        <v>14</v>
      </c>
      <c r="B21" s="86" t="s">
        <v>125</v>
      </c>
      <c r="C21" s="87">
        <f t="shared" si="0"/>
        <v>747</v>
      </c>
      <c r="D21" s="88">
        <v>555</v>
      </c>
      <c r="E21" s="89">
        <v>192</v>
      </c>
      <c r="F21" s="90">
        <v>1345</v>
      </c>
      <c r="G21" s="91"/>
      <c r="H21" s="91"/>
      <c r="I21" s="91"/>
      <c r="J21" s="92"/>
      <c r="K21" s="93"/>
      <c r="L21" s="93"/>
      <c r="M21" s="94"/>
      <c r="N21" s="96"/>
      <c r="O21" s="94"/>
    </row>
    <row r="22" spans="1:15" ht="20.25" x14ac:dyDescent="0.3">
      <c r="A22" s="24">
        <v>15</v>
      </c>
      <c r="B22" s="86" t="s">
        <v>126</v>
      </c>
      <c r="C22" s="87">
        <f t="shared" si="0"/>
        <v>2313</v>
      </c>
      <c r="D22" s="88">
        <v>1862</v>
      </c>
      <c r="E22" s="89">
        <v>451</v>
      </c>
      <c r="F22" s="90">
        <v>2639</v>
      </c>
      <c r="G22" s="91"/>
      <c r="H22" s="91"/>
      <c r="I22" s="91"/>
      <c r="J22" s="92"/>
      <c r="K22" s="93"/>
      <c r="L22" s="93"/>
      <c r="M22" s="94"/>
      <c r="N22" s="96"/>
      <c r="O22" s="94"/>
    </row>
    <row r="23" spans="1:15" ht="20.25" x14ac:dyDescent="0.3">
      <c r="A23" s="24">
        <v>16</v>
      </c>
      <c r="B23" s="86" t="s">
        <v>127</v>
      </c>
      <c r="C23" s="87">
        <f t="shared" si="0"/>
        <v>7678</v>
      </c>
      <c r="D23" s="88">
        <v>6171</v>
      </c>
      <c r="E23" s="89">
        <v>1507</v>
      </c>
      <c r="F23" s="90">
        <v>15230</v>
      </c>
      <c r="G23" s="91"/>
      <c r="H23" s="91"/>
      <c r="I23" s="91"/>
      <c r="J23" s="92"/>
      <c r="K23" s="93"/>
      <c r="L23" s="93"/>
      <c r="M23" s="94"/>
      <c r="N23" s="96"/>
      <c r="O23" s="94"/>
    </row>
    <row r="24" spans="1:15" ht="20.25" x14ac:dyDescent="0.3">
      <c r="A24" s="24">
        <v>17</v>
      </c>
      <c r="B24" s="86" t="s">
        <v>128</v>
      </c>
      <c r="C24" s="87">
        <f t="shared" si="0"/>
        <v>333</v>
      </c>
      <c r="D24" s="88">
        <v>276</v>
      </c>
      <c r="E24" s="89">
        <v>57</v>
      </c>
      <c r="F24" s="90">
        <v>540</v>
      </c>
      <c r="G24" s="91"/>
      <c r="H24" s="91"/>
      <c r="I24" s="91"/>
      <c r="J24" s="92"/>
      <c r="K24" s="93"/>
      <c r="L24" s="93"/>
      <c r="M24" s="94"/>
      <c r="N24" s="96"/>
      <c r="O24" s="94"/>
    </row>
    <row r="25" spans="1:15" ht="20.25" x14ac:dyDescent="0.3">
      <c r="A25" s="24">
        <v>18</v>
      </c>
      <c r="B25" s="86" t="s">
        <v>129</v>
      </c>
      <c r="C25" s="87">
        <f t="shared" si="0"/>
        <v>1178</v>
      </c>
      <c r="D25" s="88">
        <v>939</v>
      </c>
      <c r="E25" s="89">
        <v>239</v>
      </c>
      <c r="F25" s="90">
        <v>1365</v>
      </c>
      <c r="G25" s="91"/>
      <c r="H25" s="91"/>
      <c r="I25" s="91"/>
      <c r="J25" s="92"/>
      <c r="K25" s="93"/>
      <c r="L25" s="93"/>
      <c r="M25" s="94"/>
      <c r="N25" s="96"/>
      <c r="O25" s="94"/>
    </row>
    <row r="26" spans="1:15" ht="20.25" x14ac:dyDescent="0.3">
      <c r="A26" s="24">
        <v>19</v>
      </c>
      <c r="B26" s="86" t="s">
        <v>130</v>
      </c>
      <c r="C26" s="87">
        <f t="shared" si="0"/>
        <v>713</v>
      </c>
      <c r="D26" s="88">
        <v>562</v>
      </c>
      <c r="E26" s="89">
        <v>151</v>
      </c>
      <c r="F26" s="90">
        <v>484</v>
      </c>
      <c r="G26" s="91"/>
      <c r="H26" s="91"/>
      <c r="I26" s="91"/>
      <c r="J26" s="92"/>
      <c r="K26" s="93"/>
      <c r="L26" s="93"/>
      <c r="M26" s="94"/>
      <c r="N26" s="96"/>
      <c r="O26" s="94"/>
    </row>
    <row r="27" spans="1:15" ht="20.25" x14ac:dyDescent="0.3">
      <c r="A27" s="24">
        <v>20</v>
      </c>
      <c r="B27" s="86" t="s">
        <v>131</v>
      </c>
      <c r="C27" s="87">
        <f t="shared" si="0"/>
        <v>1127</v>
      </c>
      <c r="D27" s="88">
        <v>58</v>
      </c>
      <c r="E27" s="89">
        <v>1069</v>
      </c>
      <c r="F27" s="90">
        <v>6310</v>
      </c>
      <c r="G27" s="91"/>
      <c r="H27" s="91"/>
      <c r="I27" s="91"/>
      <c r="J27" s="92"/>
      <c r="K27" s="93"/>
      <c r="L27" s="93"/>
      <c r="M27" s="94"/>
      <c r="N27" s="96"/>
      <c r="O27" s="94"/>
    </row>
    <row r="28" spans="1:15" ht="20.25" x14ac:dyDescent="0.3">
      <c r="A28" s="24">
        <v>21</v>
      </c>
      <c r="B28" s="86" t="s">
        <v>132</v>
      </c>
      <c r="C28" s="87">
        <f t="shared" si="0"/>
        <v>697</v>
      </c>
      <c r="D28" s="99">
        <v>503</v>
      </c>
      <c r="E28" s="89">
        <v>194</v>
      </c>
      <c r="F28" s="90">
        <v>2391</v>
      </c>
      <c r="G28" s="91"/>
      <c r="H28" s="91"/>
      <c r="I28" s="91"/>
      <c r="J28" s="92"/>
      <c r="K28" s="93"/>
      <c r="L28" s="93"/>
      <c r="M28" s="94"/>
      <c r="N28" s="96"/>
      <c r="O28" s="94"/>
    </row>
    <row r="29" spans="1:15" ht="20.25" x14ac:dyDescent="0.3">
      <c r="A29" s="24">
        <v>22</v>
      </c>
      <c r="B29" s="86" t="s">
        <v>133</v>
      </c>
      <c r="C29" s="87">
        <f t="shared" si="0"/>
        <v>2241</v>
      </c>
      <c r="D29" s="99">
        <v>1866</v>
      </c>
      <c r="E29" s="89">
        <v>375</v>
      </c>
      <c r="F29" s="90">
        <v>1000</v>
      </c>
      <c r="G29" s="91"/>
      <c r="H29" s="91"/>
      <c r="I29" s="91"/>
      <c r="J29" s="92"/>
      <c r="K29" s="93"/>
      <c r="L29" s="93"/>
      <c r="M29" s="94"/>
      <c r="N29" s="96"/>
      <c r="O29" s="94"/>
    </row>
    <row r="30" spans="1:15" ht="20.25" x14ac:dyDescent="0.3">
      <c r="A30" s="24">
        <v>23</v>
      </c>
      <c r="B30" s="86" t="s">
        <v>134</v>
      </c>
      <c r="C30" s="87">
        <f t="shared" si="0"/>
        <v>323</v>
      </c>
      <c r="D30" s="100">
        <v>206</v>
      </c>
      <c r="E30" s="101">
        <v>117</v>
      </c>
      <c r="F30" s="102">
        <v>992.3</v>
      </c>
      <c r="G30" s="91"/>
      <c r="H30" s="91"/>
      <c r="I30" s="91"/>
      <c r="J30" s="103"/>
      <c r="K30" s="93"/>
      <c r="L30" s="97"/>
      <c r="M30" s="94"/>
      <c r="N30" s="96"/>
      <c r="O30" s="94"/>
    </row>
    <row r="31" spans="1:15" ht="20.25" x14ac:dyDescent="0.3">
      <c r="A31" s="24"/>
      <c r="B31" s="104" t="s">
        <v>135</v>
      </c>
      <c r="C31" s="87">
        <f>SUM(C8:C30)</f>
        <v>33684</v>
      </c>
      <c r="D31" s="87">
        <f>SUM(D8:D30)</f>
        <v>23945</v>
      </c>
      <c r="E31" s="105">
        <f>SUM(E8:E30)</f>
        <v>9739</v>
      </c>
      <c r="F31" s="105">
        <f>SUM(F8:F30)</f>
        <v>86924.400000000009</v>
      </c>
      <c r="G31" s="91"/>
      <c r="H31" s="91"/>
      <c r="I31" s="106"/>
      <c r="J31" s="106"/>
      <c r="K31" s="93"/>
      <c r="L31" s="93"/>
      <c r="M31" s="107"/>
      <c r="N31" s="107"/>
      <c r="O31" s="94"/>
    </row>
    <row r="32" spans="1:15" ht="20.25" x14ac:dyDescent="0.25">
      <c r="A32" s="29"/>
      <c r="C32" s="108"/>
      <c r="D32" s="109">
        <f>D31-D23-D10</f>
        <v>17774</v>
      </c>
      <c r="E32" s="109">
        <f>E31-E23-E10</f>
        <v>6683</v>
      </c>
      <c r="F32" s="109">
        <f t="shared" ref="F32:M32" si="1">F31-F23-F10</f>
        <v>44614.30000000001</v>
      </c>
      <c r="G32" s="109">
        <f t="shared" si="1"/>
        <v>0</v>
      </c>
      <c r="H32" s="109">
        <f t="shared" si="1"/>
        <v>0</v>
      </c>
      <c r="I32" s="109">
        <f t="shared" si="1"/>
        <v>0</v>
      </c>
      <c r="J32" s="109">
        <f t="shared" si="1"/>
        <v>0</v>
      </c>
      <c r="K32" s="109">
        <f t="shared" si="1"/>
        <v>0</v>
      </c>
      <c r="L32" s="109">
        <f t="shared" si="1"/>
        <v>0</v>
      </c>
      <c r="M32" s="109">
        <f t="shared" si="1"/>
        <v>0</v>
      </c>
      <c r="O32" s="24"/>
    </row>
    <row r="33" spans="2:15" ht="34.5" customHeight="1" x14ac:dyDescent="0.25">
      <c r="B33" s="115"/>
      <c r="C33" s="108"/>
      <c r="D33" s="108">
        <f>D32+E32+M32</f>
        <v>24457</v>
      </c>
      <c r="E33" s="108"/>
      <c r="F33" s="108"/>
      <c r="G33" s="108"/>
      <c r="H33" s="108"/>
      <c r="I33" s="108"/>
      <c r="J33" s="108"/>
      <c r="K33" s="108"/>
      <c r="M33" s="108"/>
      <c r="O33" s="24"/>
    </row>
  </sheetData>
  <mergeCells count="14">
    <mergeCell ref="M5:M6"/>
    <mergeCell ref="N5:N6"/>
    <mergeCell ref="B2:L2"/>
    <mergeCell ref="A4:A6"/>
    <mergeCell ref="B4:B6"/>
    <mergeCell ref="C4:L4"/>
    <mergeCell ref="C5:C6"/>
    <mergeCell ref="D5:E5"/>
    <mergeCell ref="F5:F6"/>
    <mergeCell ref="G5:G6"/>
    <mergeCell ref="I5:I6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3"/>
  <sheetViews>
    <sheetView topLeftCell="A16" workbookViewId="0">
      <selection activeCell="I6" sqref="I6"/>
    </sheetView>
  </sheetViews>
  <sheetFormatPr defaultRowHeight="15" x14ac:dyDescent="0.25"/>
  <cols>
    <col min="1" max="1" width="3.42578125" customWidth="1"/>
    <col min="2" max="2" width="21" customWidth="1"/>
    <col min="3" max="3" width="10.140625" customWidth="1"/>
    <col min="4" max="4" width="10" customWidth="1"/>
    <col min="5" max="5" width="10.140625" customWidth="1"/>
    <col min="6" max="6" width="12" customWidth="1"/>
    <col min="7" max="7" width="11" customWidth="1"/>
    <col min="8" max="8" width="11.5703125" customWidth="1"/>
    <col min="9" max="9" width="11.85546875" customWidth="1"/>
    <col min="10" max="10" width="11.7109375" customWidth="1"/>
    <col min="11" max="11" width="13" customWidth="1"/>
    <col min="12" max="13" width="12.140625" customWidth="1"/>
    <col min="14" max="14" width="10.42578125" customWidth="1"/>
    <col min="15" max="15" width="12.140625" customWidth="1"/>
    <col min="16" max="16" width="9.7109375" customWidth="1"/>
    <col min="17" max="17" width="16.5703125" customWidth="1"/>
    <col min="257" max="257" width="3.42578125" customWidth="1"/>
    <col min="258" max="258" width="21" customWidth="1"/>
    <col min="259" max="259" width="10.140625" customWidth="1"/>
    <col min="260" max="260" width="10" customWidth="1"/>
    <col min="261" max="261" width="10.140625" customWidth="1"/>
    <col min="262" max="262" width="12" customWidth="1"/>
    <col min="263" max="263" width="11" customWidth="1"/>
    <col min="264" max="264" width="11.5703125" customWidth="1"/>
    <col min="265" max="265" width="11.85546875" customWidth="1"/>
    <col min="266" max="266" width="11.7109375" customWidth="1"/>
    <col min="267" max="267" width="13" customWidth="1"/>
    <col min="268" max="269" width="12.140625" customWidth="1"/>
    <col min="270" max="270" width="10.42578125" customWidth="1"/>
    <col min="271" max="271" width="12.140625" customWidth="1"/>
    <col min="272" max="272" width="9.7109375" customWidth="1"/>
    <col min="273" max="273" width="16.5703125" customWidth="1"/>
    <col min="513" max="513" width="3.42578125" customWidth="1"/>
    <col min="514" max="514" width="21" customWidth="1"/>
    <col min="515" max="515" width="10.140625" customWidth="1"/>
    <col min="516" max="516" width="10" customWidth="1"/>
    <col min="517" max="517" width="10.140625" customWidth="1"/>
    <col min="518" max="518" width="12" customWidth="1"/>
    <col min="519" max="519" width="11" customWidth="1"/>
    <col min="520" max="520" width="11.5703125" customWidth="1"/>
    <col min="521" max="521" width="11.85546875" customWidth="1"/>
    <col min="522" max="522" width="11.7109375" customWidth="1"/>
    <col min="523" max="523" width="13" customWidth="1"/>
    <col min="524" max="525" width="12.140625" customWidth="1"/>
    <col min="526" max="526" width="10.42578125" customWidth="1"/>
    <col min="527" max="527" width="12.140625" customWidth="1"/>
    <col min="528" max="528" width="9.7109375" customWidth="1"/>
    <col min="529" max="529" width="16.5703125" customWidth="1"/>
    <col min="769" max="769" width="3.42578125" customWidth="1"/>
    <col min="770" max="770" width="21" customWidth="1"/>
    <col min="771" max="771" width="10.140625" customWidth="1"/>
    <col min="772" max="772" width="10" customWidth="1"/>
    <col min="773" max="773" width="10.140625" customWidth="1"/>
    <col min="774" max="774" width="12" customWidth="1"/>
    <col min="775" max="775" width="11" customWidth="1"/>
    <col min="776" max="776" width="11.5703125" customWidth="1"/>
    <col min="777" max="777" width="11.85546875" customWidth="1"/>
    <col min="778" max="778" width="11.7109375" customWidth="1"/>
    <col min="779" max="779" width="13" customWidth="1"/>
    <col min="780" max="781" width="12.140625" customWidth="1"/>
    <col min="782" max="782" width="10.42578125" customWidth="1"/>
    <col min="783" max="783" width="12.140625" customWidth="1"/>
    <col min="784" max="784" width="9.7109375" customWidth="1"/>
    <col min="785" max="785" width="16.5703125" customWidth="1"/>
    <col min="1025" max="1025" width="3.42578125" customWidth="1"/>
    <col min="1026" max="1026" width="21" customWidth="1"/>
    <col min="1027" max="1027" width="10.140625" customWidth="1"/>
    <col min="1028" max="1028" width="10" customWidth="1"/>
    <col min="1029" max="1029" width="10.140625" customWidth="1"/>
    <col min="1030" max="1030" width="12" customWidth="1"/>
    <col min="1031" max="1031" width="11" customWidth="1"/>
    <col min="1032" max="1032" width="11.5703125" customWidth="1"/>
    <col min="1033" max="1033" width="11.85546875" customWidth="1"/>
    <col min="1034" max="1034" width="11.7109375" customWidth="1"/>
    <col min="1035" max="1035" width="13" customWidth="1"/>
    <col min="1036" max="1037" width="12.140625" customWidth="1"/>
    <col min="1038" max="1038" width="10.42578125" customWidth="1"/>
    <col min="1039" max="1039" width="12.140625" customWidth="1"/>
    <col min="1040" max="1040" width="9.7109375" customWidth="1"/>
    <col min="1041" max="1041" width="16.5703125" customWidth="1"/>
    <col min="1281" max="1281" width="3.42578125" customWidth="1"/>
    <col min="1282" max="1282" width="21" customWidth="1"/>
    <col min="1283" max="1283" width="10.140625" customWidth="1"/>
    <col min="1284" max="1284" width="10" customWidth="1"/>
    <col min="1285" max="1285" width="10.140625" customWidth="1"/>
    <col min="1286" max="1286" width="12" customWidth="1"/>
    <col min="1287" max="1287" width="11" customWidth="1"/>
    <col min="1288" max="1288" width="11.5703125" customWidth="1"/>
    <col min="1289" max="1289" width="11.85546875" customWidth="1"/>
    <col min="1290" max="1290" width="11.7109375" customWidth="1"/>
    <col min="1291" max="1291" width="13" customWidth="1"/>
    <col min="1292" max="1293" width="12.140625" customWidth="1"/>
    <col min="1294" max="1294" width="10.42578125" customWidth="1"/>
    <col min="1295" max="1295" width="12.140625" customWidth="1"/>
    <col min="1296" max="1296" width="9.7109375" customWidth="1"/>
    <col min="1297" max="1297" width="16.5703125" customWidth="1"/>
    <col min="1537" max="1537" width="3.42578125" customWidth="1"/>
    <col min="1538" max="1538" width="21" customWidth="1"/>
    <col min="1539" max="1539" width="10.140625" customWidth="1"/>
    <col min="1540" max="1540" width="10" customWidth="1"/>
    <col min="1541" max="1541" width="10.140625" customWidth="1"/>
    <col min="1542" max="1542" width="12" customWidth="1"/>
    <col min="1543" max="1543" width="11" customWidth="1"/>
    <col min="1544" max="1544" width="11.5703125" customWidth="1"/>
    <col min="1545" max="1545" width="11.85546875" customWidth="1"/>
    <col min="1546" max="1546" width="11.7109375" customWidth="1"/>
    <col min="1547" max="1547" width="13" customWidth="1"/>
    <col min="1548" max="1549" width="12.140625" customWidth="1"/>
    <col min="1550" max="1550" width="10.42578125" customWidth="1"/>
    <col min="1551" max="1551" width="12.140625" customWidth="1"/>
    <col min="1552" max="1552" width="9.7109375" customWidth="1"/>
    <col min="1553" max="1553" width="16.5703125" customWidth="1"/>
    <col min="1793" max="1793" width="3.42578125" customWidth="1"/>
    <col min="1794" max="1794" width="21" customWidth="1"/>
    <col min="1795" max="1795" width="10.140625" customWidth="1"/>
    <col min="1796" max="1796" width="10" customWidth="1"/>
    <col min="1797" max="1797" width="10.140625" customWidth="1"/>
    <col min="1798" max="1798" width="12" customWidth="1"/>
    <col min="1799" max="1799" width="11" customWidth="1"/>
    <col min="1800" max="1800" width="11.5703125" customWidth="1"/>
    <col min="1801" max="1801" width="11.85546875" customWidth="1"/>
    <col min="1802" max="1802" width="11.7109375" customWidth="1"/>
    <col min="1803" max="1803" width="13" customWidth="1"/>
    <col min="1804" max="1805" width="12.140625" customWidth="1"/>
    <col min="1806" max="1806" width="10.42578125" customWidth="1"/>
    <col min="1807" max="1807" width="12.140625" customWidth="1"/>
    <col min="1808" max="1808" width="9.7109375" customWidth="1"/>
    <col min="1809" max="1809" width="16.5703125" customWidth="1"/>
    <col min="2049" max="2049" width="3.42578125" customWidth="1"/>
    <col min="2050" max="2050" width="21" customWidth="1"/>
    <col min="2051" max="2051" width="10.140625" customWidth="1"/>
    <col min="2052" max="2052" width="10" customWidth="1"/>
    <col min="2053" max="2053" width="10.140625" customWidth="1"/>
    <col min="2054" max="2054" width="12" customWidth="1"/>
    <col min="2055" max="2055" width="11" customWidth="1"/>
    <col min="2056" max="2056" width="11.5703125" customWidth="1"/>
    <col min="2057" max="2057" width="11.85546875" customWidth="1"/>
    <col min="2058" max="2058" width="11.7109375" customWidth="1"/>
    <col min="2059" max="2059" width="13" customWidth="1"/>
    <col min="2060" max="2061" width="12.140625" customWidth="1"/>
    <col min="2062" max="2062" width="10.42578125" customWidth="1"/>
    <col min="2063" max="2063" width="12.140625" customWidth="1"/>
    <col min="2064" max="2064" width="9.7109375" customWidth="1"/>
    <col min="2065" max="2065" width="16.5703125" customWidth="1"/>
    <col min="2305" max="2305" width="3.42578125" customWidth="1"/>
    <col min="2306" max="2306" width="21" customWidth="1"/>
    <col min="2307" max="2307" width="10.140625" customWidth="1"/>
    <col min="2308" max="2308" width="10" customWidth="1"/>
    <col min="2309" max="2309" width="10.140625" customWidth="1"/>
    <col min="2310" max="2310" width="12" customWidth="1"/>
    <col min="2311" max="2311" width="11" customWidth="1"/>
    <col min="2312" max="2312" width="11.5703125" customWidth="1"/>
    <col min="2313" max="2313" width="11.85546875" customWidth="1"/>
    <col min="2314" max="2314" width="11.7109375" customWidth="1"/>
    <col min="2315" max="2315" width="13" customWidth="1"/>
    <col min="2316" max="2317" width="12.140625" customWidth="1"/>
    <col min="2318" max="2318" width="10.42578125" customWidth="1"/>
    <col min="2319" max="2319" width="12.140625" customWidth="1"/>
    <col min="2320" max="2320" width="9.7109375" customWidth="1"/>
    <col min="2321" max="2321" width="16.5703125" customWidth="1"/>
    <col min="2561" max="2561" width="3.42578125" customWidth="1"/>
    <col min="2562" max="2562" width="21" customWidth="1"/>
    <col min="2563" max="2563" width="10.140625" customWidth="1"/>
    <col min="2564" max="2564" width="10" customWidth="1"/>
    <col min="2565" max="2565" width="10.140625" customWidth="1"/>
    <col min="2566" max="2566" width="12" customWidth="1"/>
    <col min="2567" max="2567" width="11" customWidth="1"/>
    <col min="2568" max="2568" width="11.5703125" customWidth="1"/>
    <col min="2569" max="2569" width="11.85546875" customWidth="1"/>
    <col min="2570" max="2570" width="11.7109375" customWidth="1"/>
    <col min="2571" max="2571" width="13" customWidth="1"/>
    <col min="2572" max="2573" width="12.140625" customWidth="1"/>
    <col min="2574" max="2574" width="10.42578125" customWidth="1"/>
    <col min="2575" max="2575" width="12.140625" customWidth="1"/>
    <col min="2576" max="2576" width="9.7109375" customWidth="1"/>
    <col min="2577" max="2577" width="16.5703125" customWidth="1"/>
    <col min="2817" max="2817" width="3.42578125" customWidth="1"/>
    <col min="2818" max="2818" width="21" customWidth="1"/>
    <col min="2819" max="2819" width="10.140625" customWidth="1"/>
    <col min="2820" max="2820" width="10" customWidth="1"/>
    <col min="2821" max="2821" width="10.140625" customWidth="1"/>
    <col min="2822" max="2822" width="12" customWidth="1"/>
    <col min="2823" max="2823" width="11" customWidth="1"/>
    <col min="2824" max="2824" width="11.5703125" customWidth="1"/>
    <col min="2825" max="2825" width="11.85546875" customWidth="1"/>
    <col min="2826" max="2826" width="11.7109375" customWidth="1"/>
    <col min="2827" max="2827" width="13" customWidth="1"/>
    <col min="2828" max="2829" width="12.140625" customWidth="1"/>
    <col min="2830" max="2830" width="10.42578125" customWidth="1"/>
    <col min="2831" max="2831" width="12.140625" customWidth="1"/>
    <col min="2832" max="2832" width="9.7109375" customWidth="1"/>
    <col min="2833" max="2833" width="16.5703125" customWidth="1"/>
    <col min="3073" max="3073" width="3.42578125" customWidth="1"/>
    <col min="3074" max="3074" width="21" customWidth="1"/>
    <col min="3075" max="3075" width="10.140625" customWidth="1"/>
    <col min="3076" max="3076" width="10" customWidth="1"/>
    <col min="3077" max="3077" width="10.140625" customWidth="1"/>
    <col min="3078" max="3078" width="12" customWidth="1"/>
    <col min="3079" max="3079" width="11" customWidth="1"/>
    <col min="3080" max="3080" width="11.5703125" customWidth="1"/>
    <col min="3081" max="3081" width="11.85546875" customWidth="1"/>
    <col min="3082" max="3082" width="11.7109375" customWidth="1"/>
    <col min="3083" max="3083" width="13" customWidth="1"/>
    <col min="3084" max="3085" width="12.140625" customWidth="1"/>
    <col min="3086" max="3086" width="10.42578125" customWidth="1"/>
    <col min="3087" max="3087" width="12.140625" customWidth="1"/>
    <col min="3088" max="3088" width="9.7109375" customWidth="1"/>
    <col min="3089" max="3089" width="16.5703125" customWidth="1"/>
    <col min="3329" max="3329" width="3.42578125" customWidth="1"/>
    <col min="3330" max="3330" width="21" customWidth="1"/>
    <col min="3331" max="3331" width="10.140625" customWidth="1"/>
    <col min="3332" max="3332" width="10" customWidth="1"/>
    <col min="3333" max="3333" width="10.140625" customWidth="1"/>
    <col min="3334" max="3334" width="12" customWidth="1"/>
    <col min="3335" max="3335" width="11" customWidth="1"/>
    <col min="3336" max="3336" width="11.5703125" customWidth="1"/>
    <col min="3337" max="3337" width="11.85546875" customWidth="1"/>
    <col min="3338" max="3338" width="11.7109375" customWidth="1"/>
    <col min="3339" max="3339" width="13" customWidth="1"/>
    <col min="3340" max="3341" width="12.140625" customWidth="1"/>
    <col min="3342" max="3342" width="10.42578125" customWidth="1"/>
    <col min="3343" max="3343" width="12.140625" customWidth="1"/>
    <col min="3344" max="3344" width="9.7109375" customWidth="1"/>
    <col min="3345" max="3345" width="16.5703125" customWidth="1"/>
    <col min="3585" max="3585" width="3.42578125" customWidth="1"/>
    <col min="3586" max="3586" width="21" customWidth="1"/>
    <col min="3587" max="3587" width="10.140625" customWidth="1"/>
    <col min="3588" max="3588" width="10" customWidth="1"/>
    <col min="3589" max="3589" width="10.140625" customWidth="1"/>
    <col min="3590" max="3590" width="12" customWidth="1"/>
    <col min="3591" max="3591" width="11" customWidth="1"/>
    <col min="3592" max="3592" width="11.5703125" customWidth="1"/>
    <col min="3593" max="3593" width="11.85546875" customWidth="1"/>
    <col min="3594" max="3594" width="11.7109375" customWidth="1"/>
    <col min="3595" max="3595" width="13" customWidth="1"/>
    <col min="3596" max="3597" width="12.140625" customWidth="1"/>
    <col min="3598" max="3598" width="10.42578125" customWidth="1"/>
    <col min="3599" max="3599" width="12.140625" customWidth="1"/>
    <col min="3600" max="3600" width="9.7109375" customWidth="1"/>
    <col min="3601" max="3601" width="16.5703125" customWidth="1"/>
    <col min="3841" max="3841" width="3.42578125" customWidth="1"/>
    <col min="3842" max="3842" width="21" customWidth="1"/>
    <col min="3843" max="3843" width="10.140625" customWidth="1"/>
    <col min="3844" max="3844" width="10" customWidth="1"/>
    <col min="3845" max="3845" width="10.140625" customWidth="1"/>
    <col min="3846" max="3846" width="12" customWidth="1"/>
    <col min="3847" max="3847" width="11" customWidth="1"/>
    <col min="3848" max="3848" width="11.5703125" customWidth="1"/>
    <col min="3849" max="3849" width="11.85546875" customWidth="1"/>
    <col min="3850" max="3850" width="11.7109375" customWidth="1"/>
    <col min="3851" max="3851" width="13" customWidth="1"/>
    <col min="3852" max="3853" width="12.140625" customWidth="1"/>
    <col min="3854" max="3854" width="10.42578125" customWidth="1"/>
    <col min="3855" max="3855" width="12.140625" customWidth="1"/>
    <col min="3856" max="3856" width="9.7109375" customWidth="1"/>
    <col min="3857" max="3857" width="16.5703125" customWidth="1"/>
    <col min="4097" max="4097" width="3.42578125" customWidth="1"/>
    <col min="4098" max="4098" width="21" customWidth="1"/>
    <col min="4099" max="4099" width="10.140625" customWidth="1"/>
    <col min="4100" max="4100" width="10" customWidth="1"/>
    <col min="4101" max="4101" width="10.140625" customWidth="1"/>
    <col min="4102" max="4102" width="12" customWidth="1"/>
    <col min="4103" max="4103" width="11" customWidth="1"/>
    <col min="4104" max="4104" width="11.5703125" customWidth="1"/>
    <col min="4105" max="4105" width="11.85546875" customWidth="1"/>
    <col min="4106" max="4106" width="11.7109375" customWidth="1"/>
    <col min="4107" max="4107" width="13" customWidth="1"/>
    <col min="4108" max="4109" width="12.140625" customWidth="1"/>
    <col min="4110" max="4110" width="10.42578125" customWidth="1"/>
    <col min="4111" max="4111" width="12.140625" customWidth="1"/>
    <col min="4112" max="4112" width="9.7109375" customWidth="1"/>
    <col min="4113" max="4113" width="16.5703125" customWidth="1"/>
    <col min="4353" max="4353" width="3.42578125" customWidth="1"/>
    <col min="4354" max="4354" width="21" customWidth="1"/>
    <col min="4355" max="4355" width="10.140625" customWidth="1"/>
    <col min="4356" max="4356" width="10" customWidth="1"/>
    <col min="4357" max="4357" width="10.140625" customWidth="1"/>
    <col min="4358" max="4358" width="12" customWidth="1"/>
    <col min="4359" max="4359" width="11" customWidth="1"/>
    <col min="4360" max="4360" width="11.5703125" customWidth="1"/>
    <col min="4361" max="4361" width="11.85546875" customWidth="1"/>
    <col min="4362" max="4362" width="11.7109375" customWidth="1"/>
    <col min="4363" max="4363" width="13" customWidth="1"/>
    <col min="4364" max="4365" width="12.140625" customWidth="1"/>
    <col min="4366" max="4366" width="10.42578125" customWidth="1"/>
    <col min="4367" max="4367" width="12.140625" customWidth="1"/>
    <col min="4368" max="4368" width="9.7109375" customWidth="1"/>
    <col min="4369" max="4369" width="16.5703125" customWidth="1"/>
    <col min="4609" max="4609" width="3.42578125" customWidth="1"/>
    <col min="4610" max="4610" width="21" customWidth="1"/>
    <col min="4611" max="4611" width="10.140625" customWidth="1"/>
    <col min="4612" max="4612" width="10" customWidth="1"/>
    <col min="4613" max="4613" width="10.140625" customWidth="1"/>
    <col min="4614" max="4614" width="12" customWidth="1"/>
    <col min="4615" max="4615" width="11" customWidth="1"/>
    <col min="4616" max="4616" width="11.5703125" customWidth="1"/>
    <col min="4617" max="4617" width="11.85546875" customWidth="1"/>
    <col min="4618" max="4618" width="11.7109375" customWidth="1"/>
    <col min="4619" max="4619" width="13" customWidth="1"/>
    <col min="4620" max="4621" width="12.140625" customWidth="1"/>
    <col min="4622" max="4622" width="10.42578125" customWidth="1"/>
    <col min="4623" max="4623" width="12.140625" customWidth="1"/>
    <col min="4624" max="4624" width="9.7109375" customWidth="1"/>
    <col min="4625" max="4625" width="16.5703125" customWidth="1"/>
    <col min="4865" max="4865" width="3.42578125" customWidth="1"/>
    <col min="4866" max="4866" width="21" customWidth="1"/>
    <col min="4867" max="4867" width="10.140625" customWidth="1"/>
    <col min="4868" max="4868" width="10" customWidth="1"/>
    <col min="4869" max="4869" width="10.140625" customWidth="1"/>
    <col min="4870" max="4870" width="12" customWidth="1"/>
    <col min="4871" max="4871" width="11" customWidth="1"/>
    <col min="4872" max="4872" width="11.5703125" customWidth="1"/>
    <col min="4873" max="4873" width="11.85546875" customWidth="1"/>
    <col min="4874" max="4874" width="11.7109375" customWidth="1"/>
    <col min="4875" max="4875" width="13" customWidth="1"/>
    <col min="4876" max="4877" width="12.140625" customWidth="1"/>
    <col min="4878" max="4878" width="10.42578125" customWidth="1"/>
    <col min="4879" max="4879" width="12.140625" customWidth="1"/>
    <col min="4880" max="4880" width="9.7109375" customWidth="1"/>
    <col min="4881" max="4881" width="16.5703125" customWidth="1"/>
    <col min="5121" max="5121" width="3.42578125" customWidth="1"/>
    <col min="5122" max="5122" width="21" customWidth="1"/>
    <col min="5123" max="5123" width="10.140625" customWidth="1"/>
    <col min="5124" max="5124" width="10" customWidth="1"/>
    <col min="5125" max="5125" width="10.140625" customWidth="1"/>
    <col min="5126" max="5126" width="12" customWidth="1"/>
    <col min="5127" max="5127" width="11" customWidth="1"/>
    <col min="5128" max="5128" width="11.5703125" customWidth="1"/>
    <col min="5129" max="5129" width="11.85546875" customWidth="1"/>
    <col min="5130" max="5130" width="11.7109375" customWidth="1"/>
    <col min="5131" max="5131" width="13" customWidth="1"/>
    <col min="5132" max="5133" width="12.140625" customWidth="1"/>
    <col min="5134" max="5134" width="10.42578125" customWidth="1"/>
    <col min="5135" max="5135" width="12.140625" customWidth="1"/>
    <col min="5136" max="5136" width="9.7109375" customWidth="1"/>
    <col min="5137" max="5137" width="16.5703125" customWidth="1"/>
    <col min="5377" max="5377" width="3.42578125" customWidth="1"/>
    <col min="5378" max="5378" width="21" customWidth="1"/>
    <col min="5379" max="5379" width="10.140625" customWidth="1"/>
    <col min="5380" max="5380" width="10" customWidth="1"/>
    <col min="5381" max="5381" width="10.140625" customWidth="1"/>
    <col min="5382" max="5382" width="12" customWidth="1"/>
    <col min="5383" max="5383" width="11" customWidth="1"/>
    <col min="5384" max="5384" width="11.5703125" customWidth="1"/>
    <col min="5385" max="5385" width="11.85546875" customWidth="1"/>
    <col min="5386" max="5386" width="11.7109375" customWidth="1"/>
    <col min="5387" max="5387" width="13" customWidth="1"/>
    <col min="5388" max="5389" width="12.140625" customWidth="1"/>
    <col min="5390" max="5390" width="10.42578125" customWidth="1"/>
    <col min="5391" max="5391" width="12.140625" customWidth="1"/>
    <col min="5392" max="5392" width="9.7109375" customWidth="1"/>
    <col min="5393" max="5393" width="16.5703125" customWidth="1"/>
    <col min="5633" max="5633" width="3.42578125" customWidth="1"/>
    <col min="5634" max="5634" width="21" customWidth="1"/>
    <col min="5635" max="5635" width="10.140625" customWidth="1"/>
    <col min="5636" max="5636" width="10" customWidth="1"/>
    <col min="5637" max="5637" width="10.140625" customWidth="1"/>
    <col min="5638" max="5638" width="12" customWidth="1"/>
    <col min="5639" max="5639" width="11" customWidth="1"/>
    <col min="5640" max="5640" width="11.5703125" customWidth="1"/>
    <col min="5641" max="5641" width="11.85546875" customWidth="1"/>
    <col min="5642" max="5642" width="11.7109375" customWidth="1"/>
    <col min="5643" max="5643" width="13" customWidth="1"/>
    <col min="5644" max="5645" width="12.140625" customWidth="1"/>
    <col min="5646" max="5646" width="10.42578125" customWidth="1"/>
    <col min="5647" max="5647" width="12.140625" customWidth="1"/>
    <col min="5648" max="5648" width="9.7109375" customWidth="1"/>
    <col min="5649" max="5649" width="16.5703125" customWidth="1"/>
    <col min="5889" max="5889" width="3.42578125" customWidth="1"/>
    <col min="5890" max="5890" width="21" customWidth="1"/>
    <col min="5891" max="5891" width="10.140625" customWidth="1"/>
    <col min="5892" max="5892" width="10" customWidth="1"/>
    <col min="5893" max="5893" width="10.140625" customWidth="1"/>
    <col min="5894" max="5894" width="12" customWidth="1"/>
    <col min="5895" max="5895" width="11" customWidth="1"/>
    <col min="5896" max="5896" width="11.5703125" customWidth="1"/>
    <col min="5897" max="5897" width="11.85546875" customWidth="1"/>
    <col min="5898" max="5898" width="11.7109375" customWidth="1"/>
    <col min="5899" max="5899" width="13" customWidth="1"/>
    <col min="5900" max="5901" width="12.140625" customWidth="1"/>
    <col min="5902" max="5902" width="10.42578125" customWidth="1"/>
    <col min="5903" max="5903" width="12.140625" customWidth="1"/>
    <col min="5904" max="5904" width="9.7109375" customWidth="1"/>
    <col min="5905" max="5905" width="16.5703125" customWidth="1"/>
    <col min="6145" max="6145" width="3.42578125" customWidth="1"/>
    <col min="6146" max="6146" width="21" customWidth="1"/>
    <col min="6147" max="6147" width="10.140625" customWidth="1"/>
    <col min="6148" max="6148" width="10" customWidth="1"/>
    <col min="6149" max="6149" width="10.140625" customWidth="1"/>
    <col min="6150" max="6150" width="12" customWidth="1"/>
    <col min="6151" max="6151" width="11" customWidth="1"/>
    <col min="6152" max="6152" width="11.5703125" customWidth="1"/>
    <col min="6153" max="6153" width="11.85546875" customWidth="1"/>
    <col min="6154" max="6154" width="11.7109375" customWidth="1"/>
    <col min="6155" max="6155" width="13" customWidth="1"/>
    <col min="6156" max="6157" width="12.140625" customWidth="1"/>
    <col min="6158" max="6158" width="10.42578125" customWidth="1"/>
    <col min="6159" max="6159" width="12.140625" customWidth="1"/>
    <col min="6160" max="6160" width="9.7109375" customWidth="1"/>
    <col min="6161" max="6161" width="16.5703125" customWidth="1"/>
    <col min="6401" max="6401" width="3.42578125" customWidth="1"/>
    <col min="6402" max="6402" width="21" customWidth="1"/>
    <col min="6403" max="6403" width="10.140625" customWidth="1"/>
    <col min="6404" max="6404" width="10" customWidth="1"/>
    <col min="6405" max="6405" width="10.140625" customWidth="1"/>
    <col min="6406" max="6406" width="12" customWidth="1"/>
    <col min="6407" max="6407" width="11" customWidth="1"/>
    <col min="6408" max="6408" width="11.5703125" customWidth="1"/>
    <col min="6409" max="6409" width="11.85546875" customWidth="1"/>
    <col min="6410" max="6410" width="11.7109375" customWidth="1"/>
    <col min="6411" max="6411" width="13" customWidth="1"/>
    <col min="6412" max="6413" width="12.140625" customWidth="1"/>
    <col min="6414" max="6414" width="10.42578125" customWidth="1"/>
    <col min="6415" max="6415" width="12.140625" customWidth="1"/>
    <col min="6416" max="6416" width="9.7109375" customWidth="1"/>
    <col min="6417" max="6417" width="16.5703125" customWidth="1"/>
    <col min="6657" max="6657" width="3.42578125" customWidth="1"/>
    <col min="6658" max="6658" width="21" customWidth="1"/>
    <col min="6659" max="6659" width="10.140625" customWidth="1"/>
    <col min="6660" max="6660" width="10" customWidth="1"/>
    <col min="6661" max="6661" width="10.140625" customWidth="1"/>
    <col min="6662" max="6662" width="12" customWidth="1"/>
    <col min="6663" max="6663" width="11" customWidth="1"/>
    <col min="6664" max="6664" width="11.5703125" customWidth="1"/>
    <col min="6665" max="6665" width="11.85546875" customWidth="1"/>
    <col min="6666" max="6666" width="11.7109375" customWidth="1"/>
    <col min="6667" max="6667" width="13" customWidth="1"/>
    <col min="6668" max="6669" width="12.140625" customWidth="1"/>
    <col min="6670" max="6670" width="10.42578125" customWidth="1"/>
    <col min="6671" max="6671" width="12.140625" customWidth="1"/>
    <col min="6672" max="6672" width="9.7109375" customWidth="1"/>
    <col min="6673" max="6673" width="16.5703125" customWidth="1"/>
    <col min="6913" max="6913" width="3.42578125" customWidth="1"/>
    <col min="6914" max="6914" width="21" customWidth="1"/>
    <col min="6915" max="6915" width="10.140625" customWidth="1"/>
    <col min="6916" max="6916" width="10" customWidth="1"/>
    <col min="6917" max="6917" width="10.140625" customWidth="1"/>
    <col min="6918" max="6918" width="12" customWidth="1"/>
    <col min="6919" max="6919" width="11" customWidth="1"/>
    <col min="6920" max="6920" width="11.5703125" customWidth="1"/>
    <col min="6921" max="6921" width="11.85546875" customWidth="1"/>
    <col min="6922" max="6922" width="11.7109375" customWidth="1"/>
    <col min="6923" max="6923" width="13" customWidth="1"/>
    <col min="6924" max="6925" width="12.140625" customWidth="1"/>
    <col min="6926" max="6926" width="10.42578125" customWidth="1"/>
    <col min="6927" max="6927" width="12.140625" customWidth="1"/>
    <col min="6928" max="6928" width="9.7109375" customWidth="1"/>
    <col min="6929" max="6929" width="16.5703125" customWidth="1"/>
    <col min="7169" max="7169" width="3.42578125" customWidth="1"/>
    <col min="7170" max="7170" width="21" customWidth="1"/>
    <col min="7171" max="7171" width="10.140625" customWidth="1"/>
    <col min="7172" max="7172" width="10" customWidth="1"/>
    <col min="7173" max="7173" width="10.140625" customWidth="1"/>
    <col min="7174" max="7174" width="12" customWidth="1"/>
    <col min="7175" max="7175" width="11" customWidth="1"/>
    <col min="7176" max="7176" width="11.5703125" customWidth="1"/>
    <col min="7177" max="7177" width="11.85546875" customWidth="1"/>
    <col min="7178" max="7178" width="11.7109375" customWidth="1"/>
    <col min="7179" max="7179" width="13" customWidth="1"/>
    <col min="7180" max="7181" width="12.140625" customWidth="1"/>
    <col min="7182" max="7182" width="10.42578125" customWidth="1"/>
    <col min="7183" max="7183" width="12.140625" customWidth="1"/>
    <col min="7184" max="7184" width="9.7109375" customWidth="1"/>
    <col min="7185" max="7185" width="16.5703125" customWidth="1"/>
    <col min="7425" max="7425" width="3.42578125" customWidth="1"/>
    <col min="7426" max="7426" width="21" customWidth="1"/>
    <col min="7427" max="7427" width="10.140625" customWidth="1"/>
    <col min="7428" max="7428" width="10" customWidth="1"/>
    <col min="7429" max="7429" width="10.140625" customWidth="1"/>
    <col min="7430" max="7430" width="12" customWidth="1"/>
    <col min="7431" max="7431" width="11" customWidth="1"/>
    <col min="7432" max="7432" width="11.5703125" customWidth="1"/>
    <col min="7433" max="7433" width="11.85546875" customWidth="1"/>
    <col min="7434" max="7434" width="11.7109375" customWidth="1"/>
    <col min="7435" max="7435" width="13" customWidth="1"/>
    <col min="7436" max="7437" width="12.140625" customWidth="1"/>
    <col min="7438" max="7438" width="10.42578125" customWidth="1"/>
    <col min="7439" max="7439" width="12.140625" customWidth="1"/>
    <col min="7440" max="7440" width="9.7109375" customWidth="1"/>
    <col min="7441" max="7441" width="16.5703125" customWidth="1"/>
    <col min="7681" max="7681" width="3.42578125" customWidth="1"/>
    <col min="7682" max="7682" width="21" customWidth="1"/>
    <col min="7683" max="7683" width="10.140625" customWidth="1"/>
    <col min="7684" max="7684" width="10" customWidth="1"/>
    <col min="7685" max="7685" width="10.140625" customWidth="1"/>
    <col min="7686" max="7686" width="12" customWidth="1"/>
    <col min="7687" max="7687" width="11" customWidth="1"/>
    <col min="7688" max="7688" width="11.5703125" customWidth="1"/>
    <col min="7689" max="7689" width="11.85546875" customWidth="1"/>
    <col min="7690" max="7690" width="11.7109375" customWidth="1"/>
    <col min="7691" max="7691" width="13" customWidth="1"/>
    <col min="7692" max="7693" width="12.140625" customWidth="1"/>
    <col min="7694" max="7694" width="10.42578125" customWidth="1"/>
    <col min="7695" max="7695" width="12.140625" customWidth="1"/>
    <col min="7696" max="7696" width="9.7109375" customWidth="1"/>
    <col min="7697" max="7697" width="16.5703125" customWidth="1"/>
    <col min="7937" max="7937" width="3.42578125" customWidth="1"/>
    <col min="7938" max="7938" width="21" customWidth="1"/>
    <col min="7939" max="7939" width="10.140625" customWidth="1"/>
    <col min="7940" max="7940" width="10" customWidth="1"/>
    <col min="7941" max="7941" width="10.140625" customWidth="1"/>
    <col min="7942" max="7942" width="12" customWidth="1"/>
    <col min="7943" max="7943" width="11" customWidth="1"/>
    <col min="7944" max="7944" width="11.5703125" customWidth="1"/>
    <col min="7945" max="7945" width="11.85546875" customWidth="1"/>
    <col min="7946" max="7946" width="11.7109375" customWidth="1"/>
    <col min="7947" max="7947" width="13" customWidth="1"/>
    <col min="7948" max="7949" width="12.140625" customWidth="1"/>
    <col min="7950" max="7950" width="10.42578125" customWidth="1"/>
    <col min="7951" max="7951" width="12.140625" customWidth="1"/>
    <col min="7952" max="7952" width="9.7109375" customWidth="1"/>
    <col min="7953" max="7953" width="16.5703125" customWidth="1"/>
    <col min="8193" max="8193" width="3.42578125" customWidth="1"/>
    <col min="8194" max="8194" width="21" customWidth="1"/>
    <col min="8195" max="8195" width="10.140625" customWidth="1"/>
    <col min="8196" max="8196" width="10" customWidth="1"/>
    <col min="8197" max="8197" width="10.140625" customWidth="1"/>
    <col min="8198" max="8198" width="12" customWidth="1"/>
    <col min="8199" max="8199" width="11" customWidth="1"/>
    <col min="8200" max="8200" width="11.5703125" customWidth="1"/>
    <col min="8201" max="8201" width="11.85546875" customWidth="1"/>
    <col min="8202" max="8202" width="11.7109375" customWidth="1"/>
    <col min="8203" max="8203" width="13" customWidth="1"/>
    <col min="8204" max="8205" width="12.140625" customWidth="1"/>
    <col min="8206" max="8206" width="10.42578125" customWidth="1"/>
    <col min="8207" max="8207" width="12.140625" customWidth="1"/>
    <col min="8208" max="8208" width="9.7109375" customWidth="1"/>
    <col min="8209" max="8209" width="16.5703125" customWidth="1"/>
    <col min="8449" max="8449" width="3.42578125" customWidth="1"/>
    <col min="8450" max="8450" width="21" customWidth="1"/>
    <col min="8451" max="8451" width="10.140625" customWidth="1"/>
    <col min="8452" max="8452" width="10" customWidth="1"/>
    <col min="8453" max="8453" width="10.140625" customWidth="1"/>
    <col min="8454" max="8454" width="12" customWidth="1"/>
    <col min="8455" max="8455" width="11" customWidth="1"/>
    <col min="8456" max="8456" width="11.5703125" customWidth="1"/>
    <col min="8457" max="8457" width="11.85546875" customWidth="1"/>
    <col min="8458" max="8458" width="11.7109375" customWidth="1"/>
    <col min="8459" max="8459" width="13" customWidth="1"/>
    <col min="8460" max="8461" width="12.140625" customWidth="1"/>
    <col min="8462" max="8462" width="10.42578125" customWidth="1"/>
    <col min="8463" max="8463" width="12.140625" customWidth="1"/>
    <col min="8464" max="8464" width="9.7109375" customWidth="1"/>
    <col min="8465" max="8465" width="16.5703125" customWidth="1"/>
    <col min="8705" max="8705" width="3.42578125" customWidth="1"/>
    <col min="8706" max="8706" width="21" customWidth="1"/>
    <col min="8707" max="8707" width="10.140625" customWidth="1"/>
    <col min="8708" max="8708" width="10" customWidth="1"/>
    <col min="8709" max="8709" width="10.140625" customWidth="1"/>
    <col min="8710" max="8710" width="12" customWidth="1"/>
    <col min="8711" max="8711" width="11" customWidth="1"/>
    <col min="8712" max="8712" width="11.5703125" customWidth="1"/>
    <col min="8713" max="8713" width="11.85546875" customWidth="1"/>
    <col min="8714" max="8714" width="11.7109375" customWidth="1"/>
    <col min="8715" max="8715" width="13" customWidth="1"/>
    <col min="8716" max="8717" width="12.140625" customWidth="1"/>
    <col min="8718" max="8718" width="10.42578125" customWidth="1"/>
    <col min="8719" max="8719" width="12.140625" customWidth="1"/>
    <col min="8720" max="8720" width="9.7109375" customWidth="1"/>
    <col min="8721" max="8721" width="16.5703125" customWidth="1"/>
    <col min="8961" max="8961" width="3.42578125" customWidth="1"/>
    <col min="8962" max="8962" width="21" customWidth="1"/>
    <col min="8963" max="8963" width="10.140625" customWidth="1"/>
    <col min="8964" max="8964" width="10" customWidth="1"/>
    <col min="8965" max="8965" width="10.140625" customWidth="1"/>
    <col min="8966" max="8966" width="12" customWidth="1"/>
    <col min="8967" max="8967" width="11" customWidth="1"/>
    <col min="8968" max="8968" width="11.5703125" customWidth="1"/>
    <col min="8969" max="8969" width="11.85546875" customWidth="1"/>
    <col min="8970" max="8970" width="11.7109375" customWidth="1"/>
    <col min="8971" max="8971" width="13" customWidth="1"/>
    <col min="8972" max="8973" width="12.140625" customWidth="1"/>
    <col min="8974" max="8974" width="10.42578125" customWidth="1"/>
    <col min="8975" max="8975" width="12.140625" customWidth="1"/>
    <col min="8976" max="8976" width="9.7109375" customWidth="1"/>
    <col min="8977" max="8977" width="16.5703125" customWidth="1"/>
    <col min="9217" max="9217" width="3.42578125" customWidth="1"/>
    <col min="9218" max="9218" width="21" customWidth="1"/>
    <col min="9219" max="9219" width="10.140625" customWidth="1"/>
    <col min="9220" max="9220" width="10" customWidth="1"/>
    <col min="9221" max="9221" width="10.140625" customWidth="1"/>
    <col min="9222" max="9222" width="12" customWidth="1"/>
    <col min="9223" max="9223" width="11" customWidth="1"/>
    <col min="9224" max="9224" width="11.5703125" customWidth="1"/>
    <col min="9225" max="9225" width="11.85546875" customWidth="1"/>
    <col min="9226" max="9226" width="11.7109375" customWidth="1"/>
    <col min="9227" max="9227" width="13" customWidth="1"/>
    <col min="9228" max="9229" width="12.140625" customWidth="1"/>
    <col min="9230" max="9230" width="10.42578125" customWidth="1"/>
    <col min="9231" max="9231" width="12.140625" customWidth="1"/>
    <col min="9232" max="9232" width="9.7109375" customWidth="1"/>
    <col min="9233" max="9233" width="16.5703125" customWidth="1"/>
    <col min="9473" max="9473" width="3.42578125" customWidth="1"/>
    <col min="9474" max="9474" width="21" customWidth="1"/>
    <col min="9475" max="9475" width="10.140625" customWidth="1"/>
    <col min="9476" max="9476" width="10" customWidth="1"/>
    <col min="9477" max="9477" width="10.140625" customWidth="1"/>
    <col min="9478" max="9478" width="12" customWidth="1"/>
    <col min="9479" max="9479" width="11" customWidth="1"/>
    <col min="9480" max="9480" width="11.5703125" customWidth="1"/>
    <col min="9481" max="9481" width="11.85546875" customWidth="1"/>
    <col min="9482" max="9482" width="11.7109375" customWidth="1"/>
    <col min="9483" max="9483" width="13" customWidth="1"/>
    <col min="9484" max="9485" width="12.140625" customWidth="1"/>
    <col min="9486" max="9486" width="10.42578125" customWidth="1"/>
    <col min="9487" max="9487" width="12.140625" customWidth="1"/>
    <col min="9488" max="9488" width="9.7109375" customWidth="1"/>
    <col min="9489" max="9489" width="16.5703125" customWidth="1"/>
    <col min="9729" max="9729" width="3.42578125" customWidth="1"/>
    <col min="9730" max="9730" width="21" customWidth="1"/>
    <col min="9731" max="9731" width="10.140625" customWidth="1"/>
    <col min="9732" max="9732" width="10" customWidth="1"/>
    <col min="9733" max="9733" width="10.140625" customWidth="1"/>
    <col min="9734" max="9734" width="12" customWidth="1"/>
    <col min="9735" max="9735" width="11" customWidth="1"/>
    <col min="9736" max="9736" width="11.5703125" customWidth="1"/>
    <col min="9737" max="9737" width="11.85546875" customWidth="1"/>
    <col min="9738" max="9738" width="11.7109375" customWidth="1"/>
    <col min="9739" max="9739" width="13" customWidth="1"/>
    <col min="9740" max="9741" width="12.140625" customWidth="1"/>
    <col min="9742" max="9742" width="10.42578125" customWidth="1"/>
    <col min="9743" max="9743" width="12.140625" customWidth="1"/>
    <col min="9744" max="9744" width="9.7109375" customWidth="1"/>
    <col min="9745" max="9745" width="16.5703125" customWidth="1"/>
    <col min="9985" max="9985" width="3.42578125" customWidth="1"/>
    <col min="9986" max="9986" width="21" customWidth="1"/>
    <col min="9987" max="9987" width="10.140625" customWidth="1"/>
    <col min="9988" max="9988" width="10" customWidth="1"/>
    <col min="9989" max="9989" width="10.140625" customWidth="1"/>
    <col min="9990" max="9990" width="12" customWidth="1"/>
    <col min="9991" max="9991" width="11" customWidth="1"/>
    <col min="9992" max="9992" width="11.5703125" customWidth="1"/>
    <col min="9993" max="9993" width="11.85546875" customWidth="1"/>
    <col min="9994" max="9994" width="11.7109375" customWidth="1"/>
    <col min="9995" max="9995" width="13" customWidth="1"/>
    <col min="9996" max="9997" width="12.140625" customWidth="1"/>
    <col min="9998" max="9998" width="10.42578125" customWidth="1"/>
    <col min="9999" max="9999" width="12.140625" customWidth="1"/>
    <col min="10000" max="10000" width="9.7109375" customWidth="1"/>
    <col min="10001" max="10001" width="16.5703125" customWidth="1"/>
    <col min="10241" max="10241" width="3.42578125" customWidth="1"/>
    <col min="10242" max="10242" width="21" customWidth="1"/>
    <col min="10243" max="10243" width="10.140625" customWidth="1"/>
    <col min="10244" max="10244" width="10" customWidth="1"/>
    <col min="10245" max="10245" width="10.140625" customWidth="1"/>
    <col min="10246" max="10246" width="12" customWidth="1"/>
    <col min="10247" max="10247" width="11" customWidth="1"/>
    <col min="10248" max="10248" width="11.5703125" customWidth="1"/>
    <col min="10249" max="10249" width="11.85546875" customWidth="1"/>
    <col min="10250" max="10250" width="11.7109375" customWidth="1"/>
    <col min="10251" max="10251" width="13" customWidth="1"/>
    <col min="10252" max="10253" width="12.140625" customWidth="1"/>
    <col min="10254" max="10254" width="10.42578125" customWidth="1"/>
    <col min="10255" max="10255" width="12.140625" customWidth="1"/>
    <col min="10256" max="10256" width="9.7109375" customWidth="1"/>
    <col min="10257" max="10257" width="16.5703125" customWidth="1"/>
    <col min="10497" max="10497" width="3.42578125" customWidth="1"/>
    <col min="10498" max="10498" width="21" customWidth="1"/>
    <col min="10499" max="10499" width="10.140625" customWidth="1"/>
    <col min="10500" max="10500" width="10" customWidth="1"/>
    <col min="10501" max="10501" width="10.140625" customWidth="1"/>
    <col min="10502" max="10502" width="12" customWidth="1"/>
    <col min="10503" max="10503" width="11" customWidth="1"/>
    <col min="10504" max="10504" width="11.5703125" customWidth="1"/>
    <col min="10505" max="10505" width="11.85546875" customWidth="1"/>
    <col min="10506" max="10506" width="11.7109375" customWidth="1"/>
    <col min="10507" max="10507" width="13" customWidth="1"/>
    <col min="10508" max="10509" width="12.140625" customWidth="1"/>
    <col min="10510" max="10510" width="10.42578125" customWidth="1"/>
    <col min="10511" max="10511" width="12.140625" customWidth="1"/>
    <col min="10512" max="10512" width="9.7109375" customWidth="1"/>
    <col min="10513" max="10513" width="16.5703125" customWidth="1"/>
    <col min="10753" max="10753" width="3.42578125" customWidth="1"/>
    <col min="10754" max="10754" width="21" customWidth="1"/>
    <col min="10755" max="10755" width="10.140625" customWidth="1"/>
    <col min="10756" max="10756" width="10" customWidth="1"/>
    <col min="10757" max="10757" width="10.140625" customWidth="1"/>
    <col min="10758" max="10758" width="12" customWidth="1"/>
    <col min="10759" max="10759" width="11" customWidth="1"/>
    <col min="10760" max="10760" width="11.5703125" customWidth="1"/>
    <col min="10761" max="10761" width="11.85546875" customWidth="1"/>
    <col min="10762" max="10762" width="11.7109375" customWidth="1"/>
    <col min="10763" max="10763" width="13" customWidth="1"/>
    <col min="10764" max="10765" width="12.140625" customWidth="1"/>
    <col min="10766" max="10766" width="10.42578125" customWidth="1"/>
    <col min="10767" max="10767" width="12.140625" customWidth="1"/>
    <col min="10768" max="10768" width="9.7109375" customWidth="1"/>
    <col min="10769" max="10769" width="16.5703125" customWidth="1"/>
    <col min="11009" max="11009" width="3.42578125" customWidth="1"/>
    <col min="11010" max="11010" width="21" customWidth="1"/>
    <col min="11011" max="11011" width="10.140625" customWidth="1"/>
    <col min="11012" max="11012" width="10" customWidth="1"/>
    <col min="11013" max="11013" width="10.140625" customWidth="1"/>
    <col min="11014" max="11014" width="12" customWidth="1"/>
    <col min="11015" max="11015" width="11" customWidth="1"/>
    <col min="11016" max="11016" width="11.5703125" customWidth="1"/>
    <col min="11017" max="11017" width="11.85546875" customWidth="1"/>
    <col min="11018" max="11018" width="11.7109375" customWidth="1"/>
    <col min="11019" max="11019" width="13" customWidth="1"/>
    <col min="11020" max="11021" width="12.140625" customWidth="1"/>
    <col min="11022" max="11022" width="10.42578125" customWidth="1"/>
    <col min="11023" max="11023" width="12.140625" customWidth="1"/>
    <col min="11024" max="11024" width="9.7109375" customWidth="1"/>
    <col min="11025" max="11025" width="16.5703125" customWidth="1"/>
    <col min="11265" max="11265" width="3.42578125" customWidth="1"/>
    <col min="11266" max="11266" width="21" customWidth="1"/>
    <col min="11267" max="11267" width="10.140625" customWidth="1"/>
    <col min="11268" max="11268" width="10" customWidth="1"/>
    <col min="11269" max="11269" width="10.140625" customWidth="1"/>
    <col min="11270" max="11270" width="12" customWidth="1"/>
    <col min="11271" max="11271" width="11" customWidth="1"/>
    <col min="11272" max="11272" width="11.5703125" customWidth="1"/>
    <col min="11273" max="11273" width="11.85546875" customWidth="1"/>
    <col min="11274" max="11274" width="11.7109375" customWidth="1"/>
    <col min="11275" max="11275" width="13" customWidth="1"/>
    <col min="11276" max="11277" width="12.140625" customWidth="1"/>
    <col min="11278" max="11278" width="10.42578125" customWidth="1"/>
    <col min="11279" max="11279" width="12.140625" customWidth="1"/>
    <col min="11280" max="11280" width="9.7109375" customWidth="1"/>
    <col min="11281" max="11281" width="16.5703125" customWidth="1"/>
    <col min="11521" max="11521" width="3.42578125" customWidth="1"/>
    <col min="11522" max="11522" width="21" customWidth="1"/>
    <col min="11523" max="11523" width="10.140625" customWidth="1"/>
    <col min="11524" max="11524" width="10" customWidth="1"/>
    <col min="11525" max="11525" width="10.140625" customWidth="1"/>
    <col min="11526" max="11526" width="12" customWidth="1"/>
    <col min="11527" max="11527" width="11" customWidth="1"/>
    <col min="11528" max="11528" width="11.5703125" customWidth="1"/>
    <col min="11529" max="11529" width="11.85546875" customWidth="1"/>
    <col min="11530" max="11530" width="11.7109375" customWidth="1"/>
    <col min="11531" max="11531" width="13" customWidth="1"/>
    <col min="11532" max="11533" width="12.140625" customWidth="1"/>
    <col min="11534" max="11534" width="10.42578125" customWidth="1"/>
    <col min="11535" max="11535" width="12.140625" customWidth="1"/>
    <col min="11536" max="11536" width="9.7109375" customWidth="1"/>
    <col min="11537" max="11537" width="16.5703125" customWidth="1"/>
    <col min="11777" max="11777" width="3.42578125" customWidth="1"/>
    <col min="11778" max="11778" width="21" customWidth="1"/>
    <col min="11779" max="11779" width="10.140625" customWidth="1"/>
    <col min="11780" max="11780" width="10" customWidth="1"/>
    <col min="11781" max="11781" width="10.140625" customWidth="1"/>
    <col min="11782" max="11782" width="12" customWidth="1"/>
    <col min="11783" max="11783" width="11" customWidth="1"/>
    <col min="11784" max="11784" width="11.5703125" customWidth="1"/>
    <col min="11785" max="11785" width="11.85546875" customWidth="1"/>
    <col min="11786" max="11786" width="11.7109375" customWidth="1"/>
    <col min="11787" max="11787" width="13" customWidth="1"/>
    <col min="11788" max="11789" width="12.140625" customWidth="1"/>
    <col min="11790" max="11790" width="10.42578125" customWidth="1"/>
    <col min="11791" max="11791" width="12.140625" customWidth="1"/>
    <col min="11792" max="11792" width="9.7109375" customWidth="1"/>
    <col min="11793" max="11793" width="16.5703125" customWidth="1"/>
    <col min="12033" max="12033" width="3.42578125" customWidth="1"/>
    <col min="12034" max="12034" width="21" customWidth="1"/>
    <col min="12035" max="12035" width="10.140625" customWidth="1"/>
    <col min="12036" max="12036" width="10" customWidth="1"/>
    <col min="12037" max="12037" width="10.140625" customWidth="1"/>
    <col min="12038" max="12038" width="12" customWidth="1"/>
    <col min="12039" max="12039" width="11" customWidth="1"/>
    <col min="12040" max="12040" width="11.5703125" customWidth="1"/>
    <col min="12041" max="12041" width="11.85546875" customWidth="1"/>
    <col min="12042" max="12042" width="11.7109375" customWidth="1"/>
    <col min="12043" max="12043" width="13" customWidth="1"/>
    <col min="12044" max="12045" width="12.140625" customWidth="1"/>
    <col min="12046" max="12046" width="10.42578125" customWidth="1"/>
    <col min="12047" max="12047" width="12.140625" customWidth="1"/>
    <col min="12048" max="12048" width="9.7109375" customWidth="1"/>
    <col min="12049" max="12049" width="16.5703125" customWidth="1"/>
    <col min="12289" max="12289" width="3.42578125" customWidth="1"/>
    <col min="12290" max="12290" width="21" customWidth="1"/>
    <col min="12291" max="12291" width="10.140625" customWidth="1"/>
    <col min="12292" max="12292" width="10" customWidth="1"/>
    <col min="12293" max="12293" width="10.140625" customWidth="1"/>
    <col min="12294" max="12294" width="12" customWidth="1"/>
    <col min="12295" max="12295" width="11" customWidth="1"/>
    <col min="12296" max="12296" width="11.5703125" customWidth="1"/>
    <col min="12297" max="12297" width="11.85546875" customWidth="1"/>
    <col min="12298" max="12298" width="11.7109375" customWidth="1"/>
    <col min="12299" max="12299" width="13" customWidth="1"/>
    <col min="12300" max="12301" width="12.140625" customWidth="1"/>
    <col min="12302" max="12302" width="10.42578125" customWidth="1"/>
    <col min="12303" max="12303" width="12.140625" customWidth="1"/>
    <col min="12304" max="12304" width="9.7109375" customWidth="1"/>
    <col min="12305" max="12305" width="16.5703125" customWidth="1"/>
    <col min="12545" max="12545" width="3.42578125" customWidth="1"/>
    <col min="12546" max="12546" width="21" customWidth="1"/>
    <col min="12547" max="12547" width="10.140625" customWidth="1"/>
    <col min="12548" max="12548" width="10" customWidth="1"/>
    <col min="12549" max="12549" width="10.140625" customWidth="1"/>
    <col min="12550" max="12550" width="12" customWidth="1"/>
    <col min="12551" max="12551" width="11" customWidth="1"/>
    <col min="12552" max="12552" width="11.5703125" customWidth="1"/>
    <col min="12553" max="12553" width="11.85546875" customWidth="1"/>
    <col min="12554" max="12554" width="11.7109375" customWidth="1"/>
    <col min="12555" max="12555" width="13" customWidth="1"/>
    <col min="12556" max="12557" width="12.140625" customWidth="1"/>
    <col min="12558" max="12558" width="10.42578125" customWidth="1"/>
    <col min="12559" max="12559" width="12.140625" customWidth="1"/>
    <col min="12560" max="12560" width="9.7109375" customWidth="1"/>
    <col min="12561" max="12561" width="16.5703125" customWidth="1"/>
    <col min="12801" max="12801" width="3.42578125" customWidth="1"/>
    <col min="12802" max="12802" width="21" customWidth="1"/>
    <col min="12803" max="12803" width="10.140625" customWidth="1"/>
    <col min="12804" max="12804" width="10" customWidth="1"/>
    <col min="12805" max="12805" width="10.140625" customWidth="1"/>
    <col min="12806" max="12806" width="12" customWidth="1"/>
    <col min="12807" max="12807" width="11" customWidth="1"/>
    <col min="12808" max="12808" width="11.5703125" customWidth="1"/>
    <col min="12809" max="12809" width="11.85546875" customWidth="1"/>
    <col min="12810" max="12810" width="11.7109375" customWidth="1"/>
    <col min="12811" max="12811" width="13" customWidth="1"/>
    <col min="12812" max="12813" width="12.140625" customWidth="1"/>
    <col min="12814" max="12814" width="10.42578125" customWidth="1"/>
    <col min="12815" max="12815" width="12.140625" customWidth="1"/>
    <col min="12816" max="12816" width="9.7109375" customWidth="1"/>
    <col min="12817" max="12817" width="16.5703125" customWidth="1"/>
    <col min="13057" max="13057" width="3.42578125" customWidth="1"/>
    <col min="13058" max="13058" width="21" customWidth="1"/>
    <col min="13059" max="13059" width="10.140625" customWidth="1"/>
    <col min="13060" max="13060" width="10" customWidth="1"/>
    <col min="13061" max="13061" width="10.140625" customWidth="1"/>
    <col min="13062" max="13062" width="12" customWidth="1"/>
    <col min="13063" max="13063" width="11" customWidth="1"/>
    <col min="13064" max="13064" width="11.5703125" customWidth="1"/>
    <col min="13065" max="13065" width="11.85546875" customWidth="1"/>
    <col min="13066" max="13066" width="11.7109375" customWidth="1"/>
    <col min="13067" max="13067" width="13" customWidth="1"/>
    <col min="13068" max="13069" width="12.140625" customWidth="1"/>
    <col min="13070" max="13070" width="10.42578125" customWidth="1"/>
    <col min="13071" max="13071" width="12.140625" customWidth="1"/>
    <col min="13072" max="13072" width="9.7109375" customWidth="1"/>
    <col min="13073" max="13073" width="16.5703125" customWidth="1"/>
    <col min="13313" max="13313" width="3.42578125" customWidth="1"/>
    <col min="13314" max="13314" width="21" customWidth="1"/>
    <col min="13315" max="13315" width="10.140625" customWidth="1"/>
    <col min="13316" max="13316" width="10" customWidth="1"/>
    <col min="13317" max="13317" width="10.140625" customWidth="1"/>
    <col min="13318" max="13318" width="12" customWidth="1"/>
    <col min="13319" max="13319" width="11" customWidth="1"/>
    <col min="13320" max="13320" width="11.5703125" customWidth="1"/>
    <col min="13321" max="13321" width="11.85546875" customWidth="1"/>
    <col min="13322" max="13322" width="11.7109375" customWidth="1"/>
    <col min="13323" max="13323" width="13" customWidth="1"/>
    <col min="13324" max="13325" width="12.140625" customWidth="1"/>
    <col min="13326" max="13326" width="10.42578125" customWidth="1"/>
    <col min="13327" max="13327" width="12.140625" customWidth="1"/>
    <col min="13328" max="13328" width="9.7109375" customWidth="1"/>
    <col min="13329" max="13329" width="16.5703125" customWidth="1"/>
    <col min="13569" max="13569" width="3.42578125" customWidth="1"/>
    <col min="13570" max="13570" width="21" customWidth="1"/>
    <col min="13571" max="13571" width="10.140625" customWidth="1"/>
    <col min="13572" max="13572" width="10" customWidth="1"/>
    <col min="13573" max="13573" width="10.140625" customWidth="1"/>
    <col min="13574" max="13574" width="12" customWidth="1"/>
    <col min="13575" max="13575" width="11" customWidth="1"/>
    <col min="13576" max="13576" width="11.5703125" customWidth="1"/>
    <col min="13577" max="13577" width="11.85546875" customWidth="1"/>
    <col min="13578" max="13578" width="11.7109375" customWidth="1"/>
    <col min="13579" max="13579" width="13" customWidth="1"/>
    <col min="13580" max="13581" width="12.140625" customWidth="1"/>
    <col min="13582" max="13582" width="10.42578125" customWidth="1"/>
    <col min="13583" max="13583" width="12.140625" customWidth="1"/>
    <col min="13584" max="13584" width="9.7109375" customWidth="1"/>
    <col min="13585" max="13585" width="16.5703125" customWidth="1"/>
    <col min="13825" max="13825" width="3.42578125" customWidth="1"/>
    <col min="13826" max="13826" width="21" customWidth="1"/>
    <col min="13827" max="13827" width="10.140625" customWidth="1"/>
    <col min="13828" max="13828" width="10" customWidth="1"/>
    <col min="13829" max="13829" width="10.140625" customWidth="1"/>
    <col min="13830" max="13830" width="12" customWidth="1"/>
    <col min="13831" max="13831" width="11" customWidth="1"/>
    <col min="13832" max="13832" width="11.5703125" customWidth="1"/>
    <col min="13833" max="13833" width="11.85546875" customWidth="1"/>
    <col min="13834" max="13834" width="11.7109375" customWidth="1"/>
    <col min="13835" max="13835" width="13" customWidth="1"/>
    <col min="13836" max="13837" width="12.140625" customWidth="1"/>
    <col min="13838" max="13838" width="10.42578125" customWidth="1"/>
    <col min="13839" max="13839" width="12.140625" customWidth="1"/>
    <col min="13840" max="13840" width="9.7109375" customWidth="1"/>
    <col min="13841" max="13841" width="16.5703125" customWidth="1"/>
    <col min="14081" max="14081" width="3.42578125" customWidth="1"/>
    <col min="14082" max="14082" width="21" customWidth="1"/>
    <col min="14083" max="14083" width="10.140625" customWidth="1"/>
    <col min="14084" max="14084" width="10" customWidth="1"/>
    <col min="14085" max="14085" width="10.140625" customWidth="1"/>
    <col min="14086" max="14086" width="12" customWidth="1"/>
    <col min="14087" max="14087" width="11" customWidth="1"/>
    <col min="14088" max="14088" width="11.5703125" customWidth="1"/>
    <col min="14089" max="14089" width="11.85546875" customWidth="1"/>
    <col min="14090" max="14090" width="11.7109375" customWidth="1"/>
    <col min="14091" max="14091" width="13" customWidth="1"/>
    <col min="14092" max="14093" width="12.140625" customWidth="1"/>
    <col min="14094" max="14094" width="10.42578125" customWidth="1"/>
    <col min="14095" max="14095" width="12.140625" customWidth="1"/>
    <col min="14096" max="14096" width="9.7109375" customWidth="1"/>
    <col min="14097" max="14097" width="16.5703125" customWidth="1"/>
    <col min="14337" max="14337" width="3.42578125" customWidth="1"/>
    <col min="14338" max="14338" width="21" customWidth="1"/>
    <col min="14339" max="14339" width="10.140625" customWidth="1"/>
    <col min="14340" max="14340" width="10" customWidth="1"/>
    <col min="14341" max="14341" width="10.140625" customWidth="1"/>
    <col min="14342" max="14342" width="12" customWidth="1"/>
    <col min="14343" max="14343" width="11" customWidth="1"/>
    <col min="14344" max="14344" width="11.5703125" customWidth="1"/>
    <col min="14345" max="14345" width="11.85546875" customWidth="1"/>
    <col min="14346" max="14346" width="11.7109375" customWidth="1"/>
    <col min="14347" max="14347" width="13" customWidth="1"/>
    <col min="14348" max="14349" width="12.140625" customWidth="1"/>
    <col min="14350" max="14350" width="10.42578125" customWidth="1"/>
    <col min="14351" max="14351" width="12.140625" customWidth="1"/>
    <col min="14352" max="14352" width="9.7109375" customWidth="1"/>
    <col min="14353" max="14353" width="16.5703125" customWidth="1"/>
    <col min="14593" max="14593" width="3.42578125" customWidth="1"/>
    <col min="14594" max="14594" width="21" customWidth="1"/>
    <col min="14595" max="14595" width="10.140625" customWidth="1"/>
    <col min="14596" max="14596" width="10" customWidth="1"/>
    <col min="14597" max="14597" width="10.140625" customWidth="1"/>
    <col min="14598" max="14598" width="12" customWidth="1"/>
    <col min="14599" max="14599" width="11" customWidth="1"/>
    <col min="14600" max="14600" width="11.5703125" customWidth="1"/>
    <col min="14601" max="14601" width="11.85546875" customWidth="1"/>
    <col min="14602" max="14602" width="11.7109375" customWidth="1"/>
    <col min="14603" max="14603" width="13" customWidth="1"/>
    <col min="14604" max="14605" width="12.140625" customWidth="1"/>
    <col min="14606" max="14606" width="10.42578125" customWidth="1"/>
    <col min="14607" max="14607" width="12.140625" customWidth="1"/>
    <col min="14608" max="14608" width="9.7109375" customWidth="1"/>
    <col min="14609" max="14609" width="16.5703125" customWidth="1"/>
    <col min="14849" max="14849" width="3.42578125" customWidth="1"/>
    <col min="14850" max="14850" width="21" customWidth="1"/>
    <col min="14851" max="14851" width="10.140625" customWidth="1"/>
    <col min="14852" max="14852" width="10" customWidth="1"/>
    <col min="14853" max="14853" width="10.140625" customWidth="1"/>
    <col min="14854" max="14854" width="12" customWidth="1"/>
    <col min="14855" max="14855" width="11" customWidth="1"/>
    <col min="14856" max="14856" width="11.5703125" customWidth="1"/>
    <col min="14857" max="14857" width="11.85546875" customWidth="1"/>
    <col min="14858" max="14858" width="11.7109375" customWidth="1"/>
    <col min="14859" max="14859" width="13" customWidth="1"/>
    <col min="14860" max="14861" width="12.140625" customWidth="1"/>
    <col min="14862" max="14862" width="10.42578125" customWidth="1"/>
    <col min="14863" max="14863" width="12.140625" customWidth="1"/>
    <col min="14864" max="14864" width="9.7109375" customWidth="1"/>
    <col min="14865" max="14865" width="16.5703125" customWidth="1"/>
    <col min="15105" max="15105" width="3.42578125" customWidth="1"/>
    <col min="15106" max="15106" width="21" customWidth="1"/>
    <col min="15107" max="15107" width="10.140625" customWidth="1"/>
    <col min="15108" max="15108" width="10" customWidth="1"/>
    <col min="15109" max="15109" width="10.140625" customWidth="1"/>
    <col min="15110" max="15110" width="12" customWidth="1"/>
    <col min="15111" max="15111" width="11" customWidth="1"/>
    <col min="15112" max="15112" width="11.5703125" customWidth="1"/>
    <col min="15113" max="15113" width="11.85546875" customWidth="1"/>
    <col min="15114" max="15114" width="11.7109375" customWidth="1"/>
    <col min="15115" max="15115" width="13" customWidth="1"/>
    <col min="15116" max="15117" width="12.140625" customWidth="1"/>
    <col min="15118" max="15118" width="10.42578125" customWidth="1"/>
    <col min="15119" max="15119" width="12.140625" customWidth="1"/>
    <col min="15120" max="15120" width="9.7109375" customWidth="1"/>
    <col min="15121" max="15121" width="16.5703125" customWidth="1"/>
    <col min="15361" max="15361" width="3.42578125" customWidth="1"/>
    <col min="15362" max="15362" width="21" customWidth="1"/>
    <col min="15363" max="15363" width="10.140625" customWidth="1"/>
    <col min="15364" max="15364" width="10" customWidth="1"/>
    <col min="15365" max="15365" width="10.140625" customWidth="1"/>
    <col min="15366" max="15366" width="12" customWidth="1"/>
    <col min="15367" max="15367" width="11" customWidth="1"/>
    <col min="15368" max="15368" width="11.5703125" customWidth="1"/>
    <col min="15369" max="15369" width="11.85546875" customWidth="1"/>
    <col min="15370" max="15370" width="11.7109375" customWidth="1"/>
    <col min="15371" max="15371" width="13" customWidth="1"/>
    <col min="15372" max="15373" width="12.140625" customWidth="1"/>
    <col min="15374" max="15374" width="10.42578125" customWidth="1"/>
    <col min="15375" max="15375" width="12.140625" customWidth="1"/>
    <col min="15376" max="15376" width="9.7109375" customWidth="1"/>
    <col min="15377" max="15377" width="16.5703125" customWidth="1"/>
    <col min="15617" max="15617" width="3.42578125" customWidth="1"/>
    <col min="15618" max="15618" width="21" customWidth="1"/>
    <col min="15619" max="15619" width="10.140625" customWidth="1"/>
    <col min="15620" max="15620" width="10" customWidth="1"/>
    <col min="15621" max="15621" width="10.140625" customWidth="1"/>
    <col min="15622" max="15622" width="12" customWidth="1"/>
    <col min="15623" max="15623" width="11" customWidth="1"/>
    <col min="15624" max="15624" width="11.5703125" customWidth="1"/>
    <col min="15625" max="15625" width="11.85546875" customWidth="1"/>
    <col min="15626" max="15626" width="11.7109375" customWidth="1"/>
    <col min="15627" max="15627" width="13" customWidth="1"/>
    <col min="15628" max="15629" width="12.140625" customWidth="1"/>
    <col min="15630" max="15630" width="10.42578125" customWidth="1"/>
    <col min="15631" max="15631" width="12.140625" customWidth="1"/>
    <col min="15632" max="15632" width="9.7109375" customWidth="1"/>
    <col min="15633" max="15633" width="16.5703125" customWidth="1"/>
    <col min="15873" max="15873" width="3.42578125" customWidth="1"/>
    <col min="15874" max="15874" width="21" customWidth="1"/>
    <col min="15875" max="15875" width="10.140625" customWidth="1"/>
    <col min="15876" max="15876" width="10" customWidth="1"/>
    <col min="15877" max="15877" width="10.140625" customWidth="1"/>
    <col min="15878" max="15878" width="12" customWidth="1"/>
    <col min="15879" max="15879" width="11" customWidth="1"/>
    <col min="15880" max="15880" width="11.5703125" customWidth="1"/>
    <col min="15881" max="15881" width="11.85546875" customWidth="1"/>
    <col min="15882" max="15882" width="11.7109375" customWidth="1"/>
    <col min="15883" max="15883" width="13" customWidth="1"/>
    <col min="15884" max="15885" width="12.140625" customWidth="1"/>
    <col min="15886" max="15886" width="10.42578125" customWidth="1"/>
    <col min="15887" max="15887" width="12.140625" customWidth="1"/>
    <col min="15888" max="15888" width="9.7109375" customWidth="1"/>
    <col min="15889" max="15889" width="16.5703125" customWidth="1"/>
    <col min="16129" max="16129" width="3.42578125" customWidth="1"/>
    <col min="16130" max="16130" width="21" customWidth="1"/>
    <col min="16131" max="16131" width="10.140625" customWidth="1"/>
    <col min="16132" max="16132" width="10" customWidth="1"/>
    <col min="16133" max="16133" width="10.140625" customWidth="1"/>
    <col min="16134" max="16134" width="12" customWidth="1"/>
    <col min="16135" max="16135" width="11" customWidth="1"/>
    <col min="16136" max="16136" width="11.5703125" customWidth="1"/>
    <col min="16137" max="16137" width="11.85546875" customWidth="1"/>
    <col min="16138" max="16138" width="11.7109375" customWidth="1"/>
    <col min="16139" max="16139" width="13" customWidth="1"/>
    <col min="16140" max="16141" width="12.140625" customWidth="1"/>
    <col min="16142" max="16142" width="10.42578125" customWidth="1"/>
    <col min="16143" max="16143" width="12.140625" customWidth="1"/>
    <col min="16144" max="16144" width="9.7109375" customWidth="1"/>
    <col min="16145" max="16145" width="16.5703125" customWidth="1"/>
  </cols>
  <sheetData>
    <row r="1" spans="1:17" x14ac:dyDescent="0.25">
      <c r="B1" s="128" t="s">
        <v>228</v>
      </c>
    </row>
    <row r="2" spans="1:17" ht="15.75" x14ac:dyDescent="0.25">
      <c r="B2" s="217" t="s">
        <v>136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4" spans="1:17" ht="12.75" customHeight="1" x14ac:dyDescent="0.25">
      <c r="A4" s="218" t="s">
        <v>97</v>
      </c>
      <c r="B4" s="218" t="s">
        <v>98</v>
      </c>
      <c r="C4" s="221">
        <v>2020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4"/>
    </row>
    <row r="5" spans="1:17" ht="25.5" customHeight="1" x14ac:dyDescent="0.25">
      <c r="A5" s="219"/>
      <c r="B5" s="219"/>
      <c r="C5" s="222" t="s">
        <v>99</v>
      </c>
      <c r="D5" s="224" t="s">
        <v>100</v>
      </c>
      <c r="E5" s="225"/>
      <c r="F5" s="222" t="s">
        <v>137</v>
      </c>
      <c r="G5" s="222" t="s">
        <v>102</v>
      </c>
      <c r="H5" s="222" t="s">
        <v>138</v>
      </c>
      <c r="I5" s="78"/>
      <c r="J5" s="78"/>
      <c r="K5" s="78"/>
      <c r="L5" s="222" t="s">
        <v>139</v>
      </c>
      <c r="M5" s="78"/>
      <c r="N5" s="78"/>
      <c r="O5" s="222" t="s">
        <v>103</v>
      </c>
      <c r="P5" s="222" t="s">
        <v>104</v>
      </c>
      <c r="Q5" s="213" t="s">
        <v>105</v>
      </c>
    </row>
    <row r="6" spans="1:17" ht="77.25" customHeight="1" x14ac:dyDescent="0.25">
      <c r="A6" s="220"/>
      <c r="B6" s="220"/>
      <c r="C6" s="223"/>
      <c r="D6" s="79" t="s">
        <v>106</v>
      </c>
      <c r="E6" s="79" t="s">
        <v>107</v>
      </c>
      <c r="F6" s="223"/>
      <c r="G6" s="223"/>
      <c r="H6" s="223"/>
      <c r="I6" s="80" t="s">
        <v>140</v>
      </c>
      <c r="J6" s="80" t="s">
        <v>141</v>
      </c>
      <c r="K6" s="80" t="s">
        <v>142</v>
      </c>
      <c r="L6" s="223"/>
      <c r="M6" s="80">
        <v>223</v>
      </c>
      <c r="N6" s="80">
        <v>340</v>
      </c>
      <c r="O6" s="223"/>
      <c r="P6" s="223"/>
      <c r="Q6" s="214"/>
    </row>
    <row r="7" spans="1:17" x14ac:dyDescent="0.25">
      <c r="A7" s="82">
        <v>1</v>
      </c>
      <c r="B7" s="83">
        <v>2</v>
      </c>
      <c r="C7" s="83" t="s">
        <v>108</v>
      </c>
      <c r="D7" s="83">
        <v>4</v>
      </c>
      <c r="E7" s="83">
        <v>5</v>
      </c>
      <c r="F7" s="83">
        <v>6</v>
      </c>
      <c r="G7" s="83" t="s">
        <v>109</v>
      </c>
      <c r="H7" s="83">
        <v>8</v>
      </c>
      <c r="I7" s="83"/>
      <c r="J7" s="83"/>
      <c r="K7" s="83"/>
      <c r="L7" s="83">
        <v>9</v>
      </c>
      <c r="M7" s="83"/>
      <c r="N7" s="83"/>
      <c r="O7" s="83" t="s">
        <v>110</v>
      </c>
      <c r="P7" s="83" t="s">
        <v>111</v>
      </c>
      <c r="Q7" s="84">
        <v>12</v>
      </c>
    </row>
    <row r="8" spans="1:17" ht="20.25" x14ac:dyDescent="0.3">
      <c r="A8" s="24">
        <v>1</v>
      </c>
      <c r="B8" s="86" t="s">
        <v>112</v>
      </c>
      <c r="C8" s="87">
        <f t="shared" ref="C8:C30" si="0">SUM(D8+E8)</f>
        <v>102</v>
      </c>
      <c r="D8" s="88"/>
      <c r="E8" s="89">
        <v>102</v>
      </c>
      <c r="F8" s="90">
        <v>3280</v>
      </c>
      <c r="G8" s="91">
        <f>F8+C8</f>
        <v>3382</v>
      </c>
      <c r="H8" s="92">
        <f>I8+J8+K8</f>
        <v>2160.6999999999998</v>
      </c>
      <c r="I8" s="92">
        <v>1596.9</v>
      </c>
      <c r="J8" s="92"/>
      <c r="K8" s="92">
        <v>563.79999999999995</v>
      </c>
      <c r="L8" s="116">
        <f>M8+N8</f>
        <v>496</v>
      </c>
      <c r="M8" s="116">
        <v>456</v>
      </c>
      <c r="N8" s="116">
        <v>40</v>
      </c>
      <c r="O8" s="93">
        <f>H8+L8</f>
        <v>2656.7</v>
      </c>
      <c r="P8" s="93">
        <f>G8-O8</f>
        <v>725.30000000000018</v>
      </c>
      <c r="Q8" s="94"/>
    </row>
    <row r="9" spans="1:17" ht="20.25" x14ac:dyDescent="0.3">
      <c r="A9" s="24">
        <v>2</v>
      </c>
      <c r="B9" s="86" t="s">
        <v>113</v>
      </c>
      <c r="C9" s="87">
        <f t="shared" si="0"/>
        <v>628</v>
      </c>
      <c r="D9" s="88">
        <v>487</v>
      </c>
      <c r="E9" s="89">
        <v>141</v>
      </c>
      <c r="F9" s="90">
        <v>805</v>
      </c>
      <c r="G9" s="91">
        <f t="shared" ref="G9:G31" si="1">F9+C9</f>
        <v>1433</v>
      </c>
      <c r="H9" s="92">
        <f t="shared" ref="H9:H31" si="2">I9+J9+K9</f>
        <v>1796.9</v>
      </c>
      <c r="I9" s="92">
        <v>1596.9</v>
      </c>
      <c r="J9" s="92"/>
      <c r="K9" s="92">
        <v>200</v>
      </c>
      <c r="L9" s="116">
        <f t="shared" ref="L9:L30" si="3">M9+N9</f>
        <v>194.9</v>
      </c>
      <c r="M9" s="116">
        <v>44.9</v>
      </c>
      <c r="N9" s="116">
        <v>150</v>
      </c>
      <c r="O9" s="93">
        <f t="shared" ref="O9:O31" si="4">H9+L9</f>
        <v>1991.8000000000002</v>
      </c>
      <c r="P9" s="93">
        <f t="shared" ref="P9:P31" si="5">G9-O9</f>
        <v>-558.80000000000018</v>
      </c>
      <c r="Q9" s="117">
        <v>559</v>
      </c>
    </row>
    <row r="10" spans="1:17" ht="20.25" x14ac:dyDescent="0.3">
      <c r="A10" s="24">
        <v>3</v>
      </c>
      <c r="B10" s="86" t="s">
        <v>114</v>
      </c>
      <c r="C10" s="87">
        <f t="shared" si="0"/>
        <v>1548</v>
      </c>
      <c r="D10" s="88">
        <v>0</v>
      </c>
      <c r="E10" s="89">
        <v>1548</v>
      </c>
      <c r="F10" s="90">
        <v>27158.2</v>
      </c>
      <c r="G10" s="91">
        <f t="shared" si="1"/>
        <v>28706.2</v>
      </c>
      <c r="H10" s="92">
        <f t="shared" si="2"/>
        <v>5230.1000000000004</v>
      </c>
      <c r="I10" s="92">
        <v>5230.1000000000004</v>
      </c>
      <c r="J10" s="92"/>
      <c r="K10" s="92"/>
      <c r="L10" s="116">
        <f t="shared" si="3"/>
        <v>6144.4</v>
      </c>
      <c r="M10" s="116">
        <v>6144.4</v>
      </c>
      <c r="N10" s="116"/>
      <c r="O10" s="93">
        <f t="shared" si="4"/>
        <v>11374.5</v>
      </c>
      <c r="P10" s="93">
        <f t="shared" si="5"/>
        <v>17331.7</v>
      </c>
      <c r="Q10" s="117"/>
    </row>
    <row r="11" spans="1:17" ht="20.25" x14ac:dyDescent="0.3">
      <c r="A11" s="24">
        <v>4</v>
      </c>
      <c r="B11" s="86" t="s">
        <v>115</v>
      </c>
      <c r="C11" s="87">
        <f t="shared" si="0"/>
        <v>509</v>
      </c>
      <c r="D11" s="88">
        <v>269</v>
      </c>
      <c r="E11" s="89">
        <v>240</v>
      </c>
      <c r="F11" s="90">
        <v>1720</v>
      </c>
      <c r="G11" s="91">
        <f t="shared" si="1"/>
        <v>2229</v>
      </c>
      <c r="H11" s="92">
        <f t="shared" si="2"/>
        <v>3277.6</v>
      </c>
      <c r="I11" s="92">
        <v>1906.9</v>
      </c>
      <c r="J11" s="92">
        <v>968</v>
      </c>
      <c r="K11" s="92">
        <v>402.7</v>
      </c>
      <c r="L11" s="116">
        <f t="shared" si="3"/>
        <v>403</v>
      </c>
      <c r="M11" s="116">
        <v>250</v>
      </c>
      <c r="N11" s="116">
        <v>153</v>
      </c>
      <c r="O11" s="93">
        <f t="shared" si="4"/>
        <v>3680.6</v>
      </c>
      <c r="P11" s="93">
        <f t="shared" si="5"/>
        <v>-1451.6</v>
      </c>
      <c r="Q11" s="117">
        <v>1452</v>
      </c>
    </row>
    <row r="12" spans="1:17" ht="20.25" x14ac:dyDescent="0.3">
      <c r="A12" s="24">
        <v>5</v>
      </c>
      <c r="B12" s="86" t="s">
        <v>116</v>
      </c>
      <c r="C12" s="87">
        <f t="shared" si="0"/>
        <v>1048</v>
      </c>
      <c r="D12" s="88">
        <v>731</v>
      </c>
      <c r="E12" s="89">
        <v>317</v>
      </c>
      <c r="F12" s="90">
        <v>1738</v>
      </c>
      <c r="G12" s="91">
        <f t="shared" si="1"/>
        <v>2786</v>
      </c>
      <c r="H12" s="92">
        <f t="shared" si="2"/>
        <v>2306.9</v>
      </c>
      <c r="I12" s="92">
        <v>1906.9</v>
      </c>
      <c r="J12" s="92"/>
      <c r="K12" s="92">
        <v>400</v>
      </c>
      <c r="L12" s="116">
        <f t="shared" si="3"/>
        <v>806</v>
      </c>
      <c r="M12" s="116">
        <v>594</v>
      </c>
      <c r="N12" s="116">
        <v>212</v>
      </c>
      <c r="O12" s="93">
        <f t="shared" si="4"/>
        <v>3112.9</v>
      </c>
      <c r="P12" s="93">
        <f t="shared" si="5"/>
        <v>-326.90000000000009</v>
      </c>
      <c r="Q12" s="117">
        <v>327</v>
      </c>
    </row>
    <row r="13" spans="1:17" ht="20.25" x14ac:dyDescent="0.3">
      <c r="A13" s="24">
        <v>6</v>
      </c>
      <c r="B13" s="86" t="s">
        <v>117</v>
      </c>
      <c r="C13" s="87">
        <f t="shared" si="0"/>
        <v>3118</v>
      </c>
      <c r="D13" s="88">
        <v>2168</v>
      </c>
      <c r="E13" s="89">
        <v>950</v>
      </c>
      <c r="F13" s="90">
        <v>7450</v>
      </c>
      <c r="G13" s="91">
        <f t="shared" si="1"/>
        <v>10568</v>
      </c>
      <c r="H13" s="92">
        <f t="shared" si="2"/>
        <v>6103.5</v>
      </c>
      <c r="I13" s="92">
        <v>2483.9</v>
      </c>
      <c r="J13" s="92">
        <v>3619.6</v>
      </c>
      <c r="K13" s="92"/>
      <c r="L13" s="116">
        <f t="shared" si="3"/>
        <v>852.8</v>
      </c>
      <c r="M13" s="116">
        <v>852.8</v>
      </c>
      <c r="N13" s="116"/>
      <c r="O13" s="93">
        <f t="shared" si="4"/>
        <v>6956.3</v>
      </c>
      <c r="P13" s="93">
        <f t="shared" si="5"/>
        <v>3611.7</v>
      </c>
      <c r="Q13" s="117"/>
    </row>
    <row r="14" spans="1:17" ht="20.25" x14ac:dyDescent="0.3">
      <c r="A14" s="24">
        <v>7</v>
      </c>
      <c r="B14" s="86" t="s">
        <v>118</v>
      </c>
      <c r="C14" s="87">
        <f t="shared" si="0"/>
        <v>747</v>
      </c>
      <c r="D14" s="88">
        <v>583</v>
      </c>
      <c r="E14" s="89">
        <v>164</v>
      </c>
      <c r="F14" s="90">
        <v>1000</v>
      </c>
      <c r="G14" s="91">
        <f t="shared" si="1"/>
        <v>1747</v>
      </c>
      <c r="H14" s="92">
        <f t="shared" si="2"/>
        <v>2506.1000000000004</v>
      </c>
      <c r="I14" s="92">
        <v>1906.9</v>
      </c>
      <c r="J14" s="92"/>
      <c r="K14" s="92">
        <v>599.20000000000005</v>
      </c>
      <c r="L14" s="116">
        <f t="shared" si="3"/>
        <v>800</v>
      </c>
      <c r="M14" s="116">
        <v>500</v>
      </c>
      <c r="N14" s="116">
        <v>300</v>
      </c>
      <c r="O14" s="93">
        <f t="shared" si="4"/>
        <v>3306.1000000000004</v>
      </c>
      <c r="P14" s="93">
        <f t="shared" si="5"/>
        <v>-1559.1000000000004</v>
      </c>
      <c r="Q14" s="117">
        <v>1559</v>
      </c>
    </row>
    <row r="15" spans="1:17" ht="20.25" x14ac:dyDescent="0.3">
      <c r="A15" s="24">
        <v>8</v>
      </c>
      <c r="B15" s="86" t="s">
        <v>119</v>
      </c>
      <c r="C15" s="87">
        <f t="shared" si="0"/>
        <v>2429</v>
      </c>
      <c r="D15" s="88">
        <v>1694</v>
      </c>
      <c r="E15" s="89">
        <v>735</v>
      </c>
      <c r="F15" s="90">
        <v>3165</v>
      </c>
      <c r="G15" s="91">
        <f t="shared" si="1"/>
        <v>5594</v>
      </c>
      <c r="H15" s="92">
        <f t="shared" si="2"/>
        <v>2463.9</v>
      </c>
      <c r="I15" s="92">
        <v>2463.9</v>
      </c>
      <c r="J15" s="92"/>
      <c r="K15" s="92"/>
      <c r="L15" s="116">
        <f t="shared" si="3"/>
        <v>205.9</v>
      </c>
      <c r="M15" s="116">
        <v>205.9</v>
      </c>
      <c r="N15" s="116"/>
      <c r="O15" s="93">
        <f t="shared" si="4"/>
        <v>2669.8</v>
      </c>
      <c r="P15" s="93">
        <f t="shared" si="5"/>
        <v>2924.2</v>
      </c>
      <c r="Q15" s="117"/>
    </row>
    <row r="16" spans="1:17" ht="20.25" x14ac:dyDescent="0.3">
      <c r="A16" s="24">
        <v>9</v>
      </c>
      <c r="B16" s="86" t="s">
        <v>120</v>
      </c>
      <c r="C16" s="87">
        <f t="shared" si="0"/>
        <v>393</v>
      </c>
      <c r="D16" s="88">
        <v>213</v>
      </c>
      <c r="E16" s="89">
        <v>180</v>
      </c>
      <c r="F16" s="90">
        <v>1780</v>
      </c>
      <c r="G16" s="91">
        <f t="shared" si="1"/>
        <v>2173</v>
      </c>
      <c r="H16" s="92">
        <f t="shared" si="2"/>
        <v>1906.9</v>
      </c>
      <c r="I16" s="92">
        <v>1906.9</v>
      </c>
      <c r="J16" s="92"/>
      <c r="K16" s="92"/>
      <c r="L16" s="116">
        <f t="shared" si="3"/>
        <v>300</v>
      </c>
      <c r="M16" s="116">
        <v>300</v>
      </c>
      <c r="N16" s="116"/>
      <c r="O16" s="93">
        <f t="shared" si="4"/>
        <v>2206.9</v>
      </c>
      <c r="P16" s="93">
        <f t="shared" si="5"/>
        <v>-33.900000000000091</v>
      </c>
      <c r="Q16" s="117">
        <v>34</v>
      </c>
    </row>
    <row r="17" spans="1:17" ht="20.25" x14ac:dyDescent="0.3">
      <c r="A17" s="24">
        <v>10</v>
      </c>
      <c r="B17" s="86" t="s">
        <v>121</v>
      </c>
      <c r="C17" s="87">
        <f t="shared" si="0"/>
        <v>485</v>
      </c>
      <c r="D17" s="88">
        <v>339</v>
      </c>
      <c r="E17" s="89">
        <v>146</v>
      </c>
      <c r="F17" s="90">
        <v>1220</v>
      </c>
      <c r="G17" s="91">
        <f t="shared" si="1"/>
        <v>1705</v>
      </c>
      <c r="H17" s="92">
        <f t="shared" si="2"/>
        <v>1596.9</v>
      </c>
      <c r="I17" s="92">
        <v>1596.9</v>
      </c>
      <c r="J17" s="92"/>
      <c r="K17" s="92"/>
      <c r="L17" s="116">
        <f t="shared" si="3"/>
        <v>44</v>
      </c>
      <c r="M17" s="116">
        <v>44</v>
      </c>
      <c r="N17" s="116"/>
      <c r="O17" s="93">
        <f t="shared" si="4"/>
        <v>1640.9</v>
      </c>
      <c r="P17" s="93">
        <f t="shared" si="5"/>
        <v>64.099999999999909</v>
      </c>
      <c r="Q17" s="117"/>
    </row>
    <row r="18" spans="1:17" ht="20.25" x14ac:dyDescent="0.3">
      <c r="A18" s="24">
        <v>11</v>
      </c>
      <c r="B18" s="86" t="s">
        <v>122</v>
      </c>
      <c r="C18" s="87">
        <f t="shared" si="0"/>
        <v>1074</v>
      </c>
      <c r="D18" s="88">
        <v>867</v>
      </c>
      <c r="E18" s="89">
        <v>207</v>
      </c>
      <c r="F18" s="90">
        <v>1420</v>
      </c>
      <c r="G18" s="91">
        <f t="shared" si="1"/>
        <v>2494</v>
      </c>
      <c r="H18" s="92">
        <f t="shared" si="2"/>
        <v>3242</v>
      </c>
      <c r="I18" s="92">
        <v>1906.9</v>
      </c>
      <c r="J18" s="118">
        <v>1335.1</v>
      </c>
      <c r="K18" s="92"/>
      <c r="L18" s="116">
        <f t="shared" si="3"/>
        <v>461.70000000000005</v>
      </c>
      <c r="M18" s="116">
        <v>223.9</v>
      </c>
      <c r="N18" s="116">
        <v>237.8</v>
      </c>
      <c r="O18" s="93">
        <f t="shared" si="4"/>
        <v>3703.7</v>
      </c>
      <c r="P18" s="97">
        <f t="shared" si="5"/>
        <v>-1209.6999999999998</v>
      </c>
      <c r="Q18" s="117">
        <v>1210</v>
      </c>
    </row>
    <row r="19" spans="1:17" ht="20.25" x14ac:dyDescent="0.3">
      <c r="A19" s="24">
        <v>12</v>
      </c>
      <c r="B19" s="86" t="s">
        <v>123</v>
      </c>
      <c r="C19" s="87">
        <f t="shared" si="0"/>
        <v>172</v>
      </c>
      <c r="D19" s="88">
        <v>137</v>
      </c>
      <c r="E19" s="98">
        <v>35</v>
      </c>
      <c r="F19" s="90">
        <v>118</v>
      </c>
      <c r="G19" s="91">
        <f t="shared" si="1"/>
        <v>290</v>
      </c>
      <c r="H19" s="92">
        <f t="shared" si="2"/>
        <v>1704</v>
      </c>
      <c r="I19" s="92">
        <v>1155.3</v>
      </c>
      <c r="J19" s="92"/>
      <c r="K19" s="92">
        <v>548.70000000000005</v>
      </c>
      <c r="L19" s="116">
        <f t="shared" si="3"/>
        <v>553.20000000000005</v>
      </c>
      <c r="M19" s="116">
        <v>450</v>
      </c>
      <c r="N19" s="116">
        <v>103.2</v>
      </c>
      <c r="O19" s="93">
        <f t="shared" si="4"/>
        <v>2257.1999999999998</v>
      </c>
      <c r="P19" s="93">
        <f t="shared" si="5"/>
        <v>-1967.1999999999998</v>
      </c>
      <c r="Q19" s="117">
        <v>1967</v>
      </c>
    </row>
    <row r="20" spans="1:17" ht="20.25" x14ac:dyDescent="0.3">
      <c r="A20" s="24">
        <v>13</v>
      </c>
      <c r="B20" s="86" t="s">
        <v>124</v>
      </c>
      <c r="C20" s="87">
        <f t="shared" si="0"/>
        <v>2704</v>
      </c>
      <c r="D20" s="88">
        <v>2110</v>
      </c>
      <c r="E20" s="89">
        <v>594</v>
      </c>
      <c r="F20" s="90">
        <v>2810</v>
      </c>
      <c r="G20" s="91">
        <f t="shared" si="1"/>
        <v>5514</v>
      </c>
      <c r="H20" s="92">
        <f t="shared" si="2"/>
        <v>3684.5</v>
      </c>
      <c r="I20" s="92">
        <v>1906.9</v>
      </c>
      <c r="J20" s="92">
        <v>1777.6</v>
      </c>
      <c r="K20" s="92"/>
      <c r="L20" s="116">
        <f t="shared" si="3"/>
        <v>970.2</v>
      </c>
      <c r="M20" s="116">
        <v>970.2</v>
      </c>
      <c r="N20" s="116"/>
      <c r="O20" s="93">
        <f t="shared" si="4"/>
        <v>4654.7</v>
      </c>
      <c r="P20" s="93">
        <f t="shared" si="5"/>
        <v>859.30000000000018</v>
      </c>
      <c r="Q20" s="117"/>
    </row>
    <row r="21" spans="1:17" ht="20.25" x14ac:dyDescent="0.3">
      <c r="A21" s="24">
        <v>14</v>
      </c>
      <c r="B21" s="86" t="s">
        <v>125</v>
      </c>
      <c r="C21" s="87">
        <f t="shared" si="0"/>
        <v>705</v>
      </c>
      <c r="D21" s="88">
        <v>509</v>
      </c>
      <c r="E21" s="89">
        <v>196</v>
      </c>
      <c r="F21" s="90">
        <v>1345</v>
      </c>
      <c r="G21" s="91">
        <f t="shared" si="1"/>
        <v>2050</v>
      </c>
      <c r="H21" s="92">
        <f t="shared" si="2"/>
        <v>2924.4</v>
      </c>
      <c r="I21" s="92">
        <v>1906.9</v>
      </c>
      <c r="J21" s="92"/>
      <c r="K21" s="92">
        <v>1017.5</v>
      </c>
      <c r="L21" s="116">
        <f t="shared" si="3"/>
        <v>295</v>
      </c>
      <c r="M21" s="116">
        <v>136</v>
      </c>
      <c r="N21" s="116">
        <v>159</v>
      </c>
      <c r="O21" s="93">
        <f t="shared" si="4"/>
        <v>3219.4</v>
      </c>
      <c r="P21" s="93">
        <f t="shared" si="5"/>
        <v>-1169.4000000000001</v>
      </c>
      <c r="Q21" s="117">
        <v>1169</v>
      </c>
    </row>
    <row r="22" spans="1:17" ht="20.25" x14ac:dyDescent="0.3">
      <c r="A22" s="24">
        <v>15</v>
      </c>
      <c r="B22" s="86" t="s">
        <v>126</v>
      </c>
      <c r="C22" s="87">
        <f t="shared" si="0"/>
        <v>2130</v>
      </c>
      <c r="D22" s="88">
        <v>1675</v>
      </c>
      <c r="E22" s="89">
        <v>455</v>
      </c>
      <c r="F22" s="90">
        <v>2359</v>
      </c>
      <c r="G22" s="91">
        <f t="shared" si="1"/>
        <v>4489</v>
      </c>
      <c r="H22" s="92">
        <f t="shared" si="2"/>
        <v>5294.3</v>
      </c>
      <c r="I22" s="92">
        <v>1906.9</v>
      </c>
      <c r="J22" s="92">
        <v>3387.4</v>
      </c>
      <c r="K22" s="92"/>
      <c r="L22" s="116">
        <f t="shared" si="3"/>
        <v>3090.8</v>
      </c>
      <c r="M22" s="116">
        <f>2870.8+220</f>
        <v>3090.8</v>
      </c>
      <c r="N22" s="116"/>
      <c r="O22" s="93">
        <f t="shared" si="4"/>
        <v>8385.1</v>
      </c>
      <c r="P22" s="93">
        <f t="shared" si="5"/>
        <v>-3896.1000000000004</v>
      </c>
      <c r="Q22" s="117">
        <v>3896</v>
      </c>
    </row>
    <row r="23" spans="1:17" ht="20.25" x14ac:dyDescent="0.3">
      <c r="A23" s="24">
        <v>16</v>
      </c>
      <c r="B23" s="86" t="s">
        <v>127</v>
      </c>
      <c r="C23" s="87">
        <f t="shared" si="0"/>
        <v>6831</v>
      </c>
      <c r="D23" s="88">
        <v>5322</v>
      </c>
      <c r="E23" s="89">
        <v>1509</v>
      </c>
      <c r="F23" s="90">
        <v>16850</v>
      </c>
      <c r="G23" s="91">
        <f t="shared" si="1"/>
        <v>23681</v>
      </c>
      <c r="H23" s="92">
        <f t="shared" si="2"/>
        <v>14139.5</v>
      </c>
      <c r="I23" s="92">
        <v>5230.1000000000004</v>
      </c>
      <c r="J23" s="92">
        <v>4762.7</v>
      </c>
      <c r="K23" s="92">
        <v>4146.7</v>
      </c>
      <c r="L23" s="116">
        <f t="shared" si="3"/>
        <v>5410.5</v>
      </c>
      <c r="M23" s="116">
        <v>5410.5</v>
      </c>
      <c r="N23" s="116"/>
      <c r="O23" s="93">
        <f t="shared" si="4"/>
        <v>19550</v>
      </c>
      <c r="P23" s="93">
        <f t="shared" si="5"/>
        <v>4131</v>
      </c>
      <c r="Q23" s="117"/>
    </row>
    <row r="24" spans="1:17" ht="20.25" x14ac:dyDescent="0.3">
      <c r="A24" s="24">
        <v>17</v>
      </c>
      <c r="B24" s="86" t="s">
        <v>128</v>
      </c>
      <c r="C24" s="87">
        <f t="shared" si="0"/>
        <v>312</v>
      </c>
      <c r="D24" s="88">
        <v>254</v>
      </c>
      <c r="E24" s="89">
        <v>58</v>
      </c>
      <c r="F24" s="90">
        <v>530</v>
      </c>
      <c r="G24" s="91">
        <f t="shared" si="1"/>
        <v>842</v>
      </c>
      <c r="H24" s="92">
        <f t="shared" si="2"/>
        <v>1155.7</v>
      </c>
      <c r="I24" s="92">
        <v>1155.7</v>
      </c>
      <c r="J24" s="92"/>
      <c r="K24" s="92"/>
      <c r="L24" s="116">
        <f t="shared" si="3"/>
        <v>50.5</v>
      </c>
      <c r="M24" s="116">
        <v>21</v>
      </c>
      <c r="N24" s="116">
        <v>29.5</v>
      </c>
      <c r="O24" s="93">
        <f t="shared" si="4"/>
        <v>1206.2</v>
      </c>
      <c r="P24" s="93">
        <f t="shared" si="5"/>
        <v>-364.20000000000005</v>
      </c>
      <c r="Q24" s="117">
        <v>364</v>
      </c>
    </row>
    <row r="25" spans="1:17" ht="20.25" x14ac:dyDescent="0.3">
      <c r="A25" s="24">
        <v>18</v>
      </c>
      <c r="B25" s="86" t="s">
        <v>129</v>
      </c>
      <c r="C25" s="87">
        <f t="shared" si="0"/>
        <v>1110</v>
      </c>
      <c r="D25" s="88">
        <v>865</v>
      </c>
      <c r="E25" s="89">
        <v>245</v>
      </c>
      <c r="F25" s="90">
        <v>1365</v>
      </c>
      <c r="G25" s="91">
        <f t="shared" si="1"/>
        <v>2475</v>
      </c>
      <c r="H25" s="92">
        <f t="shared" si="2"/>
        <v>2206.5</v>
      </c>
      <c r="I25" s="92">
        <v>1906.9</v>
      </c>
      <c r="J25" s="92"/>
      <c r="K25" s="92">
        <v>299.60000000000002</v>
      </c>
      <c r="L25" s="116">
        <f t="shared" si="3"/>
        <v>340</v>
      </c>
      <c r="M25" s="116">
        <v>170</v>
      </c>
      <c r="N25" s="116">
        <v>170</v>
      </c>
      <c r="O25" s="93">
        <f t="shared" si="4"/>
        <v>2546.5</v>
      </c>
      <c r="P25" s="93">
        <f t="shared" si="5"/>
        <v>-71.5</v>
      </c>
      <c r="Q25" s="117">
        <v>72</v>
      </c>
    </row>
    <row r="26" spans="1:17" ht="20.25" x14ac:dyDescent="0.3">
      <c r="A26" s="24">
        <v>19</v>
      </c>
      <c r="B26" s="86" t="s">
        <v>130</v>
      </c>
      <c r="C26" s="87">
        <f t="shared" si="0"/>
        <v>626</v>
      </c>
      <c r="D26" s="88">
        <v>473</v>
      </c>
      <c r="E26" s="89">
        <v>153</v>
      </c>
      <c r="F26" s="90">
        <v>663</v>
      </c>
      <c r="G26" s="91">
        <f t="shared" si="1"/>
        <v>1289</v>
      </c>
      <c r="H26" s="92">
        <f t="shared" si="2"/>
        <v>1906.9</v>
      </c>
      <c r="I26" s="92">
        <v>1906.9</v>
      </c>
      <c r="J26" s="92"/>
      <c r="K26" s="92"/>
      <c r="L26" s="116">
        <f t="shared" si="3"/>
        <v>800</v>
      </c>
      <c r="M26" s="116">
        <v>800</v>
      </c>
      <c r="N26" s="116"/>
      <c r="O26" s="93">
        <f t="shared" si="4"/>
        <v>2706.9</v>
      </c>
      <c r="P26" s="93">
        <f t="shared" si="5"/>
        <v>-1417.9</v>
      </c>
      <c r="Q26" s="117">
        <v>1418</v>
      </c>
    </row>
    <row r="27" spans="1:17" ht="20.25" x14ac:dyDescent="0.3">
      <c r="A27" s="24">
        <v>20</v>
      </c>
      <c r="B27" s="86" t="s">
        <v>131</v>
      </c>
      <c r="C27" s="87">
        <f t="shared" si="0"/>
        <v>1056</v>
      </c>
      <c r="D27" s="88">
        <v>26</v>
      </c>
      <c r="E27" s="89">
        <v>1030</v>
      </c>
      <c r="F27" s="90">
        <v>5690</v>
      </c>
      <c r="G27" s="91">
        <f t="shared" si="1"/>
        <v>6746</v>
      </c>
      <c r="H27" s="92">
        <f t="shared" si="2"/>
        <v>2483.9</v>
      </c>
      <c r="I27" s="92">
        <v>2483.9</v>
      </c>
      <c r="J27" s="92"/>
      <c r="K27" s="92"/>
      <c r="L27" s="116">
        <f t="shared" si="3"/>
        <v>816.1</v>
      </c>
      <c r="M27" s="116">
        <v>816.1</v>
      </c>
      <c r="N27" s="116"/>
      <c r="O27" s="93">
        <f t="shared" si="4"/>
        <v>3300</v>
      </c>
      <c r="P27" s="93">
        <f t="shared" si="5"/>
        <v>3446</v>
      </c>
      <c r="Q27" s="117"/>
    </row>
    <row r="28" spans="1:17" ht="20.25" x14ac:dyDescent="0.3">
      <c r="A28" s="24">
        <v>21</v>
      </c>
      <c r="B28" s="86" t="s">
        <v>132</v>
      </c>
      <c r="C28" s="87">
        <f t="shared" si="0"/>
        <v>627</v>
      </c>
      <c r="D28" s="99">
        <v>436</v>
      </c>
      <c r="E28" s="89">
        <v>191</v>
      </c>
      <c r="F28" s="90">
        <v>1502</v>
      </c>
      <c r="G28" s="91">
        <f t="shared" si="1"/>
        <v>2129</v>
      </c>
      <c r="H28" s="92">
        <f t="shared" si="2"/>
        <v>3154.4</v>
      </c>
      <c r="I28" s="92">
        <v>1906.9</v>
      </c>
      <c r="J28" s="92"/>
      <c r="K28" s="92">
        <v>1247.5</v>
      </c>
      <c r="L28" s="116">
        <f t="shared" si="3"/>
        <v>148.19999999999999</v>
      </c>
      <c r="M28" s="116">
        <v>48.2</v>
      </c>
      <c r="N28" s="116">
        <v>100</v>
      </c>
      <c r="O28" s="93">
        <f t="shared" si="4"/>
        <v>3302.6</v>
      </c>
      <c r="P28" s="93">
        <f t="shared" si="5"/>
        <v>-1173.5999999999999</v>
      </c>
      <c r="Q28" s="117">
        <v>1174</v>
      </c>
    </row>
    <row r="29" spans="1:17" ht="20.25" x14ac:dyDescent="0.3">
      <c r="A29" s="24">
        <v>22</v>
      </c>
      <c r="B29" s="86" t="s">
        <v>133</v>
      </c>
      <c r="C29" s="87">
        <f t="shared" si="0"/>
        <v>1834</v>
      </c>
      <c r="D29" s="99">
        <v>1454</v>
      </c>
      <c r="E29" s="89">
        <v>380</v>
      </c>
      <c r="F29" s="90">
        <v>1000</v>
      </c>
      <c r="G29" s="91">
        <f t="shared" si="1"/>
        <v>2834</v>
      </c>
      <c r="H29" s="92">
        <f t="shared" si="2"/>
        <v>4367.8999999999996</v>
      </c>
      <c r="I29" s="92">
        <v>1906.9</v>
      </c>
      <c r="J29" s="92">
        <v>1313.3</v>
      </c>
      <c r="K29" s="92">
        <v>1147.7</v>
      </c>
      <c r="L29" s="116">
        <f t="shared" si="3"/>
        <v>205</v>
      </c>
      <c r="M29" s="116">
        <v>55</v>
      </c>
      <c r="N29" s="116">
        <v>150</v>
      </c>
      <c r="O29" s="93">
        <f t="shared" si="4"/>
        <v>4572.8999999999996</v>
      </c>
      <c r="P29" s="93">
        <f t="shared" si="5"/>
        <v>-1738.8999999999996</v>
      </c>
      <c r="Q29" s="117">
        <v>1739</v>
      </c>
    </row>
    <row r="30" spans="1:17" ht="20.25" x14ac:dyDescent="0.3">
      <c r="A30" s="24">
        <v>23</v>
      </c>
      <c r="B30" s="86" t="s">
        <v>134</v>
      </c>
      <c r="C30" s="87">
        <f t="shared" si="0"/>
        <v>792</v>
      </c>
      <c r="D30" s="100">
        <v>671</v>
      </c>
      <c r="E30" s="101">
        <v>121</v>
      </c>
      <c r="F30" s="102">
        <v>2132</v>
      </c>
      <c r="G30" s="91">
        <f t="shared" si="1"/>
        <v>2924</v>
      </c>
      <c r="H30" s="92">
        <f t="shared" si="2"/>
        <v>3637.1</v>
      </c>
      <c r="I30" s="119">
        <v>3337.5</v>
      </c>
      <c r="J30" s="103"/>
      <c r="K30" s="103">
        <v>299.60000000000002</v>
      </c>
      <c r="L30" s="116">
        <f t="shared" si="3"/>
        <v>752.5</v>
      </c>
      <c r="M30" s="120">
        <v>432.5</v>
      </c>
      <c r="N30" s="120">
        <v>320</v>
      </c>
      <c r="O30" s="93">
        <f t="shared" si="4"/>
        <v>4389.6000000000004</v>
      </c>
      <c r="P30" s="97">
        <f t="shared" si="5"/>
        <v>-1465.6000000000004</v>
      </c>
      <c r="Q30" s="117">
        <v>1466</v>
      </c>
    </row>
    <row r="31" spans="1:17" ht="20.25" x14ac:dyDescent="0.3">
      <c r="A31" s="24"/>
      <c r="B31" s="104" t="s">
        <v>135</v>
      </c>
      <c r="C31" s="87">
        <f>SUM(C8:C30)</f>
        <v>30980</v>
      </c>
      <c r="D31" s="87">
        <f>SUM(D8:D30)</f>
        <v>21283</v>
      </c>
      <c r="E31" s="105">
        <f>SUM(E8:E30)</f>
        <v>9697</v>
      </c>
      <c r="F31" s="105">
        <f>SUM(F8:F30)</f>
        <v>87100.2</v>
      </c>
      <c r="G31" s="91">
        <f t="shared" si="1"/>
        <v>118080.2</v>
      </c>
      <c r="H31" s="92">
        <f t="shared" si="2"/>
        <v>79250.60000000002</v>
      </c>
      <c r="I31" s="106">
        <f t="shared" ref="I31:N31" si="6">SUM(I8:I30)</f>
        <v>51213.900000000016</v>
      </c>
      <c r="J31" s="106">
        <f t="shared" si="6"/>
        <v>17163.7</v>
      </c>
      <c r="K31" s="106">
        <f t="shared" si="6"/>
        <v>10873.000000000002</v>
      </c>
      <c r="L31" s="106">
        <f t="shared" si="6"/>
        <v>24140.7</v>
      </c>
      <c r="M31" s="106">
        <f t="shared" si="6"/>
        <v>22016.199999999997</v>
      </c>
      <c r="N31" s="106">
        <f t="shared" si="6"/>
        <v>2124.5</v>
      </c>
      <c r="O31" s="93">
        <f t="shared" si="4"/>
        <v>103391.30000000002</v>
      </c>
      <c r="P31" s="93">
        <f t="shared" si="5"/>
        <v>14688.89999999998</v>
      </c>
      <c r="Q31" s="121">
        <f>SUM(Q8:Q30)</f>
        <v>18406</v>
      </c>
    </row>
    <row r="32" spans="1:17" ht="20.25" x14ac:dyDescent="0.3">
      <c r="A32" s="29"/>
      <c r="C32" s="108"/>
      <c r="D32" s="109"/>
      <c r="E32" s="110"/>
      <c r="F32" s="111"/>
      <c r="G32" s="108"/>
      <c r="H32" s="112"/>
      <c r="I32" s="112"/>
      <c r="J32" s="112"/>
      <c r="K32" s="112"/>
      <c r="L32" s="122"/>
      <c r="M32" s="122"/>
      <c r="N32" s="122"/>
      <c r="O32" s="113"/>
      <c r="P32" s="113"/>
      <c r="Q32" s="114"/>
    </row>
    <row r="33" spans="2:17" ht="34.5" customHeight="1" x14ac:dyDescent="0.25">
      <c r="B33" s="115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Q33" s="108"/>
    </row>
  </sheetData>
  <mergeCells count="13">
    <mergeCell ref="O5:O6"/>
    <mergeCell ref="P5:P6"/>
    <mergeCell ref="Q5:Q6"/>
    <mergeCell ref="B2:P2"/>
    <mergeCell ref="A4:A6"/>
    <mergeCell ref="B4:B6"/>
    <mergeCell ref="C4:P4"/>
    <mergeCell ref="C5:C6"/>
    <mergeCell ref="D5:E5"/>
    <mergeCell ref="F5:F6"/>
    <mergeCell ref="G5:G6"/>
    <mergeCell ref="H5:H6"/>
    <mergeCell ref="L5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36"/>
  <sheetViews>
    <sheetView topLeftCell="A13" workbookViewId="0">
      <selection activeCell="E12" sqref="E12"/>
    </sheetView>
  </sheetViews>
  <sheetFormatPr defaultRowHeight="15" x14ac:dyDescent="0.25"/>
  <cols>
    <col min="5" max="5" width="19.5703125" customWidth="1"/>
    <col min="6" max="6" width="9.140625" style="125"/>
    <col min="9" max="9" width="9.140625" style="127"/>
    <col min="12" max="12" width="9.140625" style="127"/>
    <col min="13" max="13" width="12.7109375" customWidth="1"/>
    <col min="15" max="15" width="9.140625" style="126"/>
    <col min="16" max="16" width="19.140625" customWidth="1"/>
    <col min="28" max="28" width="9.140625" style="129"/>
  </cols>
  <sheetData>
    <row r="1" spans="1:30" x14ac:dyDescent="0.25">
      <c r="A1" t="s">
        <v>225</v>
      </c>
      <c r="C1" t="s">
        <v>224</v>
      </c>
      <c r="D1" t="s">
        <v>195</v>
      </c>
    </row>
    <row r="2" spans="1:30" x14ac:dyDescent="0.25">
      <c r="B2" t="s">
        <v>223</v>
      </c>
      <c r="C2" t="s">
        <v>222</v>
      </c>
      <c r="D2" t="s">
        <v>187</v>
      </c>
      <c r="F2" s="125" t="s">
        <v>144</v>
      </c>
      <c r="G2" t="s">
        <v>145</v>
      </c>
      <c r="H2" t="s">
        <v>146</v>
      </c>
      <c r="I2" s="127" t="s">
        <v>147</v>
      </c>
      <c r="J2" t="s">
        <v>145</v>
      </c>
      <c r="K2" t="s">
        <v>148</v>
      </c>
      <c r="L2" s="127" t="s">
        <v>149</v>
      </c>
      <c r="M2" t="s">
        <v>145</v>
      </c>
      <c r="N2" t="s">
        <v>148</v>
      </c>
      <c r="O2" s="126" t="s">
        <v>150</v>
      </c>
      <c r="P2" s="226" t="s">
        <v>158</v>
      </c>
      <c r="Q2" s="226"/>
      <c r="R2" s="226" t="s">
        <v>151</v>
      </c>
      <c r="S2" s="226"/>
      <c r="T2" s="226" t="s">
        <v>152</v>
      </c>
      <c r="U2" s="226"/>
      <c r="V2" s="226" t="s">
        <v>153</v>
      </c>
      <c r="W2" s="226"/>
      <c r="X2" s="226" t="s">
        <v>154</v>
      </c>
      <c r="Y2" s="226"/>
      <c r="Z2" s="226" t="s">
        <v>165</v>
      </c>
      <c r="AA2" s="226"/>
      <c r="AB2" s="129" t="s">
        <v>141</v>
      </c>
      <c r="AD2" t="s">
        <v>187</v>
      </c>
    </row>
    <row r="3" spans="1:30" x14ac:dyDescent="0.25">
      <c r="A3">
        <f>B3+C3</f>
        <v>2216753.6561856004</v>
      </c>
      <c r="C3">
        <f>D3*1.14</f>
        <v>2216753.6561856004</v>
      </c>
      <c r="D3">
        <f>(((H3+N3+K3)*1.12)+AC3)*1.302</f>
        <v>1944520.7510400005</v>
      </c>
      <c r="E3" t="s">
        <v>143</v>
      </c>
      <c r="F3" s="125">
        <v>1</v>
      </c>
      <c r="G3">
        <v>4406</v>
      </c>
      <c r="H3">
        <v>594722</v>
      </c>
      <c r="I3" s="127">
        <v>0</v>
      </c>
      <c r="L3" s="127">
        <v>2.5</v>
      </c>
      <c r="M3">
        <f>2909+4100</f>
        <v>7009</v>
      </c>
      <c r="N3">
        <f>738749</f>
        <v>738749</v>
      </c>
      <c r="O3" s="126">
        <f t="shared" ref="O3:O10" si="0">R3+T3+V3+Z3+P3</f>
        <v>3.38</v>
      </c>
      <c r="R3">
        <v>0.38</v>
      </c>
      <c r="S3">
        <v>103928</v>
      </c>
      <c r="T3">
        <v>1</v>
      </c>
      <c r="U3">
        <v>260952</v>
      </c>
      <c r="V3" s="128">
        <v>2</v>
      </c>
      <c r="W3" s="128">
        <f>43492*9</f>
        <v>391428</v>
      </c>
      <c r="X3" s="128">
        <v>2</v>
      </c>
      <c r="Y3" s="128">
        <f>43492*12</f>
        <v>521904</v>
      </c>
      <c r="Z3" s="128"/>
      <c r="AA3" s="128"/>
      <c r="AD3" t="s">
        <v>188</v>
      </c>
    </row>
    <row r="4" spans="1:30" x14ac:dyDescent="0.25">
      <c r="A4">
        <f t="shared" ref="A4:A25" si="1">B4+C4</f>
        <v>6133573.2924345611</v>
      </c>
      <c r="C4">
        <f>D4*1.14</f>
        <v>6133573.2924345611</v>
      </c>
      <c r="D4">
        <f>(((H4+N4+K4)*1.12)+AC4)*1.302</f>
        <v>5380327.4495040011</v>
      </c>
      <c r="E4" t="s">
        <v>155</v>
      </c>
      <c r="F4" s="125">
        <v>1</v>
      </c>
      <c r="G4">
        <v>4407</v>
      </c>
      <c r="H4">
        <f>G4*79.4*1.7</f>
        <v>594856.8600000001</v>
      </c>
      <c r="I4" s="127">
        <v>1</v>
      </c>
      <c r="J4">
        <v>3526</v>
      </c>
      <c r="K4">
        <f>J4*62*1.7</f>
        <v>371640.39999999997</v>
      </c>
      <c r="L4" s="127">
        <v>1.5</v>
      </c>
      <c r="M4">
        <f>2696+1308.6</f>
        <v>4004.6</v>
      </c>
      <c r="N4">
        <f>M4*62*1.7</f>
        <v>422084.83999999997</v>
      </c>
      <c r="O4" s="126">
        <f t="shared" si="0"/>
        <v>1.38</v>
      </c>
      <c r="R4">
        <v>0.38</v>
      </c>
      <c r="S4">
        <f>8263.63*12</f>
        <v>99163.56</v>
      </c>
      <c r="T4">
        <v>1</v>
      </c>
      <c r="U4">
        <v>260952</v>
      </c>
      <c r="AB4" s="129">
        <v>8.5</v>
      </c>
      <c r="AC4">
        <v>2577144</v>
      </c>
    </row>
    <row r="5" spans="1:30" x14ac:dyDescent="0.25">
      <c r="A5">
        <f t="shared" si="1"/>
        <v>1915249.1424845185</v>
      </c>
      <c r="C5">
        <f t="shared" ref="C5:C25" si="2">D5*1.14</f>
        <v>1915249.1424845185</v>
      </c>
      <c r="D5">
        <f t="shared" ref="D5:D24" si="3">(((H5+N5+K5)*1.12)+AC5)*1.302</f>
        <v>1680043.1074425601</v>
      </c>
      <c r="E5" t="s">
        <v>112</v>
      </c>
      <c r="F5" s="125">
        <v>1</v>
      </c>
      <c r="G5">
        <v>4187</v>
      </c>
      <c r="H5">
        <f t="shared" ref="H5:H25" si="4">G5*79.4*1.7</f>
        <v>565161.26</v>
      </c>
      <c r="I5" s="127">
        <v>1</v>
      </c>
      <c r="J5">
        <v>3349.6</v>
      </c>
      <c r="K5">
        <f t="shared" ref="K5:K25" si="5">J5*62*1.7</f>
        <v>353047.83999999997</v>
      </c>
      <c r="L5" s="127">
        <v>1</v>
      </c>
      <c r="M5">
        <v>2219.11</v>
      </c>
      <c r="N5">
        <f t="shared" ref="N5:N25" si="6">M5*62*1.7</f>
        <v>233894.19400000002</v>
      </c>
      <c r="O5" s="126">
        <f t="shared" si="0"/>
        <v>0</v>
      </c>
    </row>
    <row r="6" spans="1:30" x14ac:dyDescent="0.25">
      <c r="A6">
        <f t="shared" si="1"/>
        <v>1570299.0891759363</v>
      </c>
      <c r="C6">
        <f t="shared" si="2"/>
        <v>1570299.0891759363</v>
      </c>
      <c r="D6">
        <f t="shared" si="3"/>
        <v>1377455.3413824004</v>
      </c>
      <c r="E6" t="s">
        <v>156</v>
      </c>
      <c r="F6" s="125">
        <v>1</v>
      </c>
      <c r="G6">
        <v>4187</v>
      </c>
      <c r="H6">
        <f t="shared" si="4"/>
        <v>565161.26</v>
      </c>
      <c r="I6" s="127">
        <v>1</v>
      </c>
      <c r="J6">
        <v>2093</v>
      </c>
      <c r="K6">
        <f t="shared" si="5"/>
        <v>220602.19999999998</v>
      </c>
      <c r="L6" s="127">
        <v>1</v>
      </c>
      <c r="M6">
        <v>1507</v>
      </c>
      <c r="N6">
        <f t="shared" si="6"/>
        <v>158837.79999999999</v>
      </c>
      <c r="O6" s="126">
        <f t="shared" si="0"/>
        <v>1.5</v>
      </c>
      <c r="R6">
        <v>0.5</v>
      </c>
      <c r="S6">
        <f>123726</f>
        <v>123726</v>
      </c>
      <c r="T6">
        <v>1</v>
      </c>
      <c r="U6">
        <v>0</v>
      </c>
    </row>
    <row r="7" spans="1:30" x14ac:dyDescent="0.25">
      <c r="A7">
        <f t="shared" si="1"/>
        <v>2018536.2601608958</v>
      </c>
      <c r="C7">
        <f t="shared" si="2"/>
        <v>2018536.2601608958</v>
      </c>
      <c r="D7">
        <f t="shared" si="3"/>
        <v>1770645.8422464</v>
      </c>
      <c r="E7" t="s">
        <v>161</v>
      </c>
      <c r="F7" s="125">
        <v>1</v>
      </c>
      <c r="G7">
        <v>4363</v>
      </c>
      <c r="H7">
        <f t="shared" si="4"/>
        <v>588917.74</v>
      </c>
      <c r="K7">
        <f t="shared" si="5"/>
        <v>0</v>
      </c>
      <c r="L7" s="127">
        <v>2</v>
      </c>
      <c r="M7">
        <v>5932.8</v>
      </c>
      <c r="N7">
        <f t="shared" si="6"/>
        <v>625317.12</v>
      </c>
      <c r="O7" s="126">
        <f t="shared" si="0"/>
        <v>1.3</v>
      </c>
      <c r="R7">
        <v>0.3</v>
      </c>
      <c r="S7">
        <v>78287.02</v>
      </c>
      <c r="T7">
        <v>1</v>
      </c>
      <c r="U7">
        <v>247452</v>
      </c>
    </row>
    <row r="8" spans="1:30" x14ac:dyDescent="0.25">
      <c r="A8">
        <f t="shared" si="1"/>
        <v>2023647.0366002689</v>
      </c>
      <c r="C8">
        <f t="shared" si="2"/>
        <v>2023647.0366002689</v>
      </c>
      <c r="D8">
        <f t="shared" si="3"/>
        <v>1775128.9794739203</v>
      </c>
      <c r="E8" t="s">
        <v>168</v>
      </c>
      <c r="F8" s="125">
        <v>1</v>
      </c>
      <c r="G8">
        <v>4407</v>
      </c>
      <c r="H8">
        <f t="shared" si="4"/>
        <v>594856.8600000001</v>
      </c>
      <c r="I8" s="127">
        <v>0</v>
      </c>
      <c r="K8">
        <f t="shared" si="5"/>
        <v>0</v>
      </c>
      <c r="L8" s="127">
        <v>2</v>
      </c>
      <c r="M8">
        <v>5905.62</v>
      </c>
      <c r="N8">
        <f t="shared" si="6"/>
        <v>622452.348</v>
      </c>
      <c r="O8" s="126">
        <f t="shared" si="0"/>
        <v>0.88</v>
      </c>
      <c r="P8">
        <v>0.5</v>
      </c>
      <c r="Q8">
        <v>130477.99</v>
      </c>
      <c r="R8">
        <v>0.38</v>
      </c>
      <c r="S8">
        <v>99161.76</v>
      </c>
    </row>
    <row r="9" spans="1:30" x14ac:dyDescent="0.25">
      <c r="A9">
        <f t="shared" si="1"/>
        <v>2008294.5856700162</v>
      </c>
      <c r="C9">
        <f t="shared" si="2"/>
        <v>2008294.5856700162</v>
      </c>
      <c r="D9">
        <f t="shared" si="3"/>
        <v>1761661.9172544004</v>
      </c>
      <c r="E9" t="s">
        <v>159</v>
      </c>
      <c r="F9" s="125">
        <v>1</v>
      </c>
      <c r="G9">
        <v>4407</v>
      </c>
      <c r="H9">
        <f t="shared" si="4"/>
        <v>594856.8600000001</v>
      </c>
      <c r="I9" s="127">
        <v>0</v>
      </c>
      <c r="K9">
        <f t="shared" si="5"/>
        <v>0</v>
      </c>
      <c r="L9" s="127">
        <v>2</v>
      </c>
      <c r="M9">
        <f>5818</f>
        <v>5818</v>
      </c>
      <c r="N9">
        <f t="shared" si="6"/>
        <v>613217.19999999995</v>
      </c>
      <c r="O9" s="126">
        <f t="shared" si="0"/>
        <v>2.25</v>
      </c>
      <c r="P9" s="130">
        <v>2</v>
      </c>
      <c r="Q9" s="130">
        <v>521913.59999999998</v>
      </c>
      <c r="R9">
        <v>0.25</v>
      </c>
      <c r="S9">
        <f>130478</f>
        <v>130478</v>
      </c>
    </row>
    <row r="10" spans="1:30" x14ac:dyDescent="0.25">
      <c r="A10">
        <f t="shared" si="1"/>
        <v>2278253.7079303679</v>
      </c>
      <c r="C10">
        <f t="shared" si="2"/>
        <v>2278253.7079303679</v>
      </c>
      <c r="D10">
        <f t="shared" si="3"/>
        <v>1998468.1648512001</v>
      </c>
      <c r="E10" t="s">
        <v>166</v>
      </c>
      <c r="F10" s="125">
        <v>1</v>
      </c>
      <c r="G10">
        <v>4406</v>
      </c>
      <c r="H10">
        <f t="shared" si="4"/>
        <v>594721.88</v>
      </c>
      <c r="K10">
        <f t="shared" si="5"/>
        <v>0</v>
      </c>
      <c r="L10" s="127">
        <v>3</v>
      </c>
      <c r="M10">
        <v>7360</v>
      </c>
      <c r="N10">
        <f t="shared" si="6"/>
        <v>775744</v>
      </c>
      <c r="O10" s="126">
        <f t="shared" si="0"/>
        <v>4.5</v>
      </c>
      <c r="R10">
        <v>0.5</v>
      </c>
      <c r="S10">
        <f>10310.5*12</f>
        <v>123726</v>
      </c>
      <c r="T10">
        <v>1</v>
      </c>
      <c r="U10">
        <v>247452</v>
      </c>
      <c r="V10" s="128">
        <v>3</v>
      </c>
      <c r="W10" s="128">
        <f>60000*12</f>
        <v>720000</v>
      </c>
    </row>
    <row r="11" spans="1:30" x14ac:dyDescent="0.25">
      <c r="A11">
        <f t="shared" si="1"/>
        <v>4099581.0465200651</v>
      </c>
      <c r="C11">
        <f t="shared" si="2"/>
        <v>4099581.0465200651</v>
      </c>
      <c r="D11">
        <f>(((H11+N11+K11)*1.12)+AC11)*1.302</f>
        <v>3596123.7250176012</v>
      </c>
      <c r="E11" s="130" t="s">
        <v>169</v>
      </c>
      <c r="F11" s="125">
        <v>1</v>
      </c>
      <c r="G11">
        <v>4638</v>
      </c>
      <c r="H11">
        <f t="shared" si="4"/>
        <v>626037.24</v>
      </c>
      <c r="I11" s="127">
        <v>1</v>
      </c>
      <c r="J11">
        <v>3710</v>
      </c>
      <c r="K11">
        <f>K12</f>
        <v>391034</v>
      </c>
      <c r="L11" s="127">
        <v>4</v>
      </c>
      <c r="N11">
        <v>1449000</v>
      </c>
      <c r="P11">
        <v>2</v>
      </c>
      <c r="Q11">
        <v>535400</v>
      </c>
    </row>
    <row r="12" spans="1:30" ht="16.5" customHeight="1" x14ac:dyDescent="0.25">
      <c r="A12">
        <f t="shared" si="1"/>
        <v>6604945.2304496644</v>
      </c>
      <c r="C12">
        <f t="shared" si="2"/>
        <v>6604945.2304496644</v>
      </c>
      <c r="D12">
        <f>(((H12+N12+K12)*1.12)+AC12)*1.302</f>
        <v>5793811.6056576008</v>
      </c>
      <c r="E12" t="s">
        <v>157</v>
      </c>
      <c r="F12" s="125">
        <v>1</v>
      </c>
      <c r="G12">
        <v>4638</v>
      </c>
      <c r="H12">
        <f t="shared" si="4"/>
        <v>626037.24</v>
      </c>
      <c r="I12" s="127">
        <v>1</v>
      </c>
      <c r="J12">
        <v>3710</v>
      </c>
      <c r="K12">
        <f t="shared" si="5"/>
        <v>391034</v>
      </c>
      <c r="L12" s="127">
        <v>2</v>
      </c>
      <c r="M12">
        <f>(3154+3061)</f>
        <v>6215</v>
      </c>
      <c r="N12">
        <f t="shared" si="6"/>
        <v>655061</v>
      </c>
      <c r="O12" s="126">
        <f t="shared" ref="O12:O25" si="7">R12+T12+V12+Z12+P12</f>
        <v>6.6</v>
      </c>
      <c r="P12">
        <v>5</v>
      </c>
      <c r="Q12">
        <f>109918.43*12</f>
        <v>1319021.1599999999</v>
      </c>
      <c r="R12">
        <v>0.6</v>
      </c>
      <c r="S12">
        <f>12372.6*12</f>
        <v>148471.20000000001</v>
      </c>
      <c r="T12">
        <v>1</v>
      </c>
      <c r="U12">
        <f>20621*12</f>
        <v>247452</v>
      </c>
      <c r="AB12" s="129">
        <v>8.5</v>
      </c>
      <c r="AC12">
        <f>214762*12</f>
        <v>2577144</v>
      </c>
    </row>
    <row r="13" spans="1:30" x14ac:dyDescent="0.25">
      <c r="A13">
        <f t="shared" si="1"/>
        <v>6620491.8888498433</v>
      </c>
      <c r="C13">
        <f t="shared" si="2"/>
        <v>6620491.8888498433</v>
      </c>
      <c r="D13">
        <f t="shared" si="3"/>
        <v>5807449.0253068805</v>
      </c>
      <c r="E13" t="s">
        <v>160</v>
      </c>
      <c r="F13" s="125">
        <v>1</v>
      </c>
      <c r="G13">
        <v>4279</v>
      </c>
      <c r="H13">
        <f t="shared" si="4"/>
        <v>577579.42000000004</v>
      </c>
      <c r="I13" s="127">
        <v>1</v>
      </c>
      <c r="J13">
        <v>3423.2</v>
      </c>
      <c r="K13">
        <f t="shared" si="5"/>
        <v>360805.27999999997</v>
      </c>
      <c r="L13" s="127">
        <v>2.5</v>
      </c>
      <c r="M13">
        <f>2814.14+2824.14+1412</f>
        <v>7050.28</v>
      </c>
      <c r="N13">
        <f t="shared" si="6"/>
        <v>743099.51199999999</v>
      </c>
      <c r="O13" s="126">
        <f t="shared" si="7"/>
        <v>3.25</v>
      </c>
      <c r="P13">
        <v>2.75</v>
      </c>
      <c r="Q13">
        <f>680493.03</f>
        <v>680493.03</v>
      </c>
      <c r="R13">
        <v>0.5</v>
      </c>
      <c r="S13">
        <v>123725.96</v>
      </c>
      <c r="T13" s="128"/>
      <c r="U13" s="128"/>
      <c r="AB13" s="129">
        <v>8.5</v>
      </c>
      <c r="AC13">
        <v>2577144</v>
      </c>
    </row>
    <row r="14" spans="1:30" x14ac:dyDescent="0.25">
      <c r="A14">
        <f t="shared" si="1"/>
        <v>2533417.7931336961</v>
      </c>
      <c r="C14">
        <f t="shared" si="2"/>
        <v>2533417.7931336961</v>
      </c>
      <c r="D14">
        <f>(((H14+N14+K14)*1.12)+AC14)*1.302</f>
        <v>2222296.3097664001</v>
      </c>
      <c r="E14" t="s">
        <v>162</v>
      </c>
      <c r="F14" s="125">
        <v>1</v>
      </c>
      <c r="G14">
        <v>4407</v>
      </c>
      <c r="H14">
        <f t="shared" si="4"/>
        <v>594856.8600000001</v>
      </c>
      <c r="I14" s="127">
        <v>0</v>
      </c>
      <c r="K14">
        <f t="shared" si="5"/>
        <v>0</v>
      </c>
      <c r="L14" s="127">
        <v>3</v>
      </c>
      <c r="M14">
        <f>8815</f>
        <v>8815</v>
      </c>
      <c r="N14">
        <f t="shared" si="6"/>
        <v>929101</v>
      </c>
      <c r="O14" s="126">
        <f t="shared" si="7"/>
        <v>2.75</v>
      </c>
      <c r="P14">
        <v>1.5</v>
      </c>
      <c r="Q14">
        <f>257758+12880</f>
        <v>270638</v>
      </c>
      <c r="T14">
        <v>1.25</v>
      </c>
      <c r="U14">
        <f>247452+61863</f>
        <v>309315</v>
      </c>
    </row>
    <row r="15" spans="1:30" x14ac:dyDescent="0.25">
      <c r="A15">
        <f t="shared" si="1"/>
        <v>1064901.2789560321</v>
      </c>
      <c r="C15">
        <f>D15*1.14</f>
        <v>1064901.2789560321</v>
      </c>
      <c r="D15">
        <f>(((H15+N15+K15+U15)*1.12)+AC15)*1.302</f>
        <v>934123.92890880012</v>
      </c>
      <c r="E15" s="130" t="s">
        <v>163</v>
      </c>
      <c r="F15" s="125">
        <v>1</v>
      </c>
      <c r="G15" s="130">
        <v>3284</v>
      </c>
      <c r="H15">
        <f t="shared" si="4"/>
        <v>443274.32</v>
      </c>
      <c r="I15" s="127">
        <v>0</v>
      </c>
      <c r="K15">
        <f t="shared" si="5"/>
        <v>0</v>
      </c>
      <c r="L15" s="127">
        <v>1</v>
      </c>
      <c r="M15" s="130">
        <v>1872</v>
      </c>
      <c r="N15">
        <f t="shared" si="6"/>
        <v>197308.79999999999</v>
      </c>
      <c r="O15" s="126">
        <f t="shared" si="7"/>
        <v>2.2000000000000002</v>
      </c>
      <c r="P15">
        <v>1</v>
      </c>
      <c r="Q15">
        <f>247452</f>
        <v>247452</v>
      </c>
      <c r="R15">
        <v>0.2</v>
      </c>
      <c r="S15">
        <f>49490.4</f>
        <v>49490.400000000001</v>
      </c>
      <c r="T15">
        <v>1</v>
      </c>
      <c r="U15">
        <f>U13</f>
        <v>0</v>
      </c>
    </row>
    <row r="16" spans="1:30" x14ac:dyDescent="0.25">
      <c r="A16">
        <f t="shared" si="1"/>
        <v>2131247.2444462082</v>
      </c>
      <c r="C16">
        <f t="shared" si="2"/>
        <v>2131247.2444462082</v>
      </c>
      <c r="D16">
        <f t="shared" si="3"/>
        <v>1869515.1267072002</v>
      </c>
      <c r="E16" t="s">
        <v>164</v>
      </c>
      <c r="F16" s="125">
        <v>1</v>
      </c>
      <c r="G16">
        <v>4406</v>
      </c>
      <c r="H16">
        <f t="shared" si="4"/>
        <v>594721.88</v>
      </c>
      <c r="I16" s="127">
        <v>1</v>
      </c>
      <c r="J16">
        <v>3525</v>
      </c>
      <c r="K16">
        <f t="shared" si="5"/>
        <v>371535</v>
      </c>
      <c r="L16" s="127">
        <v>1</v>
      </c>
      <c r="M16">
        <v>2996</v>
      </c>
      <c r="N16">
        <f t="shared" si="6"/>
        <v>315778.39999999997</v>
      </c>
      <c r="O16" s="126">
        <f t="shared" si="7"/>
        <v>7</v>
      </c>
      <c r="P16">
        <v>1.5</v>
      </c>
      <c r="Q16">
        <f>40176.78*12</f>
        <v>482121.36</v>
      </c>
      <c r="R16">
        <v>0.25</v>
      </c>
      <c r="S16">
        <f>5266.5*12</f>
        <v>63198</v>
      </c>
      <c r="T16">
        <v>1</v>
      </c>
      <c r="U16">
        <f>21066.4*12</f>
        <v>252796.80000000002</v>
      </c>
      <c r="V16" s="128">
        <v>4</v>
      </c>
      <c r="W16" s="128">
        <f>84265.6*12</f>
        <v>1011187.2000000001</v>
      </c>
      <c r="Z16">
        <v>0.25</v>
      </c>
      <c r="AA16">
        <f>5266.6*12</f>
        <v>63199.200000000004</v>
      </c>
    </row>
    <row r="17" spans="1:29" x14ac:dyDescent="0.25">
      <c r="A17">
        <f t="shared" si="1"/>
        <v>2625903.9572403459</v>
      </c>
      <c r="C17">
        <f t="shared" si="2"/>
        <v>2625903.9572403459</v>
      </c>
      <c r="D17">
        <f t="shared" si="3"/>
        <v>2303424.5238950406</v>
      </c>
      <c r="E17" t="s">
        <v>170</v>
      </c>
      <c r="F17" s="125">
        <v>1</v>
      </c>
      <c r="G17">
        <v>4407</v>
      </c>
      <c r="H17">
        <f t="shared" si="4"/>
        <v>594856.8600000001</v>
      </c>
      <c r="I17" s="127">
        <v>1</v>
      </c>
      <c r="J17">
        <v>3525.6</v>
      </c>
      <c r="K17">
        <f t="shared" si="5"/>
        <v>371598.23999999993</v>
      </c>
      <c r="L17" s="127">
        <v>2</v>
      </c>
      <c r="M17">
        <f>2908.62+2908.62</f>
        <v>5817.24</v>
      </c>
      <c r="N17">
        <f t="shared" si="6"/>
        <v>613137.09600000002</v>
      </c>
      <c r="O17" s="126">
        <f t="shared" si="7"/>
        <v>2.38</v>
      </c>
      <c r="R17">
        <v>0.38</v>
      </c>
      <c r="S17">
        <v>99163.56</v>
      </c>
      <c r="T17">
        <v>1</v>
      </c>
      <c r="U17">
        <v>260956.79999999999</v>
      </c>
      <c r="V17" s="128">
        <v>1</v>
      </c>
      <c r="W17" s="128">
        <v>260956.79999999999</v>
      </c>
    </row>
    <row r="18" spans="1:29" x14ac:dyDescent="0.25">
      <c r="A18">
        <f t="shared" si="1"/>
        <v>2008115.8650588677</v>
      </c>
      <c r="C18">
        <f t="shared" si="2"/>
        <v>2008115.8650588677</v>
      </c>
      <c r="D18">
        <f t="shared" si="3"/>
        <v>1761505.1447884806</v>
      </c>
      <c r="E18" t="s">
        <v>171</v>
      </c>
      <c r="F18" s="125">
        <v>1</v>
      </c>
      <c r="G18">
        <v>4407</v>
      </c>
      <c r="H18">
        <f t="shared" si="4"/>
        <v>594856.8600000001</v>
      </c>
      <c r="I18" s="127">
        <v>1</v>
      </c>
      <c r="J18">
        <v>3525.44</v>
      </c>
      <c r="K18">
        <f t="shared" si="5"/>
        <v>371581.37599999999</v>
      </c>
      <c r="L18" s="127">
        <v>1</v>
      </c>
      <c r="M18">
        <v>2291.54</v>
      </c>
      <c r="N18">
        <f t="shared" si="6"/>
        <v>241528.31600000002</v>
      </c>
      <c r="O18" s="126">
        <f t="shared" si="7"/>
        <v>0</v>
      </c>
    </row>
    <row r="19" spans="1:29" x14ac:dyDescent="0.25">
      <c r="A19">
        <f t="shared" si="1"/>
        <v>2301921.4715965441</v>
      </c>
      <c r="C19">
        <f t="shared" si="2"/>
        <v>2301921.4715965441</v>
      </c>
      <c r="D19">
        <f t="shared" si="3"/>
        <v>2019229.3610496002</v>
      </c>
      <c r="E19" t="s">
        <v>116</v>
      </c>
      <c r="F19" s="125">
        <v>1</v>
      </c>
      <c r="G19">
        <v>4278</v>
      </c>
      <c r="H19">
        <f t="shared" si="4"/>
        <v>577444.44000000006</v>
      </c>
      <c r="I19" s="127">
        <v>1</v>
      </c>
      <c r="J19">
        <v>3423</v>
      </c>
      <c r="K19">
        <f t="shared" si="5"/>
        <v>360784.2</v>
      </c>
      <c r="L19" s="127">
        <v>1.5</v>
      </c>
      <c r="M19">
        <f>2824+1412</f>
        <v>4236</v>
      </c>
      <c r="N19">
        <f t="shared" si="6"/>
        <v>446474.39999999997</v>
      </c>
      <c r="O19" s="126">
        <f t="shared" si="7"/>
        <v>0.42</v>
      </c>
      <c r="R19">
        <v>0.3</v>
      </c>
      <c r="S19">
        <v>84287.71</v>
      </c>
      <c r="Z19">
        <v>0.12</v>
      </c>
      <c r="AA19">
        <v>33715</v>
      </c>
    </row>
    <row r="20" spans="1:29" x14ac:dyDescent="0.25">
      <c r="A20">
        <f t="shared" si="1"/>
        <v>2116973.193231456</v>
      </c>
      <c r="C20">
        <f t="shared" si="2"/>
        <v>2116973.193231456</v>
      </c>
      <c r="D20">
        <f>(((H20+N20+K20)*1.12)+AC20)*1.302</f>
        <v>1856994.0291504003</v>
      </c>
      <c r="E20" t="s">
        <v>113</v>
      </c>
      <c r="F20" s="125">
        <v>1</v>
      </c>
      <c r="G20">
        <v>4186.95</v>
      </c>
      <c r="H20">
        <f t="shared" si="4"/>
        <v>565154.51100000006</v>
      </c>
      <c r="K20">
        <f t="shared" si="5"/>
        <v>0</v>
      </c>
      <c r="L20" s="127">
        <v>2.5</v>
      </c>
      <c r="M20">
        <v>6720.06</v>
      </c>
      <c r="N20">
        <f t="shared" si="6"/>
        <v>708294.32400000002</v>
      </c>
      <c r="O20" s="126">
        <f t="shared" si="7"/>
        <v>0.3</v>
      </c>
      <c r="R20">
        <v>0.3</v>
      </c>
      <c r="S20">
        <v>81788.990000000005</v>
      </c>
    </row>
    <row r="21" spans="1:29" x14ac:dyDescent="0.25">
      <c r="A21">
        <f t="shared" si="1"/>
        <v>2278478.0978184966</v>
      </c>
      <c r="C21">
        <f t="shared" si="2"/>
        <v>2278478.0978184966</v>
      </c>
      <c r="D21">
        <f t="shared" si="3"/>
        <v>1998664.9980864006</v>
      </c>
      <c r="E21" s="130" t="s">
        <v>182</v>
      </c>
      <c r="F21" s="125">
        <v>1</v>
      </c>
      <c r="G21">
        <v>4407</v>
      </c>
      <c r="H21">
        <f t="shared" si="4"/>
        <v>594856.8600000001</v>
      </c>
      <c r="K21">
        <f t="shared" si="5"/>
        <v>0</v>
      </c>
      <c r="L21" s="127">
        <v>2.5</v>
      </c>
      <c r="M21">
        <v>7360</v>
      </c>
      <c r="N21">
        <f t="shared" si="6"/>
        <v>775744</v>
      </c>
      <c r="O21" s="126">
        <f t="shared" si="7"/>
        <v>0.4</v>
      </c>
      <c r="R21">
        <v>0.4</v>
      </c>
      <c r="S21">
        <v>109600</v>
      </c>
    </row>
    <row r="22" spans="1:29" x14ac:dyDescent="0.25">
      <c r="A22">
        <f t="shared" si="1"/>
        <v>3414119.643857664</v>
      </c>
      <c r="C22">
        <f t="shared" si="2"/>
        <v>3414119.643857664</v>
      </c>
      <c r="D22">
        <f t="shared" si="3"/>
        <v>2994841.7928576004</v>
      </c>
      <c r="E22" s="130" t="s">
        <v>183</v>
      </c>
      <c r="F22" s="125">
        <v>1</v>
      </c>
      <c r="G22">
        <v>4638</v>
      </c>
      <c r="H22">
        <f t="shared" si="4"/>
        <v>626037.24</v>
      </c>
      <c r="K22">
        <f t="shared" si="5"/>
        <v>0</v>
      </c>
      <c r="L22" s="127">
        <v>4</v>
      </c>
      <c r="N22">
        <v>1427700</v>
      </c>
      <c r="O22" s="126">
        <f t="shared" si="7"/>
        <v>3</v>
      </c>
      <c r="P22">
        <v>3</v>
      </c>
      <c r="Q22">
        <v>866900</v>
      </c>
    </row>
    <row r="23" spans="1:29" x14ac:dyDescent="0.25">
      <c r="A23">
        <f t="shared" si="1"/>
        <v>1373405.1911919361</v>
      </c>
      <c r="C23">
        <f t="shared" si="2"/>
        <v>1373405.1911919361</v>
      </c>
      <c r="D23">
        <f>(((H23+N23+K23)*1.12)+AC23)*1.302</f>
        <v>1204741.3957824002</v>
      </c>
      <c r="E23" s="130" t="s">
        <v>184</v>
      </c>
      <c r="F23" s="125">
        <v>1</v>
      </c>
      <c r="G23">
        <v>4187</v>
      </c>
      <c r="H23">
        <f t="shared" si="4"/>
        <v>565161.26</v>
      </c>
      <c r="K23">
        <f t="shared" si="5"/>
        <v>0</v>
      </c>
      <c r="L23" s="127">
        <v>1</v>
      </c>
      <c r="N23">
        <v>261000</v>
      </c>
      <c r="O23" s="126">
        <f t="shared" si="7"/>
        <v>0.2</v>
      </c>
      <c r="R23">
        <v>0.2</v>
      </c>
      <c r="S23">
        <v>39200</v>
      </c>
    </row>
    <row r="24" spans="1:29" x14ac:dyDescent="0.25">
      <c r="A24">
        <f t="shared" si="1"/>
        <v>8055516.1582183698</v>
      </c>
      <c r="C24">
        <f t="shared" si="2"/>
        <v>8055516.1582183698</v>
      </c>
      <c r="D24">
        <f t="shared" si="3"/>
        <v>7066242.2440512022</v>
      </c>
      <c r="E24" t="s">
        <v>167</v>
      </c>
      <c r="F24" s="125">
        <v>1</v>
      </c>
      <c r="G24">
        <v>6851</v>
      </c>
      <c r="H24">
        <f t="shared" si="4"/>
        <v>924747.98</v>
      </c>
      <c r="I24" s="127">
        <v>1</v>
      </c>
      <c r="J24">
        <v>5481</v>
      </c>
      <c r="K24">
        <f t="shared" si="5"/>
        <v>577697.4</v>
      </c>
      <c r="L24" s="127">
        <v>9</v>
      </c>
      <c r="M24">
        <f>3905+3494+3494+3494+3494+3494+3494+3494+3357</f>
        <v>31720</v>
      </c>
      <c r="N24">
        <f t="shared" si="6"/>
        <v>3343288</v>
      </c>
      <c r="O24" s="126">
        <f t="shared" si="7"/>
        <v>5.75</v>
      </c>
      <c r="P24">
        <v>4</v>
      </c>
      <c r="Q24">
        <f>260956.8+283025.52+260956.8+266807.52</f>
        <v>1071746.6400000001</v>
      </c>
      <c r="R24">
        <v>0.5</v>
      </c>
      <c r="S24">
        <v>130478</v>
      </c>
      <c r="T24">
        <v>1</v>
      </c>
      <c r="U24">
        <v>266807.52</v>
      </c>
      <c r="Z24">
        <v>0.25</v>
      </c>
      <c r="AA24">
        <v>65239.199999999997</v>
      </c>
    </row>
    <row r="25" spans="1:29" x14ac:dyDescent="0.25">
      <c r="A25">
        <f t="shared" si="1"/>
        <v>12674834.817402242</v>
      </c>
      <c r="C25">
        <f t="shared" si="2"/>
        <v>12674834.817402242</v>
      </c>
      <c r="D25">
        <f>(((H25+N25+K25)*1.12)+AC25)*1.302</f>
        <v>11118276.155616002</v>
      </c>
      <c r="E25" t="s">
        <v>172</v>
      </c>
      <c r="F25" s="125">
        <v>1</v>
      </c>
      <c r="G25">
        <v>6850</v>
      </c>
      <c r="H25">
        <f t="shared" si="4"/>
        <v>924613</v>
      </c>
      <c r="I25" s="127">
        <v>3</v>
      </c>
      <c r="J25">
        <f>5480+5480+5480</f>
        <v>16440</v>
      </c>
      <c r="K25">
        <f t="shared" si="5"/>
        <v>1732776</v>
      </c>
      <c r="L25" s="127">
        <v>4.5</v>
      </c>
      <c r="M25">
        <f>(1746.5*7)+3493</f>
        <v>15718.5</v>
      </c>
      <c r="N25">
        <f t="shared" si="6"/>
        <v>1656729.9</v>
      </c>
      <c r="O25" s="126">
        <f t="shared" si="7"/>
        <v>8.3000000000000007</v>
      </c>
      <c r="P25">
        <v>5.8</v>
      </c>
      <c r="Q25">
        <f>(24738.1+14402.84+16258.39+13284.16+14402.85+12415.1+12415.1+13197.1+12415.1+13729.81+4124.2+6183.3)*12</f>
        <v>1890792.6</v>
      </c>
      <c r="R25">
        <v>0.5</v>
      </c>
      <c r="S25">
        <f>10310.5*12</f>
        <v>123726</v>
      </c>
      <c r="T25">
        <v>1</v>
      </c>
      <c r="U25">
        <f>20621*12</f>
        <v>247452</v>
      </c>
      <c r="Z25">
        <v>1</v>
      </c>
      <c r="AA25">
        <f>20621*12</f>
        <v>247452</v>
      </c>
      <c r="AB25" s="129">
        <v>14.05</v>
      </c>
      <c r="AC25">
        <f>308964.12*12</f>
        <v>3707569.44</v>
      </c>
    </row>
    <row r="26" spans="1:29" x14ac:dyDescent="0.25">
      <c r="A26">
        <f t="shared" ref="A26:C26" si="8">SUM(A3:A25)</f>
        <v>80068459.648613602</v>
      </c>
      <c r="B26">
        <f t="shared" si="8"/>
        <v>0</v>
      </c>
      <c r="C26">
        <f t="shared" si="8"/>
        <v>80068459.648613602</v>
      </c>
      <c r="D26">
        <f>SUM(D3:D25)</f>
        <v>70235490.919836506</v>
      </c>
      <c r="F26" s="127">
        <f t="shared" ref="F26:H26" si="9">SUM(F3:F25)</f>
        <v>23</v>
      </c>
      <c r="G26" s="127">
        <f t="shared" si="9"/>
        <v>104633.95</v>
      </c>
      <c r="H26" s="127">
        <f t="shared" si="9"/>
        <v>14123490.691</v>
      </c>
      <c r="I26" s="127">
        <f>SUM(I3:I25)</f>
        <v>14</v>
      </c>
      <c r="J26" s="127">
        <f t="shared" ref="J26:AC26" si="10">SUM(J3:J25)</f>
        <v>55731.839999999997</v>
      </c>
      <c r="K26" s="127">
        <f t="shared" si="10"/>
        <v>5874135.9359999998</v>
      </c>
      <c r="L26" s="127">
        <f t="shared" si="10"/>
        <v>56.5</v>
      </c>
      <c r="M26" s="127">
        <f t="shared" si="10"/>
        <v>140567.75</v>
      </c>
      <c r="N26" s="127">
        <f t="shared" si="10"/>
        <v>17953541.25</v>
      </c>
      <c r="O26" s="127">
        <f t="shared" si="10"/>
        <v>57.739999999999995</v>
      </c>
      <c r="P26" s="127">
        <f t="shared" si="10"/>
        <v>29.05</v>
      </c>
      <c r="Q26" s="127">
        <f t="shared" si="10"/>
        <v>8016956.3800000008</v>
      </c>
      <c r="R26" s="127">
        <f t="shared" si="10"/>
        <v>6.82</v>
      </c>
      <c r="S26" s="127">
        <f t="shared" si="10"/>
        <v>1811600.16</v>
      </c>
      <c r="T26" s="127">
        <f t="shared" si="10"/>
        <v>12.25</v>
      </c>
      <c r="U26" s="127">
        <f t="shared" si="10"/>
        <v>2601588.12</v>
      </c>
      <c r="V26" s="127">
        <f t="shared" si="10"/>
        <v>10</v>
      </c>
      <c r="W26" s="127">
        <f t="shared" si="10"/>
        <v>2383572</v>
      </c>
      <c r="X26" s="127">
        <f t="shared" si="10"/>
        <v>2</v>
      </c>
      <c r="Y26" s="127">
        <f t="shared" si="10"/>
        <v>521904</v>
      </c>
      <c r="Z26" s="127">
        <f t="shared" si="10"/>
        <v>1.62</v>
      </c>
      <c r="AA26" s="127">
        <f t="shared" si="10"/>
        <v>409605.4</v>
      </c>
      <c r="AB26" s="127">
        <f t="shared" si="10"/>
        <v>39.549999999999997</v>
      </c>
      <c r="AC26" s="127">
        <f t="shared" si="10"/>
        <v>11439001.439999999</v>
      </c>
    </row>
    <row r="28" spans="1:29" x14ac:dyDescent="0.25">
      <c r="E28" t="s">
        <v>173</v>
      </c>
      <c r="G28">
        <f>H26*1.302</f>
        <v>18388784.879682001</v>
      </c>
      <c r="I28" s="127" t="s">
        <v>177</v>
      </c>
      <c r="K28">
        <f>F26</f>
        <v>23</v>
      </c>
      <c r="M28" s="128" t="s">
        <v>178</v>
      </c>
      <c r="N28" s="128"/>
      <c r="O28" s="131"/>
      <c r="P28" s="132" t="s">
        <v>55</v>
      </c>
      <c r="Q28" s="132"/>
      <c r="R28" s="132"/>
      <c r="S28" s="132"/>
    </row>
    <row r="29" spans="1:29" x14ac:dyDescent="0.25">
      <c r="E29" t="s">
        <v>174</v>
      </c>
      <c r="G29">
        <f>(K26+N26)*1.302</f>
        <v>31023635.696172003</v>
      </c>
      <c r="K29">
        <f>I26+L26</f>
        <v>70.5</v>
      </c>
      <c r="M29" s="128" t="s">
        <v>179</v>
      </c>
      <c r="N29" s="128">
        <f>(W26+Y26+U13)*1.302</f>
        <v>3782929.7520000003</v>
      </c>
      <c r="O29" s="131"/>
      <c r="P29" s="132" t="s">
        <v>181</v>
      </c>
      <c r="Q29" s="132">
        <f>G32-N29</f>
        <v>81023355.028853998</v>
      </c>
      <c r="R29" s="132">
        <f>Q29/G32</f>
        <v>0.95539328527625766</v>
      </c>
      <c r="S29" s="132"/>
    </row>
    <row r="30" spans="1:29" x14ac:dyDescent="0.25">
      <c r="E30" t="s">
        <v>175</v>
      </c>
      <c r="G30">
        <f>(Q26+S26+U26+W26+AA26+Y26)*1.302</f>
        <v>20500284.330120001</v>
      </c>
      <c r="K30">
        <f>O26</f>
        <v>57.739999999999995</v>
      </c>
      <c r="M30" s="128" t="s">
        <v>56</v>
      </c>
      <c r="N30" s="128">
        <f>V26+X26+T13</f>
        <v>12</v>
      </c>
      <c r="O30" s="131"/>
      <c r="P30" s="132" t="s">
        <v>56</v>
      </c>
      <c r="Q30" s="132">
        <f>K32-N30</f>
        <v>178.79000000000002</v>
      </c>
      <c r="R30" s="132">
        <f>Q30/K32</f>
        <v>0.93710362178311235</v>
      </c>
      <c r="S30" s="132"/>
    </row>
    <row r="31" spans="1:29" x14ac:dyDescent="0.25">
      <c r="E31" t="s">
        <v>176</v>
      </c>
      <c r="G31">
        <f>AC26*1.302</f>
        <v>14893579.874879999</v>
      </c>
      <c r="K31">
        <f>AB26</f>
        <v>39.549999999999997</v>
      </c>
      <c r="M31" s="128"/>
      <c r="N31" s="128"/>
      <c r="O31" s="131"/>
      <c r="P31" s="132"/>
      <c r="Q31" s="132"/>
      <c r="R31" s="132"/>
      <c r="S31" s="132"/>
    </row>
    <row r="32" spans="1:29" x14ac:dyDescent="0.25">
      <c r="E32" t="s">
        <v>180</v>
      </c>
      <c r="G32">
        <f>SUM(G28:G31)</f>
        <v>84806284.780854002</v>
      </c>
      <c r="K32">
        <f>SUM(K28:K31)</f>
        <v>190.79000000000002</v>
      </c>
    </row>
    <row r="33" spans="5:7" x14ac:dyDescent="0.25">
      <c r="E33" t="s">
        <v>185</v>
      </c>
      <c r="G33">
        <f>G32-G34</f>
        <v>67895169.100854009</v>
      </c>
    </row>
    <row r="34" spans="5:7" x14ac:dyDescent="0.25">
      <c r="E34" t="s">
        <v>186</v>
      </c>
      <c r="G34">
        <f>H25+H24+K24+K25+N24+N25+Q24+Q25+S24+S25+U24+U25+AA24+AA25+AC25</f>
        <v>16911115.68</v>
      </c>
    </row>
    <row r="36" spans="5:7" x14ac:dyDescent="0.25">
      <c r="E36" t="s">
        <v>226</v>
      </c>
    </row>
  </sheetData>
  <mergeCells count="6">
    <mergeCell ref="R2:S2"/>
    <mergeCell ref="T2:U2"/>
    <mergeCell ref="V2:W2"/>
    <mergeCell ref="Z2:AA2"/>
    <mergeCell ref="P2:Q2"/>
    <mergeCell ref="X2:Y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45"/>
  <sheetViews>
    <sheetView topLeftCell="B1" workbookViewId="0">
      <selection activeCell="B3" sqref="B3"/>
    </sheetView>
  </sheetViews>
  <sheetFormatPr defaultRowHeight="15" x14ac:dyDescent="0.25"/>
  <cols>
    <col min="1" max="1" width="8.85546875" customWidth="1"/>
    <col min="2" max="2" width="32.28515625" customWidth="1"/>
    <col min="3" max="3" width="18.7109375" customWidth="1"/>
    <col min="4" max="5" width="15.5703125" customWidth="1"/>
    <col min="6" max="6" width="11.28515625" customWidth="1"/>
    <col min="7" max="7" width="18.42578125" customWidth="1"/>
    <col min="8" max="8" width="20.7109375" customWidth="1"/>
    <col min="9" max="9" width="19.85546875" customWidth="1"/>
    <col min="10" max="12" width="16.5703125" style="134" customWidth="1"/>
    <col min="13" max="13" width="14.42578125" customWidth="1"/>
    <col min="14" max="15" width="14.42578125" hidden="1" customWidth="1"/>
    <col min="16" max="16" width="17" customWidth="1"/>
    <col min="257" max="257" width="8.85546875" customWidth="1"/>
    <col min="258" max="258" width="32.28515625" customWidth="1"/>
    <col min="259" max="259" width="18.7109375" customWidth="1"/>
    <col min="260" max="261" width="15.5703125" customWidth="1"/>
    <col min="262" max="262" width="11.28515625" customWidth="1"/>
    <col min="263" max="263" width="18.42578125" customWidth="1"/>
    <col min="264" max="264" width="20.7109375" customWidth="1"/>
    <col min="265" max="265" width="19.85546875" customWidth="1"/>
    <col min="266" max="268" width="16.5703125" customWidth="1"/>
    <col min="269" max="269" width="14.42578125" customWidth="1"/>
    <col min="270" max="271" width="0" hidden="1" customWidth="1"/>
    <col min="272" max="272" width="17" customWidth="1"/>
    <col min="513" max="513" width="8.85546875" customWidth="1"/>
    <col min="514" max="514" width="32.28515625" customWidth="1"/>
    <col min="515" max="515" width="18.7109375" customWidth="1"/>
    <col min="516" max="517" width="15.5703125" customWidth="1"/>
    <col min="518" max="518" width="11.28515625" customWidth="1"/>
    <col min="519" max="519" width="18.42578125" customWidth="1"/>
    <col min="520" max="520" width="20.7109375" customWidth="1"/>
    <col min="521" max="521" width="19.85546875" customWidth="1"/>
    <col min="522" max="524" width="16.5703125" customWidth="1"/>
    <col min="525" max="525" width="14.42578125" customWidth="1"/>
    <col min="526" max="527" width="0" hidden="1" customWidth="1"/>
    <col min="528" max="528" width="17" customWidth="1"/>
    <col min="769" max="769" width="8.85546875" customWidth="1"/>
    <col min="770" max="770" width="32.28515625" customWidth="1"/>
    <col min="771" max="771" width="18.7109375" customWidth="1"/>
    <col min="772" max="773" width="15.5703125" customWidth="1"/>
    <col min="774" max="774" width="11.28515625" customWidth="1"/>
    <col min="775" max="775" width="18.42578125" customWidth="1"/>
    <col min="776" max="776" width="20.7109375" customWidth="1"/>
    <col min="777" max="777" width="19.85546875" customWidth="1"/>
    <col min="778" max="780" width="16.5703125" customWidth="1"/>
    <col min="781" max="781" width="14.42578125" customWidth="1"/>
    <col min="782" max="783" width="0" hidden="1" customWidth="1"/>
    <col min="784" max="784" width="17" customWidth="1"/>
    <col min="1025" max="1025" width="8.85546875" customWidth="1"/>
    <col min="1026" max="1026" width="32.28515625" customWidth="1"/>
    <col min="1027" max="1027" width="18.7109375" customWidth="1"/>
    <col min="1028" max="1029" width="15.5703125" customWidth="1"/>
    <col min="1030" max="1030" width="11.28515625" customWidth="1"/>
    <col min="1031" max="1031" width="18.42578125" customWidth="1"/>
    <col min="1032" max="1032" width="20.7109375" customWidth="1"/>
    <col min="1033" max="1033" width="19.85546875" customWidth="1"/>
    <col min="1034" max="1036" width="16.5703125" customWidth="1"/>
    <col min="1037" max="1037" width="14.42578125" customWidth="1"/>
    <col min="1038" max="1039" width="0" hidden="1" customWidth="1"/>
    <col min="1040" max="1040" width="17" customWidth="1"/>
    <col min="1281" max="1281" width="8.85546875" customWidth="1"/>
    <col min="1282" max="1282" width="32.28515625" customWidth="1"/>
    <col min="1283" max="1283" width="18.7109375" customWidth="1"/>
    <col min="1284" max="1285" width="15.5703125" customWidth="1"/>
    <col min="1286" max="1286" width="11.28515625" customWidth="1"/>
    <col min="1287" max="1287" width="18.42578125" customWidth="1"/>
    <col min="1288" max="1288" width="20.7109375" customWidth="1"/>
    <col min="1289" max="1289" width="19.85546875" customWidth="1"/>
    <col min="1290" max="1292" width="16.5703125" customWidth="1"/>
    <col min="1293" max="1293" width="14.42578125" customWidth="1"/>
    <col min="1294" max="1295" width="0" hidden="1" customWidth="1"/>
    <col min="1296" max="1296" width="17" customWidth="1"/>
    <col min="1537" max="1537" width="8.85546875" customWidth="1"/>
    <col min="1538" max="1538" width="32.28515625" customWidth="1"/>
    <col min="1539" max="1539" width="18.7109375" customWidth="1"/>
    <col min="1540" max="1541" width="15.5703125" customWidth="1"/>
    <col min="1542" max="1542" width="11.28515625" customWidth="1"/>
    <col min="1543" max="1543" width="18.42578125" customWidth="1"/>
    <col min="1544" max="1544" width="20.7109375" customWidth="1"/>
    <col min="1545" max="1545" width="19.85546875" customWidth="1"/>
    <col min="1546" max="1548" width="16.5703125" customWidth="1"/>
    <col min="1549" max="1549" width="14.42578125" customWidth="1"/>
    <col min="1550" max="1551" width="0" hidden="1" customWidth="1"/>
    <col min="1552" max="1552" width="17" customWidth="1"/>
    <col min="1793" max="1793" width="8.85546875" customWidth="1"/>
    <col min="1794" max="1794" width="32.28515625" customWidth="1"/>
    <col min="1795" max="1795" width="18.7109375" customWidth="1"/>
    <col min="1796" max="1797" width="15.5703125" customWidth="1"/>
    <col min="1798" max="1798" width="11.28515625" customWidth="1"/>
    <col min="1799" max="1799" width="18.42578125" customWidth="1"/>
    <col min="1800" max="1800" width="20.7109375" customWidth="1"/>
    <col min="1801" max="1801" width="19.85546875" customWidth="1"/>
    <col min="1802" max="1804" width="16.5703125" customWidth="1"/>
    <col min="1805" max="1805" width="14.42578125" customWidth="1"/>
    <col min="1806" max="1807" width="0" hidden="1" customWidth="1"/>
    <col min="1808" max="1808" width="17" customWidth="1"/>
    <col min="2049" max="2049" width="8.85546875" customWidth="1"/>
    <col min="2050" max="2050" width="32.28515625" customWidth="1"/>
    <col min="2051" max="2051" width="18.7109375" customWidth="1"/>
    <col min="2052" max="2053" width="15.5703125" customWidth="1"/>
    <col min="2054" max="2054" width="11.28515625" customWidth="1"/>
    <col min="2055" max="2055" width="18.42578125" customWidth="1"/>
    <col min="2056" max="2056" width="20.7109375" customWidth="1"/>
    <col min="2057" max="2057" width="19.85546875" customWidth="1"/>
    <col min="2058" max="2060" width="16.5703125" customWidth="1"/>
    <col min="2061" max="2061" width="14.42578125" customWidth="1"/>
    <col min="2062" max="2063" width="0" hidden="1" customWidth="1"/>
    <col min="2064" max="2064" width="17" customWidth="1"/>
    <col min="2305" max="2305" width="8.85546875" customWidth="1"/>
    <col min="2306" max="2306" width="32.28515625" customWidth="1"/>
    <col min="2307" max="2307" width="18.7109375" customWidth="1"/>
    <col min="2308" max="2309" width="15.5703125" customWidth="1"/>
    <col min="2310" max="2310" width="11.28515625" customWidth="1"/>
    <col min="2311" max="2311" width="18.42578125" customWidth="1"/>
    <col min="2312" max="2312" width="20.7109375" customWidth="1"/>
    <col min="2313" max="2313" width="19.85546875" customWidth="1"/>
    <col min="2314" max="2316" width="16.5703125" customWidth="1"/>
    <col min="2317" max="2317" width="14.42578125" customWidth="1"/>
    <col min="2318" max="2319" width="0" hidden="1" customWidth="1"/>
    <col min="2320" max="2320" width="17" customWidth="1"/>
    <col min="2561" max="2561" width="8.85546875" customWidth="1"/>
    <col min="2562" max="2562" width="32.28515625" customWidth="1"/>
    <col min="2563" max="2563" width="18.7109375" customWidth="1"/>
    <col min="2564" max="2565" width="15.5703125" customWidth="1"/>
    <col min="2566" max="2566" width="11.28515625" customWidth="1"/>
    <col min="2567" max="2567" width="18.42578125" customWidth="1"/>
    <col min="2568" max="2568" width="20.7109375" customWidth="1"/>
    <col min="2569" max="2569" width="19.85546875" customWidth="1"/>
    <col min="2570" max="2572" width="16.5703125" customWidth="1"/>
    <col min="2573" max="2573" width="14.42578125" customWidth="1"/>
    <col min="2574" max="2575" width="0" hidden="1" customWidth="1"/>
    <col min="2576" max="2576" width="17" customWidth="1"/>
    <col min="2817" max="2817" width="8.85546875" customWidth="1"/>
    <col min="2818" max="2818" width="32.28515625" customWidth="1"/>
    <col min="2819" max="2819" width="18.7109375" customWidth="1"/>
    <col min="2820" max="2821" width="15.5703125" customWidth="1"/>
    <col min="2822" max="2822" width="11.28515625" customWidth="1"/>
    <col min="2823" max="2823" width="18.42578125" customWidth="1"/>
    <col min="2824" max="2824" width="20.7109375" customWidth="1"/>
    <col min="2825" max="2825" width="19.85546875" customWidth="1"/>
    <col min="2826" max="2828" width="16.5703125" customWidth="1"/>
    <col min="2829" max="2829" width="14.42578125" customWidth="1"/>
    <col min="2830" max="2831" width="0" hidden="1" customWidth="1"/>
    <col min="2832" max="2832" width="17" customWidth="1"/>
    <col min="3073" max="3073" width="8.85546875" customWidth="1"/>
    <col min="3074" max="3074" width="32.28515625" customWidth="1"/>
    <col min="3075" max="3075" width="18.7109375" customWidth="1"/>
    <col min="3076" max="3077" width="15.5703125" customWidth="1"/>
    <col min="3078" max="3078" width="11.28515625" customWidth="1"/>
    <col min="3079" max="3079" width="18.42578125" customWidth="1"/>
    <col min="3080" max="3080" width="20.7109375" customWidth="1"/>
    <col min="3081" max="3081" width="19.85546875" customWidth="1"/>
    <col min="3082" max="3084" width="16.5703125" customWidth="1"/>
    <col min="3085" max="3085" width="14.42578125" customWidth="1"/>
    <col min="3086" max="3087" width="0" hidden="1" customWidth="1"/>
    <col min="3088" max="3088" width="17" customWidth="1"/>
    <col min="3329" max="3329" width="8.85546875" customWidth="1"/>
    <col min="3330" max="3330" width="32.28515625" customWidth="1"/>
    <col min="3331" max="3331" width="18.7109375" customWidth="1"/>
    <col min="3332" max="3333" width="15.5703125" customWidth="1"/>
    <col min="3334" max="3334" width="11.28515625" customWidth="1"/>
    <col min="3335" max="3335" width="18.42578125" customWidth="1"/>
    <col min="3336" max="3336" width="20.7109375" customWidth="1"/>
    <col min="3337" max="3337" width="19.85546875" customWidth="1"/>
    <col min="3338" max="3340" width="16.5703125" customWidth="1"/>
    <col min="3341" max="3341" width="14.42578125" customWidth="1"/>
    <col min="3342" max="3343" width="0" hidden="1" customWidth="1"/>
    <col min="3344" max="3344" width="17" customWidth="1"/>
    <col min="3585" max="3585" width="8.85546875" customWidth="1"/>
    <col min="3586" max="3586" width="32.28515625" customWidth="1"/>
    <col min="3587" max="3587" width="18.7109375" customWidth="1"/>
    <col min="3588" max="3589" width="15.5703125" customWidth="1"/>
    <col min="3590" max="3590" width="11.28515625" customWidth="1"/>
    <col min="3591" max="3591" width="18.42578125" customWidth="1"/>
    <col min="3592" max="3592" width="20.7109375" customWidth="1"/>
    <col min="3593" max="3593" width="19.85546875" customWidth="1"/>
    <col min="3594" max="3596" width="16.5703125" customWidth="1"/>
    <col min="3597" max="3597" width="14.42578125" customWidth="1"/>
    <col min="3598" max="3599" width="0" hidden="1" customWidth="1"/>
    <col min="3600" max="3600" width="17" customWidth="1"/>
    <col min="3841" max="3841" width="8.85546875" customWidth="1"/>
    <col min="3842" max="3842" width="32.28515625" customWidth="1"/>
    <col min="3843" max="3843" width="18.7109375" customWidth="1"/>
    <col min="3844" max="3845" width="15.5703125" customWidth="1"/>
    <col min="3846" max="3846" width="11.28515625" customWidth="1"/>
    <col min="3847" max="3847" width="18.42578125" customWidth="1"/>
    <col min="3848" max="3848" width="20.7109375" customWidth="1"/>
    <col min="3849" max="3849" width="19.85546875" customWidth="1"/>
    <col min="3850" max="3852" width="16.5703125" customWidth="1"/>
    <col min="3853" max="3853" width="14.42578125" customWidth="1"/>
    <col min="3854" max="3855" width="0" hidden="1" customWidth="1"/>
    <col min="3856" max="3856" width="17" customWidth="1"/>
    <col min="4097" max="4097" width="8.85546875" customWidth="1"/>
    <col min="4098" max="4098" width="32.28515625" customWidth="1"/>
    <col min="4099" max="4099" width="18.7109375" customWidth="1"/>
    <col min="4100" max="4101" width="15.5703125" customWidth="1"/>
    <col min="4102" max="4102" width="11.28515625" customWidth="1"/>
    <col min="4103" max="4103" width="18.42578125" customWidth="1"/>
    <col min="4104" max="4104" width="20.7109375" customWidth="1"/>
    <col min="4105" max="4105" width="19.85546875" customWidth="1"/>
    <col min="4106" max="4108" width="16.5703125" customWidth="1"/>
    <col min="4109" max="4109" width="14.42578125" customWidth="1"/>
    <col min="4110" max="4111" width="0" hidden="1" customWidth="1"/>
    <col min="4112" max="4112" width="17" customWidth="1"/>
    <col min="4353" max="4353" width="8.85546875" customWidth="1"/>
    <col min="4354" max="4354" width="32.28515625" customWidth="1"/>
    <col min="4355" max="4355" width="18.7109375" customWidth="1"/>
    <col min="4356" max="4357" width="15.5703125" customWidth="1"/>
    <col min="4358" max="4358" width="11.28515625" customWidth="1"/>
    <col min="4359" max="4359" width="18.42578125" customWidth="1"/>
    <col min="4360" max="4360" width="20.7109375" customWidth="1"/>
    <col min="4361" max="4361" width="19.85546875" customWidth="1"/>
    <col min="4362" max="4364" width="16.5703125" customWidth="1"/>
    <col min="4365" max="4365" width="14.42578125" customWidth="1"/>
    <col min="4366" max="4367" width="0" hidden="1" customWidth="1"/>
    <col min="4368" max="4368" width="17" customWidth="1"/>
    <col min="4609" max="4609" width="8.85546875" customWidth="1"/>
    <col min="4610" max="4610" width="32.28515625" customWidth="1"/>
    <col min="4611" max="4611" width="18.7109375" customWidth="1"/>
    <col min="4612" max="4613" width="15.5703125" customWidth="1"/>
    <col min="4614" max="4614" width="11.28515625" customWidth="1"/>
    <col min="4615" max="4615" width="18.42578125" customWidth="1"/>
    <col min="4616" max="4616" width="20.7109375" customWidth="1"/>
    <col min="4617" max="4617" width="19.85546875" customWidth="1"/>
    <col min="4618" max="4620" width="16.5703125" customWidth="1"/>
    <col min="4621" max="4621" width="14.42578125" customWidth="1"/>
    <col min="4622" max="4623" width="0" hidden="1" customWidth="1"/>
    <col min="4624" max="4624" width="17" customWidth="1"/>
    <col min="4865" max="4865" width="8.85546875" customWidth="1"/>
    <col min="4866" max="4866" width="32.28515625" customWidth="1"/>
    <col min="4867" max="4867" width="18.7109375" customWidth="1"/>
    <col min="4868" max="4869" width="15.5703125" customWidth="1"/>
    <col min="4870" max="4870" width="11.28515625" customWidth="1"/>
    <col min="4871" max="4871" width="18.42578125" customWidth="1"/>
    <col min="4872" max="4872" width="20.7109375" customWidth="1"/>
    <col min="4873" max="4873" width="19.85546875" customWidth="1"/>
    <col min="4874" max="4876" width="16.5703125" customWidth="1"/>
    <col min="4877" max="4877" width="14.42578125" customWidth="1"/>
    <col min="4878" max="4879" width="0" hidden="1" customWidth="1"/>
    <col min="4880" max="4880" width="17" customWidth="1"/>
    <col min="5121" max="5121" width="8.85546875" customWidth="1"/>
    <col min="5122" max="5122" width="32.28515625" customWidth="1"/>
    <col min="5123" max="5123" width="18.7109375" customWidth="1"/>
    <col min="5124" max="5125" width="15.5703125" customWidth="1"/>
    <col min="5126" max="5126" width="11.28515625" customWidth="1"/>
    <col min="5127" max="5127" width="18.42578125" customWidth="1"/>
    <col min="5128" max="5128" width="20.7109375" customWidth="1"/>
    <col min="5129" max="5129" width="19.85546875" customWidth="1"/>
    <col min="5130" max="5132" width="16.5703125" customWidth="1"/>
    <col min="5133" max="5133" width="14.42578125" customWidth="1"/>
    <col min="5134" max="5135" width="0" hidden="1" customWidth="1"/>
    <col min="5136" max="5136" width="17" customWidth="1"/>
    <col min="5377" max="5377" width="8.85546875" customWidth="1"/>
    <col min="5378" max="5378" width="32.28515625" customWidth="1"/>
    <col min="5379" max="5379" width="18.7109375" customWidth="1"/>
    <col min="5380" max="5381" width="15.5703125" customWidth="1"/>
    <col min="5382" max="5382" width="11.28515625" customWidth="1"/>
    <col min="5383" max="5383" width="18.42578125" customWidth="1"/>
    <col min="5384" max="5384" width="20.7109375" customWidth="1"/>
    <col min="5385" max="5385" width="19.85546875" customWidth="1"/>
    <col min="5386" max="5388" width="16.5703125" customWidth="1"/>
    <col min="5389" max="5389" width="14.42578125" customWidth="1"/>
    <col min="5390" max="5391" width="0" hidden="1" customWidth="1"/>
    <col min="5392" max="5392" width="17" customWidth="1"/>
    <col min="5633" max="5633" width="8.85546875" customWidth="1"/>
    <col min="5634" max="5634" width="32.28515625" customWidth="1"/>
    <col min="5635" max="5635" width="18.7109375" customWidth="1"/>
    <col min="5636" max="5637" width="15.5703125" customWidth="1"/>
    <col min="5638" max="5638" width="11.28515625" customWidth="1"/>
    <col min="5639" max="5639" width="18.42578125" customWidth="1"/>
    <col min="5640" max="5640" width="20.7109375" customWidth="1"/>
    <col min="5641" max="5641" width="19.85546875" customWidth="1"/>
    <col min="5642" max="5644" width="16.5703125" customWidth="1"/>
    <col min="5645" max="5645" width="14.42578125" customWidth="1"/>
    <col min="5646" max="5647" width="0" hidden="1" customWidth="1"/>
    <col min="5648" max="5648" width="17" customWidth="1"/>
    <col min="5889" max="5889" width="8.85546875" customWidth="1"/>
    <col min="5890" max="5890" width="32.28515625" customWidth="1"/>
    <col min="5891" max="5891" width="18.7109375" customWidth="1"/>
    <col min="5892" max="5893" width="15.5703125" customWidth="1"/>
    <col min="5894" max="5894" width="11.28515625" customWidth="1"/>
    <col min="5895" max="5895" width="18.42578125" customWidth="1"/>
    <col min="5896" max="5896" width="20.7109375" customWidth="1"/>
    <col min="5897" max="5897" width="19.85546875" customWidth="1"/>
    <col min="5898" max="5900" width="16.5703125" customWidth="1"/>
    <col min="5901" max="5901" width="14.42578125" customWidth="1"/>
    <col min="5902" max="5903" width="0" hidden="1" customWidth="1"/>
    <col min="5904" max="5904" width="17" customWidth="1"/>
    <col min="6145" max="6145" width="8.85546875" customWidth="1"/>
    <col min="6146" max="6146" width="32.28515625" customWidth="1"/>
    <col min="6147" max="6147" width="18.7109375" customWidth="1"/>
    <col min="6148" max="6149" width="15.5703125" customWidth="1"/>
    <col min="6150" max="6150" width="11.28515625" customWidth="1"/>
    <col min="6151" max="6151" width="18.42578125" customWidth="1"/>
    <col min="6152" max="6152" width="20.7109375" customWidth="1"/>
    <col min="6153" max="6153" width="19.85546875" customWidth="1"/>
    <col min="6154" max="6156" width="16.5703125" customWidth="1"/>
    <col min="6157" max="6157" width="14.42578125" customWidth="1"/>
    <col min="6158" max="6159" width="0" hidden="1" customWidth="1"/>
    <col min="6160" max="6160" width="17" customWidth="1"/>
    <col min="6401" max="6401" width="8.85546875" customWidth="1"/>
    <col min="6402" max="6402" width="32.28515625" customWidth="1"/>
    <col min="6403" max="6403" width="18.7109375" customWidth="1"/>
    <col min="6404" max="6405" width="15.5703125" customWidth="1"/>
    <col min="6406" max="6406" width="11.28515625" customWidth="1"/>
    <col min="6407" max="6407" width="18.42578125" customWidth="1"/>
    <col min="6408" max="6408" width="20.7109375" customWidth="1"/>
    <col min="6409" max="6409" width="19.85546875" customWidth="1"/>
    <col min="6410" max="6412" width="16.5703125" customWidth="1"/>
    <col min="6413" max="6413" width="14.42578125" customWidth="1"/>
    <col min="6414" max="6415" width="0" hidden="1" customWidth="1"/>
    <col min="6416" max="6416" width="17" customWidth="1"/>
    <col min="6657" max="6657" width="8.85546875" customWidth="1"/>
    <col min="6658" max="6658" width="32.28515625" customWidth="1"/>
    <col min="6659" max="6659" width="18.7109375" customWidth="1"/>
    <col min="6660" max="6661" width="15.5703125" customWidth="1"/>
    <col min="6662" max="6662" width="11.28515625" customWidth="1"/>
    <col min="6663" max="6663" width="18.42578125" customWidth="1"/>
    <col min="6664" max="6664" width="20.7109375" customWidth="1"/>
    <col min="6665" max="6665" width="19.85546875" customWidth="1"/>
    <col min="6666" max="6668" width="16.5703125" customWidth="1"/>
    <col min="6669" max="6669" width="14.42578125" customWidth="1"/>
    <col min="6670" max="6671" width="0" hidden="1" customWidth="1"/>
    <col min="6672" max="6672" width="17" customWidth="1"/>
    <col min="6913" max="6913" width="8.85546875" customWidth="1"/>
    <col min="6914" max="6914" width="32.28515625" customWidth="1"/>
    <col min="6915" max="6915" width="18.7109375" customWidth="1"/>
    <col min="6916" max="6917" width="15.5703125" customWidth="1"/>
    <col min="6918" max="6918" width="11.28515625" customWidth="1"/>
    <col min="6919" max="6919" width="18.42578125" customWidth="1"/>
    <col min="6920" max="6920" width="20.7109375" customWidth="1"/>
    <col min="6921" max="6921" width="19.85546875" customWidth="1"/>
    <col min="6922" max="6924" width="16.5703125" customWidth="1"/>
    <col min="6925" max="6925" width="14.42578125" customWidth="1"/>
    <col min="6926" max="6927" width="0" hidden="1" customWidth="1"/>
    <col min="6928" max="6928" width="17" customWidth="1"/>
    <col min="7169" max="7169" width="8.85546875" customWidth="1"/>
    <col min="7170" max="7170" width="32.28515625" customWidth="1"/>
    <col min="7171" max="7171" width="18.7109375" customWidth="1"/>
    <col min="7172" max="7173" width="15.5703125" customWidth="1"/>
    <col min="7174" max="7174" width="11.28515625" customWidth="1"/>
    <col min="7175" max="7175" width="18.42578125" customWidth="1"/>
    <col min="7176" max="7176" width="20.7109375" customWidth="1"/>
    <col min="7177" max="7177" width="19.85546875" customWidth="1"/>
    <col min="7178" max="7180" width="16.5703125" customWidth="1"/>
    <col min="7181" max="7181" width="14.42578125" customWidth="1"/>
    <col min="7182" max="7183" width="0" hidden="1" customWidth="1"/>
    <col min="7184" max="7184" width="17" customWidth="1"/>
    <col min="7425" max="7425" width="8.85546875" customWidth="1"/>
    <col min="7426" max="7426" width="32.28515625" customWidth="1"/>
    <col min="7427" max="7427" width="18.7109375" customWidth="1"/>
    <col min="7428" max="7429" width="15.5703125" customWidth="1"/>
    <col min="7430" max="7430" width="11.28515625" customWidth="1"/>
    <col min="7431" max="7431" width="18.42578125" customWidth="1"/>
    <col min="7432" max="7432" width="20.7109375" customWidth="1"/>
    <col min="7433" max="7433" width="19.85546875" customWidth="1"/>
    <col min="7434" max="7436" width="16.5703125" customWidth="1"/>
    <col min="7437" max="7437" width="14.42578125" customWidth="1"/>
    <col min="7438" max="7439" width="0" hidden="1" customWidth="1"/>
    <col min="7440" max="7440" width="17" customWidth="1"/>
    <col min="7681" max="7681" width="8.85546875" customWidth="1"/>
    <col min="7682" max="7682" width="32.28515625" customWidth="1"/>
    <col min="7683" max="7683" width="18.7109375" customWidth="1"/>
    <col min="7684" max="7685" width="15.5703125" customWidth="1"/>
    <col min="7686" max="7686" width="11.28515625" customWidth="1"/>
    <col min="7687" max="7687" width="18.42578125" customWidth="1"/>
    <col min="7688" max="7688" width="20.7109375" customWidth="1"/>
    <col min="7689" max="7689" width="19.85546875" customWidth="1"/>
    <col min="7690" max="7692" width="16.5703125" customWidth="1"/>
    <col min="7693" max="7693" width="14.42578125" customWidth="1"/>
    <col min="7694" max="7695" width="0" hidden="1" customWidth="1"/>
    <col min="7696" max="7696" width="17" customWidth="1"/>
    <col min="7937" max="7937" width="8.85546875" customWidth="1"/>
    <col min="7938" max="7938" width="32.28515625" customWidth="1"/>
    <col min="7939" max="7939" width="18.7109375" customWidth="1"/>
    <col min="7940" max="7941" width="15.5703125" customWidth="1"/>
    <col min="7942" max="7942" width="11.28515625" customWidth="1"/>
    <col min="7943" max="7943" width="18.42578125" customWidth="1"/>
    <col min="7944" max="7944" width="20.7109375" customWidth="1"/>
    <col min="7945" max="7945" width="19.85546875" customWidth="1"/>
    <col min="7946" max="7948" width="16.5703125" customWidth="1"/>
    <col min="7949" max="7949" width="14.42578125" customWidth="1"/>
    <col min="7950" max="7951" width="0" hidden="1" customWidth="1"/>
    <col min="7952" max="7952" width="17" customWidth="1"/>
    <col min="8193" max="8193" width="8.85546875" customWidth="1"/>
    <col min="8194" max="8194" width="32.28515625" customWidth="1"/>
    <col min="8195" max="8195" width="18.7109375" customWidth="1"/>
    <col min="8196" max="8197" width="15.5703125" customWidth="1"/>
    <col min="8198" max="8198" width="11.28515625" customWidth="1"/>
    <col min="8199" max="8199" width="18.42578125" customWidth="1"/>
    <col min="8200" max="8200" width="20.7109375" customWidth="1"/>
    <col min="8201" max="8201" width="19.85546875" customWidth="1"/>
    <col min="8202" max="8204" width="16.5703125" customWidth="1"/>
    <col min="8205" max="8205" width="14.42578125" customWidth="1"/>
    <col min="8206" max="8207" width="0" hidden="1" customWidth="1"/>
    <col min="8208" max="8208" width="17" customWidth="1"/>
    <col min="8449" max="8449" width="8.85546875" customWidth="1"/>
    <col min="8450" max="8450" width="32.28515625" customWidth="1"/>
    <col min="8451" max="8451" width="18.7109375" customWidth="1"/>
    <col min="8452" max="8453" width="15.5703125" customWidth="1"/>
    <col min="8454" max="8454" width="11.28515625" customWidth="1"/>
    <col min="8455" max="8455" width="18.42578125" customWidth="1"/>
    <col min="8456" max="8456" width="20.7109375" customWidth="1"/>
    <col min="8457" max="8457" width="19.85546875" customWidth="1"/>
    <col min="8458" max="8460" width="16.5703125" customWidth="1"/>
    <col min="8461" max="8461" width="14.42578125" customWidth="1"/>
    <col min="8462" max="8463" width="0" hidden="1" customWidth="1"/>
    <col min="8464" max="8464" width="17" customWidth="1"/>
    <col min="8705" max="8705" width="8.85546875" customWidth="1"/>
    <col min="8706" max="8706" width="32.28515625" customWidth="1"/>
    <col min="8707" max="8707" width="18.7109375" customWidth="1"/>
    <col min="8708" max="8709" width="15.5703125" customWidth="1"/>
    <col min="8710" max="8710" width="11.28515625" customWidth="1"/>
    <col min="8711" max="8711" width="18.42578125" customWidth="1"/>
    <col min="8712" max="8712" width="20.7109375" customWidth="1"/>
    <col min="8713" max="8713" width="19.85546875" customWidth="1"/>
    <col min="8714" max="8716" width="16.5703125" customWidth="1"/>
    <col min="8717" max="8717" width="14.42578125" customWidth="1"/>
    <col min="8718" max="8719" width="0" hidden="1" customWidth="1"/>
    <col min="8720" max="8720" width="17" customWidth="1"/>
    <col min="8961" max="8961" width="8.85546875" customWidth="1"/>
    <col min="8962" max="8962" width="32.28515625" customWidth="1"/>
    <col min="8963" max="8963" width="18.7109375" customWidth="1"/>
    <col min="8964" max="8965" width="15.5703125" customWidth="1"/>
    <col min="8966" max="8966" width="11.28515625" customWidth="1"/>
    <col min="8967" max="8967" width="18.42578125" customWidth="1"/>
    <col min="8968" max="8968" width="20.7109375" customWidth="1"/>
    <col min="8969" max="8969" width="19.85546875" customWidth="1"/>
    <col min="8970" max="8972" width="16.5703125" customWidth="1"/>
    <col min="8973" max="8973" width="14.42578125" customWidth="1"/>
    <col min="8974" max="8975" width="0" hidden="1" customWidth="1"/>
    <col min="8976" max="8976" width="17" customWidth="1"/>
    <col min="9217" max="9217" width="8.85546875" customWidth="1"/>
    <col min="9218" max="9218" width="32.28515625" customWidth="1"/>
    <col min="9219" max="9219" width="18.7109375" customWidth="1"/>
    <col min="9220" max="9221" width="15.5703125" customWidth="1"/>
    <col min="9222" max="9222" width="11.28515625" customWidth="1"/>
    <col min="9223" max="9223" width="18.42578125" customWidth="1"/>
    <col min="9224" max="9224" width="20.7109375" customWidth="1"/>
    <col min="9225" max="9225" width="19.85546875" customWidth="1"/>
    <col min="9226" max="9228" width="16.5703125" customWidth="1"/>
    <col min="9229" max="9229" width="14.42578125" customWidth="1"/>
    <col min="9230" max="9231" width="0" hidden="1" customWidth="1"/>
    <col min="9232" max="9232" width="17" customWidth="1"/>
    <col min="9473" max="9473" width="8.85546875" customWidth="1"/>
    <col min="9474" max="9474" width="32.28515625" customWidth="1"/>
    <col min="9475" max="9475" width="18.7109375" customWidth="1"/>
    <col min="9476" max="9477" width="15.5703125" customWidth="1"/>
    <col min="9478" max="9478" width="11.28515625" customWidth="1"/>
    <col min="9479" max="9479" width="18.42578125" customWidth="1"/>
    <col min="9480" max="9480" width="20.7109375" customWidth="1"/>
    <col min="9481" max="9481" width="19.85546875" customWidth="1"/>
    <col min="9482" max="9484" width="16.5703125" customWidth="1"/>
    <col min="9485" max="9485" width="14.42578125" customWidth="1"/>
    <col min="9486" max="9487" width="0" hidden="1" customWidth="1"/>
    <col min="9488" max="9488" width="17" customWidth="1"/>
    <col min="9729" max="9729" width="8.85546875" customWidth="1"/>
    <col min="9730" max="9730" width="32.28515625" customWidth="1"/>
    <col min="9731" max="9731" width="18.7109375" customWidth="1"/>
    <col min="9732" max="9733" width="15.5703125" customWidth="1"/>
    <col min="9734" max="9734" width="11.28515625" customWidth="1"/>
    <col min="9735" max="9735" width="18.42578125" customWidth="1"/>
    <col min="9736" max="9736" width="20.7109375" customWidth="1"/>
    <col min="9737" max="9737" width="19.85546875" customWidth="1"/>
    <col min="9738" max="9740" width="16.5703125" customWidth="1"/>
    <col min="9741" max="9741" width="14.42578125" customWidth="1"/>
    <col min="9742" max="9743" width="0" hidden="1" customWidth="1"/>
    <col min="9744" max="9744" width="17" customWidth="1"/>
    <col min="9985" max="9985" width="8.85546875" customWidth="1"/>
    <col min="9986" max="9986" width="32.28515625" customWidth="1"/>
    <col min="9987" max="9987" width="18.7109375" customWidth="1"/>
    <col min="9988" max="9989" width="15.5703125" customWidth="1"/>
    <col min="9990" max="9990" width="11.28515625" customWidth="1"/>
    <col min="9991" max="9991" width="18.42578125" customWidth="1"/>
    <col min="9992" max="9992" width="20.7109375" customWidth="1"/>
    <col min="9993" max="9993" width="19.85546875" customWidth="1"/>
    <col min="9994" max="9996" width="16.5703125" customWidth="1"/>
    <col min="9997" max="9997" width="14.42578125" customWidth="1"/>
    <col min="9998" max="9999" width="0" hidden="1" customWidth="1"/>
    <col min="10000" max="10000" width="17" customWidth="1"/>
    <col min="10241" max="10241" width="8.85546875" customWidth="1"/>
    <col min="10242" max="10242" width="32.28515625" customWidth="1"/>
    <col min="10243" max="10243" width="18.7109375" customWidth="1"/>
    <col min="10244" max="10245" width="15.5703125" customWidth="1"/>
    <col min="10246" max="10246" width="11.28515625" customWidth="1"/>
    <col min="10247" max="10247" width="18.42578125" customWidth="1"/>
    <col min="10248" max="10248" width="20.7109375" customWidth="1"/>
    <col min="10249" max="10249" width="19.85546875" customWidth="1"/>
    <col min="10250" max="10252" width="16.5703125" customWidth="1"/>
    <col min="10253" max="10253" width="14.42578125" customWidth="1"/>
    <col min="10254" max="10255" width="0" hidden="1" customWidth="1"/>
    <col min="10256" max="10256" width="17" customWidth="1"/>
    <col min="10497" max="10497" width="8.85546875" customWidth="1"/>
    <col min="10498" max="10498" width="32.28515625" customWidth="1"/>
    <col min="10499" max="10499" width="18.7109375" customWidth="1"/>
    <col min="10500" max="10501" width="15.5703125" customWidth="1"/>
    <col min="10502" max="10502" width="11.28515625" customWidth="1"/>
    <col min="10503" max="10503" width="18.42578125" customWidth="1"/>
    <col min="10504" max="10504" width="20.7109375" customWidth="1"/>
    <col min="10505" max="10505" width="19.85546875" customWidth="1"/>
    <col min="10506" max="10508" width="16.5703125" customWidth="1"/>
    <col min="10509" max="10509" width="14.42578125" customWidth="1"/>
    <col min="10510" max="10511" width="0" hidden="1" customWidth="1"/>
    <col min="10512" max="10512" width="17" customWidth="1"/>
    <col min="10753" max="10753" width="8.85546875" customWidth="1"/>
    <col min="10754" max="10754" width="32.28515625" customWidth="1"/>
    <col min="10755" max="10755" width="18.7109375" customWidth="1"/>
    <col min="10756" max="10757" width="15.5703125" customWidth="1"/>
    <col min="10758" max="10758" width="11.28515625" customWidth="1"/>
    <col min="10759" max="10759" width="18.42578125" customWidth="1"/>
    <col min="10760" max="10760" width="20.7109375" customWidth="1"/>
    <col min="10761" max="10761" width="19.85546875" customWidth="1"/>
    <col min="10762" max="10764" width="16.5703125" customWidth="1"/>
    <col min="10765" max="10765" width="14.42578125" customWidth="1"/>
    <col min="10766" max="10767" width="0" hidden="1" customWidth="1"/>
    <col min="10768" max="10768" width="17" customWidth="1"/>
    <col min="11009" max="11009" width="8.85546875" customWidth="1"/>
    <col min="11010" max="11010" width="32.28515625" customWidth="1"/>
    <col min="11011" max="11011" width="18.7109375" customWidth="1"/>
    <col min="11012" max="11013" width="15.5703125" customWidth="1"/>
    <col min="11014" max="11014" width="11.28515625" customWidth="1"/>
    <col min="11015" max="11015" width="18.42578125" customWidth="1"/>
    <col min="11016" max="11016" width="20.7109375" customWidth="1"/>
    <col min="11017" max="11017" width="19.85546875" customWidth="1"/>
    <col min="11018" max="11020" width="16.5703125" customWidth="1"/>
    <col min="11021" max="11021" width="14.42578125" customWidth="1"/>
    <col min="11022" max="11023" width="0" hidden="1" customWidth="1"/>
    <col min="11024" max="11024" width="17" customWidth="1"/>
    <col min="11265" max="11265" width="8.85546875" customWidth="1"/>
    <col min="11266" max="11266" width="32.28515625" customWidth="1"/>
    <col min="11267" max="11267" width="18.7109375" customWidth="1"/>
    <col min="11268" max="11269" width="15.5703125" customWidth="1"/>
    <col min="11270" max="11270" width="11.28515625" customWidth="1"/>
    <col min="11271" max="11271" width="18.42578125" customWidth="1"/>
    <col min="11272" max="11272" width="20.7109375" customWidth="1"/>
    <col min="11273" max="11273" width="19.85546875" customWidth="1"/>
    <col min="11274" max="11276" width="16.5703125" customWidth="1"/>
    <col min="11277" max="11277" width="14.42578125" customWidth="1"/>
    <col min="11278" max="11279" width="0" hidden="1" customWidth="1"/>
    <col min="11280" max="11280" width="17" customWidth="1"/>
    <col min="11521" max="11521" width="8.85546875" customWidth="1"/>
    <col min="11522" max="11522" width="32.28515625" customWidth="1"/>
    <col min="11523" max="11523" width="18.7109375" customWidth="1"/>
    <col min="11524" max="11525" width="15.5703125" customWidth="1"/>
    <col min="11526" max="11526" width="11.28515625" customWidth="1"/>
    <col min="11527" max="11527" width="18.42578125" customWidth="1"/>
    <col min="11528" max="11528" width="20.7109375" customWidth="1"/>
    <col min="11529" max="11529" width="19.85546875" customWidth="1"/>
    <col min="11530" max="11532" width="16.5703125" customWidth="1"/>
    <col min="11533" max="11533" width="14.42578125" customWidth="1"/>
    <col min="11534" max="11535" width="0" hidden="1" customWidth="1"/>
    <col min="11536" max="11536" width="17" customWidth="1"/>
    <col min="11777" max="11777" width="8.85546875" customWidth="1"/>
    <col min="11778" max="11778" width="32.28515625" customWidth="1"/>
    <col min="11779" max="11779" width="18.7109375" customWidth="1"/>
    <col min="11780" max="11781" width="15.5703125" customWidth="1"/>
    <col min="11782" max="11782" width="11.28515625" customWidth="1"/>
    <col min="11783" max="11783" width="18.42578125" customWidth="1"/>
    <col min="11784" max="11784" width="20.7109375" customWidth="1"/>
    <col min="11785" max="11785" width="19.85546875" customWidth="1"/>
    <col min="11786" max="11788" width="16.5703125" customWidth="1"/>
    <col min="11789" max="11789" width="14.42578125" customWidth="1"/>
    <col min="11790" max="11791" width="0" hidden="1" customWidth="1"/>
    <col min="11792" max="11792" width="17" customWidth="1"/>
    <col min="12033" max="12033" width="8.85546875" customWidth="1"/>
    <col min="12034" max="12034" width="32.28515625" customWidth="1"/>
    <col min="12035" max="12035" width="18.7109375" customWidth="1"/>
    <col min="12036" max="12037" width="15.5703125" customWidth="1"/>
    <col min="12038" max="12038" width="11.28515625" customWidth="1"/>
    <col min="12039" max="12039" width="18.42578125" customWidth="1"/>
    <col min="12040" max="12040" width="20.7109375" customWidth="1"/>
    <col min="12041" max="12041" width="19.85546875" customWidth="1"/>
    <col min="12042" max="12044" width="16.5703125" customWidth="1"/>
    <col min="12045" max="12045" width="14.42578125" customWidth="1"/>
    <col min="12046" max="12047" width="0" hidden="1" customWidth="1"/>
    <col min="12048" max="12048" width="17" customWidth="1"/>
    <col min="12289" max="12289" width="8.85546875" customWidth="1"/>
    <col min="12290" max="12290" width="32.28515625" customWidth="1"/>
    <col min="12291" max="12291" width="18.7109375" customWidth="1"/>
    <col min="12292" max="12293" width="15.5703125" customWidth="1"/>
    <col min="12294" max="12294" width="11.28515625" customWidth="1"/>
    <col min="12295" max="12295" width="18.42578125" customWidth="1"/>
    <col min="12296" max="12296" width="20.7109375" customWidth="1"/>
    <col min="12297" max="12297" width="19.85546875" customWidth="1"/>
    <col min="12298" max="12300" width="16.5703125" customWidth="1"/>
    <col min="12301" max="12301" width="14.42578125" customWidth="1"/>
    <col min="12302" max="12303" width="0" hidden="1" customWidth="1"/>
    <col min="12304" max="12304" width="17" customWidth="1"/>
    <col min="12545" max="12545" width="8.85546875" customWidth="1"/>
    <col min="12546" max="12546" width="32.28515625" customWidth="1"/>
    <col min="12547" max="12547" width="18.7109375" customWidth="1"/>
    <col min="12548" max="12549" width="15.5703125" customWidth="1"/>
    <col min="12550" max="12550" width="11.28515625" customWidth="1"/>
    <col min="12551" max="12551" width="18.42578125" customWidth="1"/>
    <col min="12552" max="12552" width="20.7109375" customWidth="1"/>
    <col min="12553" max="12553" width="19.85546875" customWidth="1"/>
    <col min="12554" max="12556" width="16.5703125" customWidth="1"/>
    <col min="12557" max="12557" width="14.42578125" customWidth="1"/>
    <col min="12558" max="12559" width="0" hidden="1" customWidth="1"/>
    <col min="12560" max="12560" width="17" customWidth="1"/>
    <col min="12801" max="12801" width="8.85546875" customWidth="1"/>
    <col min="12802" max="12802" width="32.28515625" customWidth="1"/>
    <col min="12803" max="12803" width="18.7109375" customWidth="1"/>
    <col min="12804" max="12805" width="15.5703125" customWidth="1"/>
    <col min="12806" max="12806" width="11.28515625" customWidth="1"/>
    <col min="12807" max="12807" width="18.42578125" customWidth="1"/>
    <col min="12808" max="12808" width="20.7109375" customWidth="1"/>
    <col min="12809" max="12809" width="19.85546875" customWidth="1"/>
    <col min="12810" max="12812" width="16.5703125" customWidth="1"/>
    <col min="12813" max="12813" width="14.42578125" customWidth="1"/>
    <col min="12814" max="12815" width="0" hidden="1" customWidth="1"/>
    <col min="12816" max="12816" width="17" customWidth="1"/>
    <col min="13057" max="13057" width="8.85546875" customWidth="1"/>
    <col min="13058" max="13058" width="32.28515625" customWidth="1"/>
    <col min="13059" max="13059" width="18.7109375" customWidth="1"/>
    <col min="13060" max="13061" width="15.5703125" customWidth="1"/>
    <col min="13062" max="13062" width="11.28515625" customWidth="1"/>
    <col min="13063" max="13063" width="18.42578125" customWidth="1"/>
    <col min="13064" max="13064" width="20.7109375" customWidth="1"/>
    <col min="13065" max="13065" width="19.85546875" customWidth="1"/>
    <col min="13066" max="13068" width="16.5703125" customWidth="1"/>
    <col min="13069" max="13069" width="14.42578125" customWidth="1"/>
    <col min="13070" max="13071" width="0" hidden="1" customWidth="1"/>
    <col min="13072" max="13072" width="17" customWidth="1"/>
    <col min="13313" max="13313" width="8.85546875" customWidth="1"/>
    <col min="13314" max="13314" width="32.28515625" customWidth="1"/>
    <col min="13315" max="13315" width="18.7109375" customWidth="1"/>
    <col min="13316" max="13317" width="15.5703125" customWidth="1"/>
    <col min="13318" max="13318" width="11.28515625" customWidth="1"/>
    <col min="13319" max="13319" width="18.42578125" customWidth="1"/>
    <col min="13320" max="13320" width="20.7109375" customWidth="1"/>
    <col min="13321" max="13321" width="19.85546875" customWidth="1"/>
    <col min="13322" max="13324" width="16.5703125" customWidth="1"/>
    <col min="13325" max="13325" width="14.42578125" customWidth="1"/>
    <col min="13326" max="13327" width="0" hidden="1" customWidth="1"/>
    <col min="13328" max="13328" width="17" customWidth="1"/>
    <col min="13569" max="13569" width="8.85546875" customWidth="1"/>
    <col min="13570" max="13570" width="32.28515625" customWidth="1"/>
    <col min="13571" max="13571" width="18.7109375" customWidth="1"/>
    <col min="13572" max="13573" width="15.5703125" customWidth="1"/>
    <col min="13574" max="13574" width="11.28515625" customWidth="1"/>
    <col min="13575" max="13575" width="18.42578125" customWidth="1"/>
    <col min="13576" max="13576" width="20.7109375" customWidth="1"/>
    <col min="13577" max="13577" width="19.85546875" customWidth="1"/>
    <col min="13578" max="13580" width="16.5703125" customWidth="1"/>
    <col min="13581" max="13581" width="14.42578125" customWidth="1"/>
    <col min="13582" max="13583" width="0" hidden="1" customWidth="1"/>
    <col min="13584" max="13584" width="17" customWidth="1"/>
    <col min="13825" max="13825" width="8.85546875" customWidth="1"/>
    <col min="13826" max="13826" width="32.28515625" customWidth="1"/>
    <col min="13827" max="13827" width="18.7109375" customWidth="1"/>
    <col min="13828" max="13829" width="15.5703125" customWidth="1"/>
    <col min="13830" max="13830" width="11.28515625" customWidth="1"/>
    <col min="13831" max="13831" width="18.42578125" customWidth="1"/>
    <col min="13832" max="13832" width="20.7109375" customWidth="1"/>
    <col min="13833" max="13833" width="19.85546875" customWidth="1"/>
    <col min="13834" max="13836" width="16.5703125" customWidth="1"/>
    <col min="13837" max="13837" width="14.42578125" customWidth="1"/>
    <col min="13838" max="13839" width="0" hidden="1" customWidth="1"/>
    <col min="13840" max="13840" width="17" customWidth="1"/>
    <col min="14081" max="14081" width="8.85546875" customWidth="1"/>
    <col min="14082" max="14082" width="32.28515625" customWidth="1"/>
    <col min="14083" max="14083" width="18.7109375" customWidth="1"/>
    <col min="14084" max="14085" width="15.5703125" customWidth="1"/>
    <col min="14086" max="14086" width="11.28515625" customWidth="1"/>
    <col min="14087" max="14087" width="18.42578125" customWidth="1"/>
    <col min="14088" max="14088" width="20.7109375" customWidth="1"/>
    <col min="14089" max="14089" width="19.85546875" customWidth="1"/>
    <col min="14090" max="14092" width="16.5703125" customWidth="1"/>
    <col min="14093" max="14093" width="14.42578125" customWidth="1"/>
    <col min="14094" max="14095" width="0" hidden="1" customWidth="1"/>
    <col min="14096" max="14096" width="17" customWidth="1"/>
    <col min="14337" max="14337" width="8.85546875" customWidth="1"/>
    <col min="14338" max="14338" width="32.28515625" customWidth="1"/>
    <col min="14339" max="14339" width="18.7109375" customWidth="1"/>
    <col min="14340" max="14341" width="15.5703125" customWidth="1"/>
    <col min="14342" max="14342" width="11.28515625" customWidth="1"/>
    <col min="14343" max="14343" width="18.42578125" customWidth="1"/>
    <col min="14344" max="14344" width="20.7109375" customWidth="1"/>
    <col min="14345" max="14345" width="19.85546875" customWidth="1"/>
    <col min="14346" max="14348" width="16.5703125" customWidth="1"/>
    <col min="14349" max="14349" width="14.42578125" customWidth="1"/>
    <col min="14350" max="14351" width="0" hidden="1" customWidth="1"/>
    <col min="14352" max="14352" width="17" customWidth="1"/>
    <col min="14593" max="14593" width="8.85546875" customWidth="1"/>
    <col min="14594" max="14594" width="32.28515625" customWidth="1"/>
    <col min="14595" max="14595" width="18.7109375" customWidth="1"/>
    <col min="14596" max="14597" width="15.5703125" customWidth="1"/>
    <col min="14598" max="14598" width="11.28515625" customWidth="1"/>
    <col min="14599" max="14599" width="18.42578125" customWidth="1"/>
    <col min="14600" max="14600" width="20.7109375" customWidth="1"/>
    <col min="14601" max="14601" width="19.85546875" customWidth="1"/>
    <col min="14602" max="14604" width="16.5703125" customWidth="1"/>
    <col min="14605" max="14605" width="14.42578125" customWidth="1"/>
    <col min="14606" max="14607" width="0" hidden="1" customWidth="1"/>
    <col min="14608" max="14608" width="17" customWidth="1"/>
    <col min="14849" max="14849" width="8.85546875" customWidth="1"/>
    <col min="14850" max="14850" width="32.28515625" customWidth="1"/>
    <col min="14851" max="14851" width="18.7109375" customWidth="1"/>
    <col min="14852" max="14853" width="15.5703125" customWidth="1"/>
    <col min="14854" max="14854" width="11.28515625" customWidth="1"/>
    <col min="14855" max="14855" width="18.42578125" customWidth="1"/>
    <col min="14856" max="14856" width="20.7109375" customWidth="1"/>
    <col min="14857" max="14857" width="19.85546875" customWidth="1"/>
    <col min="14858" max="14860" width="16.5703125" customWidth="1"/>
    <col min="14861" max="14861" width="14.42578125" customWidth="1"/>
    <col min="14862" max="14863" width="0" hidden="1" customWidth="1"/>
    <col min="14864" max="14864" width="17" customWidth="1"/>
    <col min="15105" max="15105" width="8.85546875" customWidth="1"/>
    <col min="15106" max="15106" width="32.28515625" customWidth="1"/>
    <col min="15107" max="15107" width="18.7109375" customWidth="1"/>
    <col min="15108" max="15109" width="15.5703125" customWidth="1"/>
    <col min="15110" max="15110" width="11.28515625" customWidth="1"/>
    <col min="15111" max="15111" width="18.42578125" customWidth="1"/>
    <col min="15112" max="15112" width="20.7109375" customWidth="1"/>
    <col min="15113" max="15113" width="19.85546875" customWidth="1"/>
    <col min="15114" max="15116" width="16.5703125" customWidth="1"/>
    <col min="15117" max="15117" width="14.42578125" customWidth="1"/>
    <col min="15118" max="15119" width="0" hidden="1" customWidth="1"/>
    <col min="15120" max="15120" width="17" customWidth="1"/>
    <col min="15361" max="15361" width="8.85546875" customWidth="1"/>
    <col min="15362" max="15362" width="32.28515625" customWidth="1"/>
    <col min="15363" max="15363" width="18.7109375" customWidth="1"/>
    <col min="15364" max="15365" width="15.5703125" customWidth="1"/>
    <col min="15366" max="15366" width="11.28515625" customWidth="1"/>
    <col min="15367" max="15367" width="18.42578125" customWidth="1"/>
    <col min="15368" max="15368" width="20.7109375" customWidth="1"/>
    <col min="15369" max="15369" width="19.85546875" customWidth="1"/>
    <col min="15370" max="15372" width="16.5703125" customWidth="1"/>
    <col min="15373" max="15373" width="14.42578125" customWidth="1"/>
    <col min="15374" max="15375" width="0" hidden="1" customWidth="1"/>
    <col min="15376" max="15376" width="17" customWidth="1"/>
    <col min="15617" max="15617" width="8.85546875" customWidth="1"/>
    <col min="15618" max="15618" width="32.28515625" customWidth="1"/>
    <col min="15619" max="15619" width="18.7109375" customWidth="1"/>
    <col min="15620" max="15621" width="15.5703125" customWidth="1"/>
    <col min="15622" max="15622" width="11.28515625" customWidth="1"/>
    <col min="15623" max="15623" width="18.42578125" customWidth="1"/>
    <col min="15624" max="15624" width="20.7109375" customWidth="1"/>
    <col min="15625" max="15625" width="19.85546875" customWidth="1"/>
    <col min="15626" max="15628" width="16.5703125" customWidth="1"/>
    <col min="15629" max="15629" width="14.42578125" customWidth="1"/>
    <col min="15630" max="15631" width="0" hidden="1" customWidth="1"/>
    <col min="15632" max="15632" width="17" customWidth="1"/>
    <col min="15873" max="15873" width="8.85546875" customWidth="1"/>
    <col min="15874" max="15874" width="32.28515625" customWidth="1"/>
    <col min="15875" max="15875" width="18.7109375" customWidth="1"/>
    <col min="15876" max="15877" width="15.5703125" customWidth="1"/>
    <col min="15878" max="15878" width="11.28515625" customWidth="1"/>
    <col min="15879" max="15879" width="18.42578125" customWidth="1"/>
    <col min="15880" max="15880" width="20.7109375" customWidth="1"/>
    <col min="15881" max="15881" width="19.85546875" customWidth="1"/>
    <col min="15882" max="15884" width="16.5703125" customWidth="1"/>
    <col min="15885" max="15885" width="14.42578125" customWidth="1"/>
    <col min="15886" max="15887" width="0" hidden="1" customWidth="1"/>
    <col min="15888" max="15888" width="17" customWidth="1"/>
    <col min="16129" max="16129" width="8.85546875" customWidth="1"/>
    <col min="16130" max="16130" width="32.28515625" customWidth="1"/>
    <col min="16131" max="16131" width="18.7109375" customWidth="1"/>
    <col min="16132" max="16133" width="15.5703125" customWidth="1"/>
    <col min="16134" max="16134" width="11.28515625" customWidth="1"/>
    <col min="16135" max="16135" width="18.42578125" customWidth="1"/>
    <col min="16136" max="16136" width="20.7109375" customWidth="1"/>
    <col min="16137" max="16137" width="19.85546875" customWidth="1"/>
    <col min="16138" max="16140" width="16.5703125" customWidth="1"/>
    <col min="16141" max="16141" width="14.42578125" customWidth="1"/>
    <col min="16142" max="16143" width="0" hidden="1" customWidth="1"/>
    <col min="16144" max="16144" width="17" customWidth="1"/>
  </cols>
  <sheetData>
    <row r="2" spans="1:16" ht="18" x14ac:dyDescent="0.25">
      <c r="B2" s="236" t="s">
        <v>229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4" spans="1:16" ht="12.75" customHeight="1" x14ac:dyDescent="0.25">
      <c r="A4" s="229" t="s">
        <v>97</v>
      </c>
      <c r="B4" s="229" t="s">
        <v>196</v>
      </c>
      <c r="C4" s="135"/>
      <c r="D4" s="237" t="s">
        <v>197</v>
      </c>
      <c r="E4" s="237"/>
      <c r="F4" s="237"/>
      <c r="G4" s="237"/>
      <c r="H4" s="237"/>
      <c r="I4" s="237"/>
      <c r="J4" s="237"/>
      <c r="K4" s="136"/>
      <c r="L4" s="136"/>
      <c r="M4" s="24" t="s">
        <v>198</v>
      </c>
      <c r="N4" s="24"/>
      <c r="O4" s="24"/>
      <c r="P4" s="229" t="s">
        <v>199</v>
      </c>
    </row>
    <row r="5" spans="1:16" ht="12.75" customHeight="1" x14ac:dyDescent="0.25">
      <c r="A5" s="229"/>
      <c r="B5" s="229"/>
      <c r="C5" s="238" t="s">
        <v>200</v>
      </c>
      <c r="D5" s="229" t="s">
        <v>201</v>
      </c>
      <c r="E5" s="135"/>
      <c r="F5" s="229" t="s">
        <v>202</v>
      </c>
      <c r="G5" s="229" t="s">
        <v>203</v>
      </c>
      <c r="H5" s="229" t="s">
        <v>204</v>
      </c>
      <c r="I5" s="229" t="s">
        <v>205</v>
      </c>
      <c r="J5" s="229" t="s">
        <v>206</v>
      </c>
      <c r="K5" s="135"/>
      <c r="L5" s="135"/>
      <c r="M5" s="229" t="s">
        <v>207</v>
      </c>
      <c r="N5" s="230">
        <v>2017</v>
      </c>
      <c r="O5" s="229" t="s">
        <v>208</v>
      </c>
      <c r="P5" s="229"/>
    </row>
    <row r="6" spans="1:16" ht="36" customHeight="1" x14ac:dyDescent="0.25">
      <c r="A6" s="229"/>
      <c r="B6" s="229"/>
      <c r="C6" s="238"/>
      <c r="D6" s="229"/>
      <c r="E6" s="135"/>
      <c r="F6" s="229"/>
      <c r="G6" s="229"/>
      <c r="H6" s="229"/>
      <c r="I6" s="229"/>
      <c r="J6" s="229"/>
      <c r="K6" s="135"/>
      <c r="L6" s="135"/>
      <c r="M6" s="229"/>
      <c r="N6" s="231"/>
      <c r="O6" s="229"/>
      <c r="P6" s="229"/>
    </row>
    <row r="7" spans="1:16" x14ac:dyDescent="0.25">
      <c r="A7" s="229"/>
      <c r="B7" s="229"/>
      <c r="C7" s="238"/>
      <c r="D7" s="229"/>
      <c r="E7" s="135"/>
      <c r="F7" s="229"/>
      <c r="G7" s="229"/>
      <c r="H7" s="229"/>
      <c r="I7" s="229"/>
      <c r="J7" s="229"/>
      <c r="K7" s="135"/>
      <c r="L7" s="135"/>
      <c r="M7" s="229"/>
      <c r="N7" s="231"/>
      <c r="O7" s="229"/>
      <c r="P7" s="229"/>
    </row>
    <row r="8" spans="1:16" x14ac:dyDescent="0.25">
      <c r="A8" s="229"/>
      <c r="B8" s="229"/>
      <c r="C8" s="238"/>
      <c r="D8" s="229"/>
      <c r="E8" s="135"/>
      <c r="F8" s="229"/>
      <c r="G8" s="229"/>
      <c r="H8" s="229"/>
      <c r="I8" s="229"/>
      <c r="J8" s="229"/>
      <c r="K8" s="135"/>
      <c r="L8" s="135"/>
      <c r="M8" s="229"/>
      <c r="N8" s="232"/>
      <c r="O8" s="229"/>
      <c r="P8" s="229"/>
    </row>
    <row r="9" spans="1:16" x14ac:dyDescent="0.25">
      <c r="A9" s="137">
        <v>1</v>
      </c>
      <c r="B9" s="137">
        <v>2</v>
      </c>
      <c r="C9" s="138">
        <v>2</v>
      </c>
      <c r="D9" s="137">
        <v>3</v>
      </c>
      <c r="E9" s="137"/>
      <c r="F9" s="137">
        <v>5</v>
      </c>
      <c r="G9" s="137">
        <v>6</v>
      </c>
      <c r="H9" s="137">
        <v>7</v>
      </c>
      <c r="I9" s="137">
        <v>8</v>
      </c>
      <c r="J9" s="137">
        <v>9</v>
      </c>
      <c r="K9" s="137"/>
      <c r="L9" s="137"/>
      <c r="M9" s="137">
        <v>10</v>
      </c>
      <c r="N9" s="137"/>
      <c r="O9" s="137"/>
      <c r="P9" s="137">
        <v>11</v>
      </c>
    </row>
    <row r="10" spans="1:16" ht="18.75" x14ac:dyDescent="0.3">
      <c r="A10" s="139">
        <v>1</v>
      </c>
      <c r="B10" s="140" t="str">
        <f>'[1]РАСЧЕТ ИНП'!B10</f>
        <v>Арахлейский</v>
      </c>
      <c r="C10" s="141">
        <v>3158.72</v>
      </c>
      <c r="D10" s="142">
        <f>'[1]РАСЧЕТ ИНП'!C10</f>
        <v>658</v>
      </c>
      <c r="E10" s="143">
        <f t="shared" ref="E10:E31" si="0">C10/D10</f>
        <v>4.8004863221884495</v>
      </c>
      <c r="F10" s="235">
        <v>1.98</v>
      </c>
      <c r="G10" s="144">
        <f>'[1]РАСЧЕТ ИБР'!F28</f>
        <v>1.9139999999999999</v>
      </c>
      <c r="H10" s="144">
        <f>'[1]РАСЧЕТ ИБР'!F26</f>
        <v>1.5069999999999999</v>
      </c>
      <c r="I10" s="145">
        <f t="shared" ref="I10:I30" si="1">($C$31/$D$31)*($F$10-G10)*H10*D10</f>
        <v>67.098182525872517</v>
      </c>
      <c r="J10" s="145">
        <f>$C$33*I10/$I$31-21</f>
        <v>0.22365758016437454</v>
      </c>
      <c r="K10" s="145">
        <f t="shared" ref="K10:K26" si="2">J10+C10+M10</f>
        <v>3255.6696575801643</v>
      </c>
      <c r="L10" s="146">
        <f t="shared" ref="L10:L30" si="3">K10/D10</f>
        <v>4.9478262273254776</v>
      </c>
      <c r="M10" s="147">
        <f>D10*147/1000</f>
        <v>96.725999999999999</v>
      </c>
      <c r="N10" s="148">
        <v>41</v>
      </c>
      <c r="O10" s="148">
        <f t="shared" ref="O10:O31" si="4">J10-N10</f>
        <v>-40.776342419835629</v>
      </c>
      <c r="P10" s="148">
        <f t="shared" ref="P10:P31" si="5">J10+M10</f>
        <v>96.94965758016437</v>
      </c>
    </row>
    <row r="11" spans="1:16" ht="18.75" x14ac:dyDescent="0.3">
      <c r="A11" s="139">
        <v>2</v>
      </c>
      <c r="B11" s="140" t="str">
        <f>'[1]РАСЧЕТ ИНП'!B11</f>
        <v>Александровский</v>
      </c>
      <c r="C11" s="141">
        <v>309.72000000000003</v>
      </c>
      <c r="D11" s="142">
        <f>'[1]РАСЧЕТ ИНП'!C11</f>
        <v>938</v>
      </c>
      <c r="E11" s="143">
        <f t="shared" si="0"/>
        <v>0.33019189765458423</v>
      </c>
      <c r="F11" s="235"/>
      <c r="G11" s="144">
        <f>'[1]РАСЧЕТ ИБР'!G28</f>
        <v>0.47099999999999997</v>
      </c>
      <c r="H11" s="144">
        <f>'[1]РАСЧЕТ ИБР'!G26</f>
        <v>1.1100000000000001</v>
      </c>
      <c r="I11" s="145">
        <f t="shared" si="1"/>
        <v>1610.8041215320859</v>
      </c>
      <c r="J11" s="145">
        <f t="shared" ref="J11" si="6">$C$33*I11/$I$31</f>
        <v>509.50940572693133</v>
      </c>
      <c r="K11" s="145">
        <f t="shared" si="2"/>
        <v>957.11540572693139</v>
      </c>
      <c r="L11" s="146">
        <f t="shared" si="3"/>
        <v>1.0203788973634662</v>
      </c>
      <c r="M11" s="147">
        <f t="shared" ref="M11:M31" si="7">D11*147/1000</f>
        <v>137.886</v>
      </c>
      <c r="N11" s="148">
        <v>372</v>
      </c>
      <c r="O11" s="148">
        <f t="shared" si="4"/>
        <v>137.50940572693133</v>
      </c>
      <c r="P11" s="148">
        <f t="shared" si="5"/>
        <v>647.39540572693136</v>
      </c>
    </row>
    <row r="12" spans="1:16" ht="18.75" x14ac:dyDescent="0.3">
      <c r="A12" s="139">
        <v>3</v>
      </c>
      <c r="B12" s="140" t="str">
        <f>'[1]РАСЧЕТ ИНП'!B12</f>
        <v>Беклемишевский</v>
      </c>
      <c r="C12" s="141">
        <v>1361.62</v>
      </c>
      <c r="D12" s="142">
        <f>'[1]РАСЧЕТ ИНП'!C12</f>
        <v>1623</v>
      </c>
      <c r="E12" s="143">
        <f t="shared" si="0"/>
        <v>0.83895255699322235</v>
      </c>
      <c r="F12" s="235"/>
      <c r="G12" s="144">
        <f>'[1]РАСЧЕТ ИБР'!H28</f>
        <v>1.411</v>
      </c>
      <c r="H12" s="144">
        <f>'[1]РАСЧЕТ ИБР'!H26</f>
        <v>1.304</v>
      </c>
      <c r="I12" s="145">
        <f t="shared" si="1"/>
        <v>1234.6278031935913</v>
      </c>
      <c r="J12" s="145">
        <f>($C$33*I12/$I$31+29.1)</f>
        <v>419.62201933826697</v>
      </c>
      <c r="K12" s="145">
        <f t="shared" si="2"/>
        <v>2019.8230193382667</v>
      </c>
      <c r="L12" s="146">
        <f t="shared" si="3"/>
        <v>1.244499703843664</v>
      </c>
      <c r="M12" s="147">
        <f t="shared" si="7"/>
        <v>238.58099999999999</v>
      </c>
      <c r="N12" s="148">
        <v>410</v>
      </c>
      <c r="O12" s="148">
        <f t="shared" si="4"/>
        <v>9.6220193382669663</v>
      </c>
      <c r="P12" s="148">
        <f t="shared" si="5"/>
        <v>658.20301933826693</v>
      </c>
    </row>
    <row r="13" spans="1:16" ht="18.75" x14ac:dyDescent="0.3">
      <c r="A13" s="139">
        <v>4</v>
      </c>
      <c r="B13" s="140" t="str">
        <f>'[1]РАСЧЕТ ИНП'!B13</f>
        <v xml:space="preserve">Верх-Читинский </v>
      </c>
      <c r="C13" s="141">
        <v>2836.34</v>
      </c>
      <c r="D13" s="142">
        <f>'[1]РАСЧЕТ ИНП'!C13</f>
        <v>2096</v>
      </c>
      <c r="E13" s="143">
        <f t="shared" si="0"/>
        <v>1.3532156488549618</v>
      </c>
      <c r="F13" s="235"/>
      <c r="G13" s="144">
        <f>'[1]РАСЧЕТ ИБР'!I28</f>
        <v>0.82699999999999996</v>
      </c>
      <c r="H13" s="144">
        <f>'[1]РАСЧЕТ ИБР'!I26</f>
        <v>1.113</v>
      </c>
      <c r="I13" s="145">
        <f t="shared" si="1"/>
        <v>2757.6771790318749</v>
      </c>
      <c r="J13" s="145">
        <f>($C$33*I13/$I$31-216+64.99)</f>
        <v>721.26394187373467</v>
      </c>
      <c r="K13" s="145">
        <f t="shared" si="2"/>
        <v>3865.7159418737347</v>
      </c>
      <c r="L13" s="146">
        <f t="shared" si="3"/>
        <v>1.844330124939759</v>
      </c>
      <c r="M13" s="147">
        <f t="shared" si="7"/>
        <v>308.11200000000002</v>
      </c>
      <c r="N13" s="148">
        <v>498</v>
      </c>
      <c r="O13" s="148">
        <f t="shared" si="4"/>
        <v>223.26394187373467</v>
      </c>
      <c r="P13" s="148">
        <f t="shared" si="5"/>
        <v>1029.3759418737347</v>
      </c>
    </row>
    <row r="14" spans="1:16" ht="18.75" x14ac:dyDescent="0.3">
      <c r="A14" s="139">
        <v>5</v>
      </c>
      <c r="B14" s="140" t="str">
        <f>'[1]РАСЧЕТ ИНП'!B14</f>
        <v>Домнинский</v>
      </c>
      <c r="C14" s="141">
        <v>8132.88</v>
      </c>
      <c r="D14" s="142">
        <f>'[1]РАСЧЕТ ИНП'!C14</f>
        <v>6309</v>
      </c>
      <c r="E14" s="143">
        <f t="shared" si="0"/>
        <v>1.2890917736566809</v>
      </c>
      <c r="F14" s="235"/>
      <c r="G14" s="144">
        <f>'[1]РАСЧЕТ ИБР'!J28</f>
        <v>0.85199999999999998</v>
      </c>
      <c r="H14" s="144">
        <f>'[1]РАСЧЕТ ИБР'!J26</f>
        <v>1.05</v>
      </c>
      <c r="I14" s="145">
        <f t="shared" si="1"/>
        <v>7661.0200920986199</v>
      </c>
      <c r="J14" s="145">
        <f>($C$33*I14/$I$31+180.5)</f>
        <v>2603.7380226806472</v>
      </c>
      <c r="K14" s="145">
        <f t="shared" si="2"/>
        <v>11664.041022680647</v>
      </c>
      <c r="L14" s="146">
        <f t="shared" si="3"/>
        <v>1.8487939487526783</v>
      </c>
      <c r="M14" s="147">
        <f t="shared" si="7"/>
        <v>927.423</v>
      </c>
      <c r="N14" s="148">
        <v>1084</v>
      </c>
      <c r="O14" s="148">
        <f t="shared" si="4"/>
        <v>1519.7380226806472</v>
      </c>
      <c r="P14" s="148">
        <f t="shared" si="5"/>
        <v>3531.161022680647</v>
      </c>
    </row>
    <row r="15" spans="1:16" ht="18.75" x14ac:dyDescent="0.3">
      <c r="A15" s="139">
        <v>6</v>
      </c>
      <c r="B15" s="140" t="str">
        <f>'[1]РАСЧЕТ ИНП'!B15</f>
        <v>Елизаветинский</v>
      </c>
      <c r="C15" s="141">
        <v>860.48</v>
      </c>
      <c r="D15" s="142">
        <f>'[1]РАСЧЕТ ИНП'!C15</f>
        <v>1094</v>
      </c>
      <c r="E15" s="143">
        <f t="shared" si="0"/>
        <v>0.7865447897623401</v>
      </c>
      <c r="F15" s="235"/>
      <c r="G15" s="144">
        <f>'[1]РАСЧЕТ ИБР'!K28</f>
        <v>0.28000000000000003</v>
      </c>
      <c r="H15" s="144">
        <f>'[1]РАСЧЕТ ИБР'!K26</f>
        <v>1.216</v>
      </c>
      <c r="I15" s="145">
        <f t="shared" si="1"/>
        <v>2318.6088730581314</v>
      </c>
      <c r="J15" s="145">
        <f>($C$33*I15/$I$31+54.6)</f>
        <v>787.99334884580298</v>
      </c>
      <c r="K15" s="145">
        <f t="shared" si="2"/>
        <v>1809.291348845803</v>
      </c>
      <c r="L15" s="146">
        <f t="shared" si="3"/>
        <v>1.6538312146670959</v>
      </c>
      <c r="M15" s="147">
        <f t="shared" si="7"/>
        <v>160.81800000000001</v>
      </c>
      <c r="N15" s="148">
        <v>480</v>
      </c>
      <c r="O15" s="148">
        <f t="shared" si="4"/>
        <v>307.99334884580298</v>
      </c>
      <c r="P15" s="148">
        <f t="shared" si="5"/>
        <v>948.81134884580297</v>
      </c>
    </row>
    <row r="16" spans="1:16" ht="18.75" x14ac:dyDescent="0.3">
      <c r="A16" s="139">
        <v>7</v>
      </c>
      <c r="B16" s="140" t="str">
        <f>'[1]РАСЧЕТ ИНП'!B16</f>
        <v>Засопкинский</v>
      </c>
      <c r="C16" s="141">
        <v>3883.76</v>
      </c>
      <c r="D16" s="142">
        <f>'[1]РАСЧЕТ ИНП'!C16</f>
        <v>5547</v>
      </c>
      <c r="E16" s="143">
        <f t="shared" si="0"/>
        <v>0.70015503875968998</v>
      </c>
      <c r="F16" s="235"/>
      <c r="G16" s="144">
        <f>'[1]РАСЧЕТ ИБР'!L28</f>
        <v>1.036</v>
      </c>
      <c r="H16" s="144">
        <f>'[1]РАСЧЕТ ИБР'!L26</f>
        <v>1.0449999999999999</v>
      </c>
      <c r="I16" s="145">
        <f t="shared" si="1"/>
        <v>5610.1455121759673</v>
      </c>
      <c r="J16" s="145">
        <f>($C$33*I16/$I$31-384+132.19)</f>
        <v>1522.7210356119861</v>
      </c>
      <c r="K16" s="145">
        <f t="shared" si="2"/>
        <v>6221.8900356119857</v>
      </c>
      <c r="L16" s="146">
        <f t="shared" si="3"/>
        <v>1.1216675744748488</v>
      </c>
      <c r="M16" s="147">
        <f t="shared" si="7"/>
        <v>815.40899999999999</v>
      </c>
      <c r="N16" s="148">
        <v>808</v>
      </c>
      <c r="O16" s="148">
        <f t="shared" si="4"/>
        <v>714.72103561198605</v>
      </c>
      <c r="P16" s="148">
        <f t="shared" si="5"/>
        <v>2338.1300356119859</v>
      </c>
    </row>
    <row r="17" spans="1:16" ht="18.75" x14ac:dyDescent="0.3">
      <c r="A17" s="139">
        <v>8</v>
      </c>
      <c r="B17" s="140" t="str">
        <f>'[1]РАСЧЕТ ИНП'!B17</f>
        <v>Ингодинский</v>
      </c>
      <c r="C17" s="141">
        <f>3146.14-400</f>
        <v>2746.14</v>
      </c>
      <c r="D17" s="142">
        <f>'[1]РАСЧЕТ ИНП'!C17</f>
        <v>1196</v>
      </c>
      <c r="E17" s="143">
        <f t="shared" si="0"/>
        <v>2.2961036789297657</v>
      </c>
      <c r="F17" s="235"/>
      <c r="G17" s="144">
        <f>'[1]РАСЧЕТ ИБР'!M28</f>
        <v>0.67600000000000005</v>
      </c>
      <c r="H17" s="144">
        <f>'[1]РАСЧЕТ ИБР'!M26</f>
        <v>1.129</v>
      </c>
      <c r="I17" s="145">
        <f t="shared" si="1"/>
        <v>1805.2210465414837</v>
      </c>
      <c r="J17" s="145">
        <f>$C$33*I17/$I$31+42.54</f>
        <v>613.54493494781457</v>
      </c>
      <c r="K17" s="145">
        <f t="shared" si="2"/>
        <v>3535.4969349478142</v>
      </c>
      <c r="L17" s="146">
        <f t="shared" si="3"/>
        <v>2.956101116177102</v>
      </c>
      <c r="M17" s="147">
        <f t="shared" si="7"/>
        <v>175.81200000000001</v>
      </c>
      <c r="N17" s="148">
        <v>376</v>
      </c>
      <c r="O17" s="148">
        <f t="shared" si="4"/>
        <v>237.54493494781457</v>
      </c>
      <c r="P17" s="148">
        <f t="shared" si="5"/>
        <v>789.35693494781458</v>
      </c>
    </row>
    <row r="18" spans="1:16" ht="18.75" x14ac:dyDescent="0.3">
      <c r="A18" s="139">
        <v>9</v>
      </c>
      <c r="B18" s="140" t="str">
        <f>'[1]РАСЧЕТ ИНП'!B18</f>
        <v>Колочнинский</v>
      </c>
      <c r="C18" s="141">
        <v>2137.46</v>
      </c>
      <c r="D18" s="142">
        <f>'[1]РАСЧЕТ ИНП'!C18</f>
        <v>967</v>
      </c>
      <c r="E18" s="143">
        <f t="shared" si="0"/>
        <v>2.210403309203723</v>
      </c>
      <c r="F18" s="235"/>
      <c r="G18" s="144">
        <f>'[1]РАСЧЕТ ИБР'!N28</f>
        <v>0.84799999999999998</v>
      </c>
      <c r="H18" s="144">
        <f>'[1]РАСЧЕТ ИБР'!N26</f>
        <v>1.161</v>
      </c>
      <c r="I18" s="145">
        <f t="shared" si="1"/>
        <v>1302.9651378797896</v>
      </c>
      <c r="J18" s="145">
        <f>$C$33*I18/$I$31-384+30.7</f>
        <v>58.837630025809986</v>
      </c>
      <c r="K18" s="145">
        <f t="shared" si="2"/>
        <v>2338.44663002581</v>
      </c>
      <c r="L18" s="146">
        <f t="shared" si="3"/>
        <v>2.4182488418053878</v>
      </c>
      <c r="M18" s="147">
        <f t="shared" si="7"/>
        <v>142.149</v>
      </c>
      <c r="N18" s="148">
        <v>294</v>
      </c>
      <c r="O18" s="148">
        <f t="shared" si="4"/>
        <v>-235.16236997419003</v>
      </c>
      <c r="P18" s="148">
        <f t="shared" si="5"/>
        <v>200.98663002580997</v>
      </c>
    </row>
    <row r="19" spans="1:16" ht="18.75" x14ac:dyDescent="0.3">
      <c r="A19" s="139">
        <v>10</v>
      </c>
      <c r="B19" s="140" t="str">
        <f>'[1]РАСЧЕТ ИНП'!B19</f>
        <v>Леснинский</v>
      </c>
      <c r="C19" s="141">
        <f>1450.385-160</f>
        <v>1290.385</v>
      </c>
      <c r="D19" s="142">
        <f>'[1]РАСЧЕТ ИНП'!C19</f>
        <v>1383</v>
      </c>
      <c r="E19" s="143">
        <f t="shared" si="0"/>
        <v>0.93303326102675344</v>
      </c>
      <c r="F19" s="235"/>
      <c r="G19" s="144">
        <f>'[1]РАСЧЕТ ИБР'!O28</f>
        <v>0.35799999999999998</v>
      </c>
      <c r="H19" s="144">
        <f>'[1]РАСЧЕТ ИБР'!O26</f>
        <v>1.18</v>
      </c>
      <c r="I19" s="145">
        <f t="shared" si="1"/>
        <v>2713.8304589610589</v>
      </c>
      <c r="J19" s="145">
        <f>$C$33*I19/$I$31+14.01+49.9</f>
        <v>922.31489598061387</v>
      </c>
      <c r="K19" s="145">
        <f t="shared" si="2"/>
        <v>2416.0008959806137</v>
      </c>
      <c r="L19" s="146">
        <f t="shared" si="3"/>
        <v>1.7469276182072406</v>
      </c>
      <c r="M19" s="147">
        <f t="shared" si="7"/>
        <v>203.30099999999999</v>
      </c>
      <c r="N19" s="148">
        <v>408</v>
      </c>
      <c r="O19" s="148">
        <f t="shared" si="4"/>
        <v>514.31489598061387</v>
      </c>
      <c r="P19" s="148">
        <f t="shared" si="5"/>
        <v>1125.6158959806139</v>
      </c>
    </row>
    <row r="20" spans="1:16" ht="18.75" x14ac:dyDescent="0.3">
      <c r="A20" s="139">
        <v>11</v>
      </c>
      <c r="B20" s="140" t="str">
        <f>'[1]РАСЧЕТ ИНП'!B20</f>
        <v>Ленинский</v>
      </c>
      <c r="C20" s="141">
        <v>120.01600000000001</v>
      </c>
      <c r="D20" s="142">
        <f>'[1]РАСЧЕТ ИНП'!C20</f>
        <v>234</v>
      </c>
      <c r="E20" s="143">
        <f t="shared" si="0"/>
        <v>0.51288888888888895</v>
      </c>
      <c r="F20" s="235"/>
      <c r="G20" s="144">
        <f>'[1]РАСЧЕТ ИБР'!P28</f>
        <v>0.45</v>
      </c>
      <c r="H20" s="144">
        <f>'[1]РАСЧЕТ ИБР'!P26</f>
        <v>1.619</v>
      </c>
      <c r="I20" s="145">
        <f t="shared" si="1"/>
        <v>594.26727079699299</v>
      </c>
      <c r="J20" s="145">
        <f>$C$33*I20/$I$31+14.01</f>
        <v>201.98118776847508</v>
      </c>
      <c r="K20" s="145">
        <f t="shared" si="2"/>
        <v>356.39518776847513</v>
      </c>
      <c r="L20" s="146">
        <f t="shared" si="3"/>
        <v>1.5230563579849363</v>
      </c>
      <c r="M20" s="147">
        <f t="shared" si="7"/>
        <v>34.398000000000003</v>
      </c>
      <c r="N20" s="148">
        <v>110</v>
      </c>
      <c r="O20" s="148">
        <f t="shared" si="4"/>
        <v>91.981187768475081</v>
      </c>
      <c r="P20" s="148">
        <f t="shared" si="5"/>
        <v>236.37918776847508</v>
      </c>
    </row>
    <row r="21" spans="1:16" ht="18.75" x14ac:dyDescent="0.3">
      <c r="A21" s="139">
        <v>12</v>
      </c>
      <c r="B21" s="140" t="str">
        <f>'[1]РАСЧЕТ ИНП'!B21</f>
        <v>Маккавеевский</v>
      </c>
      <c r="C21" s="141">
        <v>2522.36</v>
      </c>
      <c r="D21" s="142">
        <f>'[1]РАСЧЕТ ИНП'!C21</f>
        <v>3991</v>
      </c>
      <c r="E21" s="143">
        <f t="shared" si="0"/>
        <v>0.63201202706088699</v>
      </c>
      <c r="F21" s="235"/>
      <c r="G21" s="144">
        <f>'[1]РАСЧЕТ ИБР'!Q28</f>
        <v>0.40300000000000002</v>
      </c>
      <c r="H21" s="144">
        <f>'[1]РАСЧЕТ ИБР'!Q26</f>
        <v>1.1200000000000001</v>
      </c>
      <c r="I21" s="145">
        <f t="shared" si="1"/>
        <v>7227.0177104928989</v>
      </c>
      <c r="J21" s="145">
        <f>$C$33*I21/$I$31+170.28</f>
        <v>2456.2398194651737</v>
      </c>
      <c r="K21" s="145">
        <f t="shared" si="2"/>
        <v>5565.2768194651735</v>
      </c>
      <c r="L21" s="146">
        <f t="shared" si="3"/>
        <v>1.3944567325144508</v>
      </c>
      <c r="M21" s="147">
        <f t="shared" si="7"/>
        <v>586.67700000000002</v>
      </c>
      <c r="N21" s="148">
        <v>1376</v>
      </c>
      <c r="O21" s="148">
        <f t="shared" si="4"/>
        <v>1080.2398194651737</v>
      </c>
      <c r="P21" s="148">
        <f t="shared" si="5"/>
        <v>3042.9168194651738</v>
      </c>
    </row>
    <row r="22" spans="1:16" ht="18.75" x14ac:dyDescent="0.3">
      <c r="A22" s="139">
        <v>13</v>
      </c>
      <c r="B22" s="140" t="str">
        <f>'[1]РАСЧЕТ ИНП'!B22</f>
        <v>Новотроицкий</v>
      </c>
      <c r="C22" s="141">
        <v>1374.56</v>
      </c>
      <c r="D22" s="142">
        <f>'[1]РАСЧЕТ ИНП'!C22</f>
        <v>1292</v>
      </c>
      <c r="E22" s="143">
        <f t="shared" si="0"/>
        <v>1.0639009287925696</v>
      </c>
      <c r="F22" s="235"/>
      <c r="G22" s="144">
        <f>'[1]РАСЧЕТ ИБР'!R28</f>
        <v>0.72799999999999998</v>
      </c>
      <c r="H22" s="144">
        <f>'[1]РАСЧЕТ ИБР'!R26</f>
        <v>1.1970000000000001</v>
      </c>
      <c r="I22" s="145">
        <f t="shared" si="1"/>
        <v>1985.1286997002576</v>
      </c>
      <c r="J22" s="145">
        <f>($C$33*I22/$I$31+107)</f>
        <v>734.91107283344945</v>
      </c>
      <c r="K22" s="145">
        <f t="shared" si="2"/>
        <v>2299.3950728334494</v>
      </c>
      <c r="L22" s="146">
        <f t="shared" si="3"/>
        <v>1.7797175486327008</v>
      </c>
      <c r="M22" s="147">
        <f t="shared" si="7"/>
        <v>189.92400000000001</v>
      </c>
      <c r="N22" s="148">
        <v>452</v>
      </c>
      <c r="O22" s="148">
        <f t="shared" si="4"/>
        <v>282.91107283344945</v>
      </c>
      <c r="P22" s="148">
        <f t="shared" si="5"/>
        <v>924.83507283344943</v>
      </c>
    </row>
    <row r="23" spans="1:16" ht="18.75" x14ac:dyDescent="0.3">
      <c r="A23" s="139">
        <v>14</v>
      </c>
      <c r="B23" s="140" t="str">
        <f>'[1]РАСЧЕТ ИНП'!B23</f>
        <v>Новокукинский</v>
      </c>
      <c r="C23" s="141">
        <v>2731.248</v>
      </c>
      <c r="D23" s="142">
        <f>'[1]РАСЧЕТ ИНП'!C23</f>
        <v>3052</v>
      </c>
      <c r="E23" s="143">
        <f t="shared" si="0"/>
        <v>0.8949043250327654</v>
      </c>
      <c r="F23" s="235"/>
      <c r="G23" s="144">
        <f>'[1]РАСЧЕТ ИБР'!S28</f>
        <v>0.57099999999999995</v>
      </c>
      <c r="H23" s="144">
        <f>'[1]РАСЧЕТ ИБР'!S26</f>
        <v>1.137</v>
      </c>
      <c r="I23" s="145">
        <f t="shared" si="1"/>
        <v>5012.8379141335026</v>
      </c>
      <c r="J23" s="145">
        <f>($C$33*I23/$I$31+118.17)</f>
        <v>1703.768169569071</v>
      </c>
      <c r="K23" s="145">
        <f t="shared" si="2"/>
        <v>4883.6601695690715</v>
      </c>
      <c r="L23" s="146">
        <f t="shared" si="3"/>
        <v>1.6001507763987783</v>
      </c>
      <c r="M23" s="147">
        <f t="shared" si="7"/>
        <v>448.64400000000001</v>
      </c>
      <c r="N23" s="148">
        <v>1126</v>
      </c>
      <c r="O23" s="148">
        <f t="shared" si="4"/>
        <v>577.76816956907101</v>
      </c>
      <c r="P23" s="148">
        <f t="shared" si="5"/>
        <v>2152.412169569071</v>
      </c>
    </row>
    <row r="24" spans="1:16" ht="18.75" x14ac:dyDescent="0.3">
      <c r="A24" s="139">
        <v>15</v>
      </c>
      <c r="B24" s="140" t="str">
        <f>'[1]РАСЧЕТ ИНП'!B24</f>
        <v>Оленгуйский</v>
      </c>
      <c r="C24" s="141">
        <v>544.20000000000005</v>
      </c>
      <c r="D24" s="142">
        <f>'[1]РАСЧЕТ ИНП'!C24</f>
        <v>385</v>
      </c>
      <c r="E24" s="143">
        <f t="shared" si="0"/>
        <v>1.4135064935064936</v>
      </c>
      <c r="F24" s="235"/>
      <c r="G24" s="144">
        <f>'[1]РАСЧЕТ ИБР'!T28</f>
        <v>0.191</v>
      </c>
      <c r="H24" s="144">
        <f>'[1]РАСЧЕТ ИБР'!T26</f>
        <v>1.504</v>
      </c>
      <c r="I24" s="145">
        <f t="shared" si="1"/>
        <v>1062.0539574323009</v>
      </c>
      <c r="J24" s="145">
        <f>($C$33*I24/$I$31+25.02)</f>
        <v>360.95561964975911</v>
      </c>
      <c r="K24" s="145">
        <f t="shared" si="2"/>
        <v>961.75061964975919</v>
      </c>
      <c r="L24" s="146">
        <f t="shared" si="3"/>
        <v>2.4980535575318421</v>
      </c>
      <c r="M24" s="147">
        <f t="shared" si="7"/>
        <v>56.594999999999999</v>
      </c>
      <c r="N24" s="148">
        <v>298</v>
      </c>
      <c r="O24" s="148">
        <f t="shared" si="4"/>
        <v>62.955619649759115</v>
      </c>
      <c r="P24" s="148">
        <f t="shared" si="5"/>
        <v>417.55061964975914</v>
      </c>
    </row>
    <row r="25" spans="1:16" ht="18.75" x14ac:dyDescent="0.3">
      <c r="A25" s="139">
        <v>16</v>
      </c>
      <c r="B25" s="140" t="str">
        <f>'[1]РАСЧЕТ ИНП'!B25</f>
        <v>Сохондинский</v>
      </c>
      <c r="C25" s="141">
        <v>1429</v>
      </c>
      <c r="D25" s="142">
        <f>'[1]РАСЧЕТ ИНП'!C25</f>
        <v>1602</v>
      </c>
      <c r="E25" s="143">
        <f t="shared" si="0"/>
        <v>0.89200998751560545</v>
      </c>
      <c r="F25" s="235"/>
      <c r="G25" s="144">
        <f>'[1]РАСЧЕТ ИБР'!U28</f>
        <v>0.38800000000000001</v>
      </c>
      <c r="H25" s="144">
        <f>'[1]РАСЧЕТ ИБР'!U26</f>
        <v>1.321</v>
      </c>
      <c r="I25" s="145">
        <f t="shared" si="1"/>
        <v>3454.1092359567488</v>
      </c>
      <c r="J25" s="145">
        <f>($C$33*I25/$I$31-129+81.37)</f>
        <v>1044.9306165287999</v>
      </c>
      <c r="K25" s="145">
        <f t="shared" si="2"/>
        <v>2709.4246165288</v>
      </c>
      <c r="L25" s="146">
        <f t="shared" si="3"/>
        <v>1.69127628996804</v>
      </c>
      <c r="M25" s="147">
        <f t="shared" si="7"/>
        <v>235.494</v>
      </c>
      <c r="N25" s="148">
        <v>869</v>
      </c>
      <c r="O25" s="148">
        <f t="shared" si="4"/>
        <v>175.93061652879987</v>
      </c>
      <c r="P25" s="148">
        <f t="shared" si="5"/>
        <v>1280.4246165287998</v>
      </c>
    </row>
    <row r="26" spans="1:16" ht="18.75" x14ac:dyDescent="0.3">
      <c r="A26" s="139">
        <v>17</v>
      </c>
      <c r="B26" s="140" t="str">
        <f>'[1]РАСЧЕТ ИНП'!B26</f>
        <v>Сивяковский</v>
      </c>
      <c r="C26" s="141">
        <v>233.48</v>
      </c>
      <c r="D26" s="142">
        <f>'[1]РАСЧЕТ ИНП'!C26</f>
        <v>1015</v>
      </c>
      <c r="E26" s="143">
        <f>C26/D26</f>
        <v>0.2300295566502463</v>
      </c>
      <c r="F26" s="235"/>
      <c r="G26" s="144">
        <f>'[1]РАСЧЕТ ИБР'!V28</f>
        <v>0.45300000000000001</v>
      </c>
      <c r="H26" s="144">
        <f>'[1]РАСЧЕТ ИБР'!V26</f>
        <v>1.145</v>
      </c>
      <c r="I26" s="145">
        <f t="shared" si="1"/>
        <v>1819.4421066338098</v>
      </c>
      <c r="J26" s="145">
        <f>($C$33*I26/$I$31+42.87)</f>
        <v>618.37316274571492</v>
      </c>
      <c r="K26" s="145">
        <f t="shared" si="2"/>
        <v>1001.058162745715</v>
      </c>
      <c r="L26" s="146">
        <f t="shared" si="3"/>
        <v>0.98626419974947288</v>
      </c>
      <c r="M26" s="147">
        <f t="shared" si="7"/>
        <v>149.20500000000001</v>
      </c>
      <c r="N26" s="148">
        <v>425</v>
      </c>
      <c r="O26" s="148">
        <f t="shared" si="4"/>
        <v>193.37316274571492</v>
      </c>
      <c r="P26" s="148">
        <f t="shared" si="5"/>
        <v>767.57816274571496</v>
      </c>
    </row>
    <row r="27" spans="1:16" ht="18.75" x14ac:dyDescent="0.3">
      <c r="A27" s="139">
        <v>18</v>
      </c>
      <c r="B27" s="140" t="str">
        <f>'[1]РАСЧЕТ ИНП'!B27</f>
        <v>Смоленский</v>
      </c>
      <c r="C27" s="141">
        <v>7038</v>
      </c>
      <c r="D27" s="142">
        <f>'[1]РАСЧЕТ ИНП'!C27</f>
        <v>7631</v>
      </c>
      <c r="E27" s="143">
        <f t="shared" si="0"/>
        <v>0.92229065653256459</v>
      </c>
      <c r="F27" s="235"/>
      <c r="G27" s="144">
        <f>'[1]РАСЧЕТ ИБР'!W28</f>
        <v>1.881</v>
      </c>
      <c r="H27" s="144">
        <f>'[1]РАСЧЕТ ИБР'!W26</f>
        <v>1.036</v>
      </c>
      <c r="I27" s="145">
        <f t="shared" si="1"/>
        <v>802.42431242707812</v>
      </c>
      <c r="J27" s="145">
        <f>($C$33*I27/$I$31-220-0.3+0.5+18.9)</f>
        <v>52.91281876575966</v>
      </c>
      <c r="K27" s="145">
        <f>J27+C27+M27</f>
        <v>8212.6698187657603</v>
      </c>
      <c r="L27" s="146">
        <f t="shared" si="3"/>
        <v>1.0762245863931019</v>
      </c>
      <c r="M27" s="147">
        <f t="shared" si="7"/>
        <v>1121.7570000000001</v>
      </c>
      <c r="N27" s="148"/>
      <c r="O27" s="148">
        <f t="shared" si="4"/>
        <v>52.91281876575966</v>
      </c>
      <c r="P27" s="148">
        <f t="shared" si="5"/>
        <v>1174.6698187657598</v>
      </c>
    </row>
    <row r="28" spans="1:16" ht="18.75" x14ac:dyDescent="0.3">
      <c r="A28" s="139">
        <v>19</v>
      </c>
      <c r="B28" s="140" t="str">
        <f>'[1]РАСЧЕТ ИНП'!B28</f>
        <v>Угданский</v>
      </c>
      <c r="C28" s="141">
        <v>2248</v>
      </c>
      <c r="D28" s="142">
        <f>'[1]РАСЧЕТ ИНП'!C28</f>
        <v>1326</v>
      </c>
      <c r="E28" s="143">
        <f t="shared" si="0"/>
        <v>1.6953242835595776</v>
      </c>
      <c r="F28" s="235"/>
      <c r="G28" s="144">
        <f>'[1]РАСЧЕТ ИБР'!X28</f>
        <v>0.79100000000000004</v>
      </c>
      <c r="H28" s="144">
        <f>'[1]РАСЧЕТ ИБР'!X26</f>
        <v>1.085</v>
      </c>
      <c r="I28" s="145">
        <f t="shared" si="1"/>
        <v>1753.8110097699143</v>
      </c>
      <c r="J28" s="145">
        <f>($C$33*I28/$I$31+41.3)</f>
        <v>596.04355534632202</v>
      </c>
      <c r="K28" s="145">
        <f>J28+C28+M28</f>
        <v>3038.9655553463222</v>
      </c>
      <c r="L28" s="146">
        <f t="shared" si="3"/>
        <v>2.2918292272596696</v>
      </c>
      <c r="M28" s="147">
        <f t="shared" si="7"/>
        <v>194.922</v>
      </c>
      <c r="N28" s="148">
        <v>283</v>
      </c>
      <c r="O28" s="148">
        <f t="shared" si="4"/>
        <v>313.04355534632202</v>
      </c>
      <c r="P28" s="148">
        <f t="shared" si="5"/>
        <v>790.96555534632205</v>
      </c>
    </row>
    <row r="29" spans="1:16" ht="18.75" x14ac:dyDescent="0.3">
      <c r="A29" s="139">
        <v>20</v>
      </c>
      <c r="B29" s="140" t="s">
        <v>133</v>
      </c>
      <c r="C29" s="141">
        <v>1131.8399999999999</v>
      </c>
      <c r="D29" s="142">
        <f>'[1]РАСЧЕТ ИНП'!C29</f>
        <v>2539</v>
      </c>
      <c r="E29" s="143">
        <f t="shared" si="0"/>
        <v>0.44578180385978727</v>
      </c>
      <c r="F29" s="235"/>
      <c r="G29" s="144">
        <f>'[1]РАСЧЕТ ИБР'!Y28</f>
        <v>0.32500000000000001</v>
      </c>
      <c r="H29" s="144">
        <f>'[1]РАСЧЕТ ИБР'!Y26</f>
        <v>1.1180000000000001</v>
      </c>
      <c r="I29" s="145">
        <f t="shared" si="1"/>
        <v>4816.4846190770404</v>
      </c>
      <c r="J29" s="145">
        <f>($C$33*I29/$I$31+113.49)</f>
        <v>1636.9801520022995</v>
      </c>
      <c r="K29" s="145">
        <f>J29+C29+M29</f>
        <v>3142.0531520022996</v>
      </c>
      <c r="L29" s="146">
        <f t="shared" si="3"/>
        <v>1.2375160110288694</v>
      </c>
      <c r="M29" s="147">
        <f t="shared" si="7"/>
        <v>373.233</v>
      </c>
      <c r="N29" s="148">
        <v>961</v>
      </c>
      <c r="O29" s="148">
        <f t="shared" si="4"/>
        <v>675.98015200229952</v>
      </c>
      <c r="P29" s="148">
        <f t="shared" si="5"/>
        <v>2010.2131520022995</v>
      </c>
    </row>
    <row r="30" spans="1:16" ht="18.75" x14ac:dyDescent="0.3">
      <c r="A30" s="139">
        <v>21</v>
      </c>
      <c r="B30" s="140" t="s">
        <v>134</v>
      </c>
      <c r="C30" s="141">
        <v>741.95899999999995</v>
      </c>
      <c r="D30" s="142">
        <f>'[1]РАСЧЕТ ИНП'!C30</f>
        <v>801</v>
      </c>
      <c r="E30" s="143">
        <f t="shared" si="0"/>
        <v>0.92629088639200996</v>
      </c>
      <c r="F30" s="235"/>
      <c r="G30" s="144">
        <f>'[1]РАСЧЕТ ИБР'!Z28</f>
        <v>0.53300000000000003</v>
      </c>
      <c r="H30" s="144">
        <f>'[1]РАСЧЕТ ИБР'!Z27</f>
        <v>0.8</v>
      </c>
      <c r="I30" s="145">
        <f t="shared" si="1"/>
        <v>950.64574660383983</v>
      </c>
      <c r="J30" s="145">
        <f>($C$33*I30/$I$31+22.4)</f>
        <v>323.09636831340157</v>
      </c>
      <c r="K30" s="145">
        <f>J30+C30+M30</f>
        <v>1182.8023683134015</v>
      </c>
      <c r="L30" s="146">
        <f t="shared" si="3"/>
        <v>1.4766571389680418</v>
      </c>
      <c r="M30" s="147">
        <f t="shared" si="7"/>
        <v>117.747</v>
      </c>
      <c r="N30" s="148"/>
      <c r="O30" s="148"/>
      <c r="P30" s="148"/>
    </row>
    <row r="31" spans="1:16" ht="34.5" customHeight="1" x14ac:dyDescent="0.3">
      <c r="A31" s="139"/>
      <c r="B31" s="140" t="s">
        <v>209</v>
      </c>
      <c r="C31" s="141">
        <f>SUM(C10:C30)</f>
        <v>46832.167999999998</v>
      </c>
      <c r="D31" s="149">
        <f>SUM(D10:D30)</f>
        <v>45679</v>
      </c>
      <c r="E31" s="143">
        <f t="shared" si="0"/>
        <v>1.0252450360121719</v>
      </c>
      <c r="F31" s="235"/>
      <c r="G31" s="144"/>
      <c r="H31" s="144"/>
      <c r="I31" s="150">
        <f>SUM(I10:I30)</f>
        <v>56560.22099002287</v>
      </c>
      <c r="J31" s="145">
        <v>17890</v>
      </c>
      <c r="K31" s="145"/>
      <c r="L31" s="145"/>
      <c r="M31" s="147">
        <f t="shared" si="7"/>
        <v>6714.8130000000001</v>
      </c>
      <c r="N31" s="151">
        <f>SUM(N10:N29)</f>
        <v>10671</v>
      </c>
      <c r="O31" s="148">
        <f t="shared" si="4"/>
        <v>7219</v>
      </c>
      <c r="P31" s="148">
        <f t="shared" si="5"/>
        <v>24604.813000000002</v>
      </c>
    </row>
    <row r="32" spans="1:16" ht="18" x14ac:dyDescent="0.25">
      <c r="A32" s="152" t="s">
        <v>210</v>
      </c>
      <c r="B32" s="152"/>
      <c r="C32" s="152"/>
      <c r="D32" s="152"/>
      <c r="E32" s="152"/>
      <c r="F32" s="152"/>
      <c r="G32" s="153"/>
      <c r="H32" s="152"/>
      <c r="I32" s="154"/>
      <c r="J32" s="145"/>
      <c r="K32" s="155"/>
      <c r="L32" s="155"/>
      <c r="M32" s="156"/>
      <c r="N32" s="154"/>
      <c r="O32" s="154"/>
      <c r="P32" s="157"/>
    </row>
    <row r="33" spans="1:15" ht="46.5" customHeight="1" x14ac:dyDescent="0.35">
      <c r="A33" s="233" t="s">
        <v>211</v>
      </c>
      <c r="B33" s="233"/>
      <c r="C33" s="158">
        <f>C34*C35-C36</f>
        <v>17890.421435600001</v>
      </c>
      <c r="D33" s="152"/>
      <c r="E33" s="152"/>
      <c r="F33" s="159"/>
      <c r="G33" s="153"/>
      <c r="H33" s="160"/>
      <c r="I33" s="161"/>
      <c r="J33" s="145">
        <v>17890</v>
      </c>
      <c r="K33" s="155"/>
      <c r="L33" s="155"/>
      <c r="M33" s="154"/>
      <c r="N33" s="154"/>
      <c r="O33" s="154"/>
    </row>
    <row r="34" spans="1:15" ht="61.5" customHeight="1" x14ac:dyDescent="0.35">
      <c r="A34" s="234" t="s">
        <v>212</v>
      </c>
      <c r="B34" s="234"/>
      <c r="C34" s="162">
        <f>440502+54424.8+46829.9</f>
        <v>541756.69999999995</v>
      </c>
      <c r="D34" s="152"/>
      <c r="E34" s="152"/>
      <c r="F34" s="160"/>
      <c r="G34" s="153"/>
      <c r="H34" s="160"/>
      <c r="I34" s="161"/>
      <c r="J34" s="163"/>
      <c r="K34" s="163"/>
      <c r="L34" s="163"/>
      <c r="M34" s="154"/>
      <c r="N34" s="154"/>
      <c r="O34" s="154"/>
    </row>
    <row r="35" spans="1:15" ht="87" customHeight="1" x14ac:dyDescent="0.35">
      <c r="A35" s="234" t="s">
        <v>213</v>
      </c>
      <c r="B35" s="234"/>
      <c r="C35" s="164">
        <v>0.119468</v>
      </c>
      <c r="D35" s="152"/>
      <c r="E35" s="152"/>
      <c r="F35" s="160"/>
      <c r="G35" s="153"/>
      <c r="H35" s="160"/>
      <c r="I35" s="161"/>
      <c r="J35" s="163"/>
      <c r="K35" s="163"/>
      <c r="L35" s="163"/>
      <c r="M35" s="154"/>
      <c r="N35" s="154"/>
      <c r="O35" s="154"/>
    </row>
    <row r="36" spans="1:15" ht="110.25" customHeight="1" x14ac:dyDescent="0.25">
      <c r="A36" s="234" t="s">
        <v>214</v>
      </c>
      <c r="B36" s="234"/>
      <c r="C36" s="165">
        <f>C31</f>
        <v>46832.167999999998</v>
      </c>
      <c r="D36" s="152"/>
      <c r="E36" s="152"/>
      <c r="F36" s="166"/>
      <c r="G36" s="152"/>
      <c r="H36" s="152"/>
      <c r="I36" s="167">
        <f>I35+I34+I33</f>
        <v>0</v>
      </c>
      <c r="J36" s="163"/>
      <c r="K36" s="163"/>
      <c r="L36" s="163"/>
      <c r="M36" s="154"/>
      <c r="N36" s="154"/>
      <c r="O36" s="154"/>
    </row>
    <row r="37" spans="1:15" ht="53.25" customHeight="1" x14ac:dyDescent="0.25">
      <c r="A37" s="233" t="s">
        <v>215</v>
      </c>
      <c r="B37" s="233"/>
      <c r="C37" s="165">
        <f>M31</f>
        <v>6714.8130000000001</v>
      </c>
      <c r="D37" s="152"/>
      <c r="E37" s="152"/>
      <c r="F37" s="166"/>
      <c r="G37" s="152"/>
      <c r="H37" s="152"/>
      <c r="I37" s="154"/>
      <c r="J37" s="163"/>
      <c r="K37" s="163"/>
      <c r="L37" s="163"/>
      <c r="M37" s="154"/>
      <c r="N37" s="154"/>
      <c r="O37" s="154"/>
    </row>
    <row r="38" spans="1:15" ht="36.75" customHeight="1" x14ac:dyDescent="0.25">
      <c r="A38" s="227" t="s">
        <v>216</v>
      </c>
      <c r="B38" s="228"/>
      <c r="C38" s="168">
        <f>C33+C37</f>
        <v>24605.234435600003</v>
      </c>
      <c r="D38" s="152"/>
      <c r="E38" s="152"/>
      <c r="F38" s="152"/>
      <c r="G38" s="152"/>
      <c r="H38" s="152"/>
      <c r="I38" s="154"/>
      <c r="J38" s="163"/>
      <c r="K38" s="163"/>
      <c r="L38" s="163"/>
      <c r="M38" s="154"/>
      <c r="N38" s="154"/>
      <c r="O38" s="154"/>
    </row>
    <row r="40" spans="1:15" ht="20.25" hidden="1" x14ac:dyDescent="0.3">
      <c r="B40" s="169" t="s">
        <v>217</v>
      </c>
    </row>
    <row r="45" spans="1:15" x14ac:dyDescent="0.25">
      <c r="B45" t="b">
        <f>B27='[1]РАСЧЕТ ИНП'!B27</f>
        <v>1</v>
      </c>
    </row>
  </sheetData>
  <mergeCells count="22">
    <mergeCell ref="O5:O8"/>
    <mergeCell ref="F10:F31"/>
    <mergeCell ref="B2:P2"/>
    <mergeCell ref="A4:A8"/>
    <mergeCell ref="B4:B8"/>
    <mergeCell ref="D4:J4"/>
    <mergeCell ref="P4:P8"/>
    <mergeCell ref="C5:C8"/>
    <mergeCell ref="D5:D8"/>
    <mergeCell ref="F5:F8"/>
    <mergeCell ref="G5:G8"/>
    <mergeCell ref="H5:H8"/>
    <mergeCell ref="A38:B38"/>
    <mergeCell ref="I5:I8"/>
    <mergeCell ref="J5:J8"/>
    <mergeCell ref="M5:M8"/>
    <mergeCell ref="N5:N8"/>
    <mergeCell ref="A33:B33"/>
    <mergeCell ref="A34:B34"/>
    <mergeCell ref="A35:B35"/>
    <mergeCell ref="A36:B36"/>
    <mergeCell ref="A37:B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расчет фин помощи 23-25 год</vt:lpstr>
      <vt:lpstr>Лист3</vt:lpstr>
      <vt:lpstr>рассчет 23 го</vt:lpstr>
      <vt:lpstr>Лист5</vt:lpstr>
      <vt:lpstr>фонд оплаты</vt:lpstr>
      <vt:lpstr>дотация на выравнивание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2021-10-24T02:48:56Z</dcterms:created>
  <dcterms:modified xsi:type="dcterms:W3CDTF">2023-03-06T03:09:16Z</dcterms:modified>
</cp:coreProperties>
</file>