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25" windowWidth="24240" windowHeight="13740"/>
  </bookViews>
  <sheets>
    <sheet name="Форма № 2 Расходы" sheetId="1" r:id="rId1"/>
  </sheets>
  <definedNames>
    <definedName name="_xlnm._FilterDatabase" localSheetId="0" hidden="1">'Форма № 2 Расходы'!$B$3:$O$90</definedName>
    <definedName name="_xlnm.Print_Titles" localSheetId="0">'Форма № 2 Расходы'!$2:$3</definedName>
    <definedName name="_xlnm.Print_Area" localSheetId="0">'Форма № 2 Расходы'!$A$1:$O$91</definedName>
  </definedNames>
  <calcPr calcId="145621"/>
</workbook>
</file>

<file path=xl/calcChain.xml><?xml version="1.0" encoding="utf-8"?>
<calcChain xmlns="http://schemas.openxmlformats.org/spreadsheetml/2006/main">
  <c r="N59" i="1" l="1"/>
  <c r="N61" i="1"/>
  <c r="L61" i="1"/>
  <c r="L60" i="1"/>
  <c r="N62" i="1"/>
  <c r="I62" i="1"/>
  <c r="I61" i="1"/>
  <c r="I41" i="1"/>
  <c r="I77" i="1"/>
  <c r="I60" i="1"/>
  <c r="I52" i="1"/>
  <c r="G61" i="1"/>
  <c r="G33" i="1"/>
  <c r="G32" i="1"/>
  <c r="G31" i="1"/>
  <c r="G30" i="1"/>
  <c r="I32" i="1"/>
  <c r="L13" i="1"/>
  <c r="I13" i="1"/>
  <c r="I19" i="1"/>
  <c r="I12" i="1"/>
  <c r="I23" i="1" l="1"/>
  <c r="L23" i="1"/>
  <c r="N90" i="1"/>
  <c r="L62" i="1"/>
  <c r="I89" i="1"/>
  <c r="I87" i="1"/>
  <c r="N13" i="1" l="1"/>
  <c r="O35" i="1"/>
  <c r="O45" i="1"/>
  <c r="O47" i="1"/>
  <c r="O51" i="1"/>
  <c r="O90" i="1"/>
  <c r="N89" i="1"/>
  <c r="O89" i="1" s="1"/>
  <c r="N87" i="1"/>
  <c r="N84" i="1"/>
  <c r="N85" i="1"/>
  <c r="N88" i="1"/>
  <c r="N33" i="1"/>
  <c r="O33" i="1" s="1"/>
  <c r="N34" i="1"/>
  <c r="N37" i="1"/>
  <c r="N38" i="1"/>
  <c r="N43" i="1"/>
  <c r="N44" i="1"/>
  <c r="N46" i="1"/>
  <c r="N47" i="1"/>
  <c r="N51" i="1"/>
  <c r="N54" i="1"/>
  <c r="N55" i="1"/>
  <c r="N56" i="1"/>
  <c r="N57" i="1"/>
  <c r="N58" i="1"/>
  <c r="O62" i="1"/>
  <c r="N71" i="1"/>
  <c r="N72" i="1"/>
  <c r="O72" i="1" s="1"/>
  <c r="N73" i="1"/>
  <c r="O73" i="1" s="1"/>
  <c r="N76" i="1"/>
  <c r="M35" i="1"/>
  <c r="M45" i="1"/>
  <c r="M47" i="1"/>
  <c r="M49" i="1"/>
  <c r="M51" i="1"/>
  <c r="M60" i="1"/>
  <c r="M62" i="1"/>
  <c r="M64" i="1"/>
  <c r="M66" i="1"/>
  <c r="M68" i="1"/>
  <c r="M83" i="1"/>
  <c r="M85" i="1"/>
  <c r="M90" i="1"/>
  <c r="N60" i="1"/>
  <c r="O60" i="1" s="1"/>
  <c r="L73" i="1"/>
  <c r="M73" i="1" s="1"/>
  <c r="L89" i="1"/>
  <c r="M89" i="1" s="1"/>
  <c r="L87" i="1"/>
  <c r="M87" i="1" s="1"/>
  <c r="L31" i="1"/>
  <c r="N31" i="1" s="1"/>
  <c r="O31" i="1" s="1"/>
  <c r="L32" i="1"/>
  <c r="N32" i="1" s="1"/>
  <c r="O32" i="1" s="1"/>
  <c r="L33" i="1"/>
  <c r="M33" i="1" s="1"/>
  <c r="L34" i="1"/>
  <c r="L36" i="1"/>
  <c r="M36" i="1" s="1"/>
  <c r="L37" i="1"/>
  <c r="L38" i="1"/>
  <c r="L40" i="1"/>
  <c r="N40" i="1" s="1"/>
  <c r="O40" i="1" s="1"/>
  <c r="L41" i="1"/>
  <c r="N41" i="1" s="1"/>
  <c r="O41" i="1" s="1"/>
  <c r="L43" i="1"/>
  <c r="L44" i="1"/>
  <c r="L46" i="1"/>
  <c r="L47" i="1"/>
  <c r="L48" i="1"/>
  <c r="N48" i="1" s="1"/>
  <c r="L49" i="1"/>
  <c r="N49" i="1" s="1"/>
  <c r="L51" i="1"/>
  <c r="L52" i="1"/>
  <c r="M52" i="1" s="1"/>
  <c r="L53" i="1"/>
  <c r="N53" i="1" s="1"/>
  <c r="O53" i="1" s="1"/>
  <c r="L54" i="1"/>
  <c r="L55" i="1"/>
  <c r="L56" i="1"/>
  <c r="L57" i="1"/>
  <c r="L58" i="1"/>
  <c r="M61" i="1"/>
  <c r="L63" i="1"/>
  <c r="L64" i="1"/>
  <c r="N64" i="1" s="1"/>
  <c r="O64" i="1" s="1"/>
  <c r="L66" i="1"/>
  <c r="N66" i="1" s="1"/>
  <c r="O66" i="1" s="1"/>
  <c r="L67" i="1"/>
  <c r="L68" i="1"/>
  <c r="N68" i="1" s="1"/>
  <c r="O68" i="1" s="1"/>
  <c r="L70" i="1"/>
  <c r="N70" i="1" s="1"/>
  <c r="O70" i="1" s="1"/>
  <c r="L71" i="1"/>
  <c r="L72" i="1"/>
  <c r="M72" i="1" s="1"/>
  <c r="L74" i="1"/>
  <c r="M74" i="1" s="1"/>
  <c r="L76" i="1"/>
  <c r="L77" i="1"/>
  <c r="N77" i="1" s="1"/>
  <c r="O77" i="1" s="1"/>
  <c r="L78" i="1"/>
  <c r="N78" i="1" s="1"/>
  <c r="O78" i="1" s="1"/>
  <c r="L79" i="1"/>
  <c r="L80" i="1"/>
  <c r="L81" i="1"/>
  <c r="L82" i="1"/>
  <c r="L84" i="1"/>
  <c r="L88" i="1"/>
  <c r="L30" i="1"/>
  <c r="N30" i="1" s="1"/>
  <c r="K30" i="1"/>
  <c r="K31" i="1"/>
  <c r="K32" i="1"/>
  <c r="K33" i="1"/>
  <c r="K34" i="1"/>
  <c r="K35" i="1"/>
  <c r="K36" i="1"/>
  <c r="K40" i="1"/>
  <c r="K41" i="1"/>
  <c r="K45" i="1"/>
  <c r="K47" i="1"/>
  <c r="K49" i="1"/>
  <c r="K51" i="1"/>
  <c r="K52" i="1"/>
  <c r="K53" i="1"/>
  <c r="K58" i="1"/>
  <c r="K60" i="1"/>
  <c r="K61" i="1"/>
  <c r="K62" i="1"/>
  <c r="K64" i="1"/>
  <c r="K66" i="1"/>
  <c r="K68" i="1"/>
  <c r="K70" i="1"/>
  <c r="K72" i="1"/>
  <c r="K73" i="1"/>
  <c r="K74" i="1"/>
  <c r="K77" i="1"/>
  <c r="K78" i="1"/>
  <c r="K83" i="1"/>
  <c r="K85" i="1"/>
  <c r="K87" i="1"/>
  <c r="K89" i="1"/>
  <c r="O7" i="1"/>
  <c r="O10" i="1"/>
  <c r="O11" i="1"/>
  <c r="O22" i="1"/>
  <c r="O25" i="1"/>
  <c r="N25" i="1"/>
  <c r="N23" i="1"/>
  <c r="O23" i="1" s="1"/>
  <c r="N7" i="1"/>
  <c r="N8" i="1"/>
  <c r="N10" i="1"/>
  <c r="N11" i="1"/>
  <c r="O13" i="1"/>
  <c r="N14" i="1"/>
  <c r="N18" i="1"/>
  <c r="N20" i="1"/>
  <c r="N21" i="1"/>
  <c r="N24" i="1"/>
  <c r="M7" i="1"/>
  <c r="M10" i="1"/>
  <c r="M11" i="1"/>
  <c r="M13" i="1"/>
  <c r="M22" i="1"/>
  <c r="M23" i="1"/>
  <c r="M25" i="1"/>
  <c r="M5" i="1"/>
  <c r="L25" i="1"/>
  <c r="L6" i="1"/>
  <c r="M6" i="1" s="1"/>
  <c r="L7" i="1"/>
  <c r="L8" i="1"/>
  <c r="L9" i="1"/>
  <c r="N9" i="1" s="1"/>
  <c r="O9" i="1" s="1"/>
  <c r="L10" i="1"/>
  <c r="L11" i="1"/>
  <c r="L12" i="1"/>
  <c r="M12" i="1" s="1"/>
  <c r="L14" i="1"/>
  <c r="L15" i="1"/>
  <c r="N15" i="1" s="1"/>
  <c r="O15" i="1" s="1"/>
  <c r="L16" i="1"/>
  <c r="M16" i="1" s="1"/>
  <c r="L17" i="1"/>
  <c r="N17" i="1" s="1"/>
  <c r="O17" i="1" s="1"/>
  <c r="L18" i="1"/>
  <c r="L19" i="1"/>
  <c r="N19" i="1" s="1"/>
  <c r="L20" i="1"/>
  <c r="L21" i="1"/>
  <c r="L24" i="1"/>
  <c r="L5" i="1"/>
  <c r="N5" i="1" s="1"/>
  <c r="O5" i="1" s="1"/>
  <c r="K6" i="1"/>
  <c r="K7" i="1"/>
  <c r="K9" i="1"/>
  <c r="K10" i="1"/>
  <c r="K11" i="1"/>
  <c r="K12" i="1"/>
  <c r="K13" i="1"/>
  <c r="K15" i="1"/>
  <c r="K16" i="1"/>
  <c r="K17" i="1"/>
  <c r="K23" i="1"/>
  <c r="K5" i="1"/>
  <c r="J61" i="1"/>
  <c r="J30" i="1"/>
  <c r="J31" i="1"/>
  <c r="J32" i="1"/>
  <c r="J33" i="1"/>
  <c r="J34" i="1"/>
  <c r="J35" i="1"/>
  <c r="J36" i="1"/>
  <c r="J40" i="1"/>
  <c r="J41" i="1"/>
  <c r="J45" i="1"/>
  <c r="J47" i="1"/>
  <c r="J49" i="1"/>
  <c r="J51" i="1"/>
  <c r="J52" i="1"/>
  <c r="J53" i="1"/>
  <c r="J58" i="1"/>
  <c r="J60" i="1"/>
  <c r="J62" i="1"/>
  <c r="J64" i="1"/>
  <c r="J66" i="1"/>
  <c r="J68" i="1"/>
  <c r="J70" i="1"/>
  <c r="J72" i="1"/>
  <c r="J73" i="1"/>
  <c r="J74" i="1"/>
  <c r="J77" i="1"/>
  <c r="J78" i="1"/>
  <c r="J83" i="1"/>
  <c r="J84" i="1"/>
  <c r="J87" i="1"/>
  <c r="J89" i="1"/>
  <c r="J90" i="1"/>
  <c r="J6" i="1"/>
  <c r="J7" i="1"/>
  <c r="J9" i="1"/>
  <c r="J10" i="1"/>
  <c r="J11" i="1"/>
  <c r="J12" i="1"/>
  <c r="J13" i="1"/>
  <c r="J15" i="1"/>
  <c r="J16" i="1"/>
  <c r="J17" i="1"/>
  <c r="J18" i="1"/>
  <c r="J19" i="1"/>
  <c r="J22" i="1"/>
  <c r="J23" i="1"/>
  <c r="J25" i="1"/>
  <c r="I71" i="1"/>
  <c r="H36" i="1"/>
  <c r="H43" i="1"/>
  <c r="H63" i="1"/>
  <c r="H84" i="1"/>
  <c r="I8" i="1"/>
  <c r="I14" i="1"/>
  <c r="I20" i="1"/>
  <c r="I21" i="1"/>
  <c r="G89" i="1"/>
  <c r="H89" i="1" s="1"/>
  <c r="G87" i="1"/>
  <c r="H87" i="1" s="1"/>
  <c r="G78" i="1"/>
  <c r="G77" i="1"/>
  <c r="I75" i="1" s="1"/>
  <c r="L75" i="1" s="1"/>
  <c r="G74" i="1"/>
  <c r="G73" i="1"/>
  <c r="G72" i="1"/>
  <c r="G70" i="1"/>
  <c r="H70" i="1" s="1"/>
  <c r="G68" i="1"/>
  <c r="H68" i="1" s="1"/>
  <c r="G66" i="1"/>
  <c r="H66" i="1" s="1"/>
  <c r="G64" i="1"/>
  <c r="G62" i="1"/>
  <c r="H62" i="1" s="1"/>
  <c r="H61" i="1"/>
  <c r="G58" i="1"/>
  <c r="G53" i="1"/>
  <c r="H53" i="1" s="1"/>
  <c r="G52" i="1"/>
  <c r="H52" i="1" s="1"/>
  <c r="G51" i="1"/>
  <c r="G49" i="1"/>
  <c r="I42" i="1" s="1"/>
  <c r="K42" i="1" s="1"/>
  <c r="G47" i="1"/>
  <c r="H47" i="1" s="1"/>
  <c r="G45" i="1"/>
  <c r="H45" i="1" s="1"/>
  <c r="G41" i="1"/>
  <c r="H41" i="1" s="1"/>
  <c r="G40" i="1"/>
  <c r="G35" i="1"/>
  <c r="G34" i="1"/>
  <c r="H32" i="1"/>
  <c r="F30" i="1"/>
  <c r="F31" i="1"/>
  <c r="F36" i="1"/>
  <c r="F40" i="1"/>
  <c r="F41" i="1"/>
  <c r="F43" i="1"/>
  <c r="F45" i="1"/>
  <c r="F47" i="1"/>
  <c r="F49" i="1"/>
  <c r="F52" i="1"/>
  <c r="F53" i="1"/>
  <c r="F61" i="1"/>
  <c r="F62" i="1"/>
  <c r="F63" i="1"/>
  <c r="F64" i="1"/>
  <c r="F66" i="1"/>
  <c r="F68" i="1"/>
  <c r="F70" i="1"/>
  <c r="F72" i="1"/>
  <c r="F73" i="1"/>
  <c r="F74" i="1"/>
  <c r="F77" i="1"/>
  <c r="F84" i="1"/>
  <c r="F87" i="1"/>
  <c r="F88" i="1"/>
  <c r="F89" i="1"/>
  <c r="E60" i="1"/>
  <c r="G60" i="1" s="1"/>
  <c r="E90" i="1"/>
  <c r="E32" i="1"/>
  <c r="F32" i="1" s="1"/>
  <c r="E86" i="1"/>
  <c r="F86" i="1" s="1"/>
  <c r="G86" i="1"/>
  <c r="H86" i="1" s="1"/>
  <c r="I86" i="1"/>
  <c r="J86" i="1" s="1"/>
  <c r="D86" i="1"/>
  <c r="E39" i="1"/>
  <c r="F39" i="1" s="1"/>
  <c r="G39" i="1"/>
  <c r="H39" i="1" s="1"/>
  <c r="D39" i="1"/>
  <c r="E42" i="1"/>
  <c r="F42" i="1" s="1"/>
  <c r="G42" i="1"/>
  <c r="H42" i="1" s="1"/>
  <c r="D42" i="1"/>
  <c r="E50" i="1"/>
  <c r="F50" i="1" s="1"/>
  <c r="G50" i="1"/>
  <c r="H50" i="1" s="1"/>
  <c r="D50" i="1"/>
  <c r="E59" i="1"/>
  <c r="D59" i="1"/>
  <c r="E65" i="1"/>
  <c r="F65" i="1" s="1"/>
  <c r="G65" i="1"/>
  <c r="H65" i="1" s="1"/>
  <c r="I65" i="1"/>
  <c r="J65" i="1" s="1"/>
  <c r="D65" i="1"/>
  <c r="E69" i="1"/>
  <c r="F69" i="1" s="1"/>
  <c r="G69" i="1"/>
  <c r="H69" i="1" s="1"/>
  <c r="D69" i="1"/>
  <c r="E75" i="1"/>
  <c r="F75" i="1" s="1"/>
  <c r="G75" i="1"/>
  <c r="H75" i="1" s="1"/>
  <c r="D75" i="1"/>
  <c r="E83" i="1"/>
  <c r="F83" i="1" s="1"/>
  <c r="G83" i="1"/>
  <c r="I83" i="1"/>
  <c r="D83" i="1"/>
  <c r="E33" i="1"/>
  <c r="F33" i="1" s="1"/>
  <c r="D33" i="1"/>
  <c r="D29" i="1" s="1"/>
  <c r="G24" i="1"/>
  <c r="G19" i="1"/>
  <c r="H19" i="1" s="1"/>
  <c r="G18" i="1"/>
  <c r="H18" i="1" s="1"/>
  <c r="G17" i="1"/>
  <c r="G16" i="1"/>
  <c r="H16" i="1" s="1"/>
  <c r="G15" i="1"/>
  <c r="H15" i="1" s="1"/>
  <c r="G12" i="1"/>
  <c r="G11" i="1"/>
  <c r="I11" i="1" s="1"/>
  <c r="G10" i="1"/>
  <c r="H10" i="1" s="1"/>
  <c r="G9" i="1"/>
  <c r="G5" i="1"/>
  <c r="H5" i="1" s="1"/>
  <c r="G6" i="1"/>
  <c r="F6" i="1"/>
  <c r="E6" i="1"/>
  <c r="E25" i="1"/>
  <c r="E23" i="1"/>
  <c r="G23" i="1" s="1"/>
  <c r="H23" i="1" s="1"/>
  <c r="F9" i="1"/>
  <c r="F10" i="1"/>
  <c r="F11" i="1"/>
  <c r="F15" i="1"/>
  <c r="F16" i="1"/>
  <c r="F17" i="1"/>
  <c r="F18" i="1"/>
  <c r="F19" i="1"/>
  <c r="F23" i="1"/>
  <c r="F5" i="1"/>
  <c r="E7" i="1"/>
  <c r="F7" i="1" s="1"/>
  <c r="D13" i="1"/>
  <c r="D12" i="1"/>
  <c r="F12" i="1" s="1"/>
  <c r="D7" i="1"/>
  <c r="D26" i="1" s="1"/>
  <c r="N36" i="1" l="1"/>
  <c r="O36" i="1" s="1"/>
  <c r="M41" i="1"/>
  <c r="M78" i="1"/>
  <c r="N75" i="1"/>
  <c r="O75" i="1" s="1"/>
  <c r="M75" i="1"/>
  <c r="M77" i="1"/>
  <c r="J75" i="1"/>
  <c r="K75" i="1"/>
  <c r="N74" i="1"/>
  <c r="O74" i="1" s="1"/>
  <c r="L69" i="1"/>
  <c r="M70" i="1"/>
  <c r="L65" i="1"/>
  <c r="N65" i="1" s="1"/>
  <c r="O65" i="1" s="1"/>
  <c r="K65" i="1"/>
  <c r="M53" i="1"/>
  <c r="N52" i="1"/>
  <c r="O52" i="1" s="1"/>
  <c r="N42" i="1"/>
  <c r="O49" i="1"/>
  <c r="J42" i="1"/>
  <c r="L42" i="1"/>
  <c r="M40" i="1"/>
  <c r="M32" i="1"/>
  <c r="M31" i="1"/>
  <c r="O30" i="1"/>
  <c r="L29" i="1"/>
  <c r="M30" i="1"/>
  <c r="M17" i="1"/>
  <c r="N16" i="1"/>
  <c r="O16" i="1" s="1"/>
  <c r="M15" i="1"/>
  <c r="N12" i="1"/>
  <c r="O12" i="1" s="1"/>
  <c r="M9" i="1"/>
  <c r="N6" i="1"/>
  <c r="O6" i="1" s="1"/>
  <c r="L26" i="1"/>
  <c r="L59" i="1"/>
  <c r="O61" i="1"/>
  <c r="K86" i="1"/>
  <c r="N86" i="1"/>
  <c r="L86" i="1"/>
  <c r="O87" i="1"/>
  <c r="G59" i="1"/>
  <c r="H59" i="1" s="1"/>
  <c r="H60" i="1"/>
  <c r="E13" i="1"/>
  <c r="H17" i="1"/>
  <c r="H12" i="1"/>
  <c r="E29" i="1"/>
  <c r="F29" i="1" s="1"/>
  <c r="H74" i="1"/>
  <c r="H64" i="1"/>
  <c r="H31" i="1"/>
  <c r="I39" i="1"/>
  <c r="I69" i="1"/>
  <c r="E26" i="1"/>
  <c r="F26" i="1" s="1"/>
  <c r="G7" i="1"/>
  <c r="H11" i="1"/>
  <c r="H6" i="1"/>
  <c r="D92" i="1"/>
  <c r="F60" i="1"/>
  <c r="H73" i="1"/>
  <c r="H49" i="1"/>
  <c r="H30" i="1"/>
  <c r="F59" i="1"/>
  <c r="H77" i="1"/>
  <c r="H72" i="1"/>
  <c r="I50" i="1"/>
  <c r="H9" i="1"/>
  <c r="H83" i="1"/>
  <c r="H40" i="1"/>
  <c r="D91" i="1"/>
  <c r="D94" i="1" s="1"/>
  <c r="N29" i="1" l="1"/>
  <c r="J69" i="1"/>
  <c r="K69" i="1"/>
  <c r="N69" i="1"/>
  <c r="O69" i="1" s="1"/>
  <c r="M69" i="1"/>
  <c r="M65" i="1"/>
  <c r="K50" i="1"/>
  <c r="L50" i="1"/>
  <c r="J50" i="1"/>
  <c r="M42" i="1"/>
  <c r="O42" i="1"/>
  <c r="K39" i="1"/>
  <c r="J39" i="1"/>
  <c r="L39" i="1"/>
  <c r="O29" i="1"/>
  <c r="N26" i="1"/>
  <c r="M86" i="1"/>
  <c r="L91" i="1"/>
  <c r="O86" i="1"/>
  <c r="I7" i="1"/>
  <c r="H7" i="1"/>
  <c r="I29" i="1"/>
  <c r="G29" i="1"/>
  <c r="H33" i="1"/>
  <c r="G13" i="1"/>
  <c r="F13" i="1"/>
  <c r="I59" i="1"/>
  <c r="J5" i="1"/>
  <c r="E91" i="1"/>
  <c r="E94" i="1" s="1"/>
  <c r="M50" i="1" l="1"/>
  <c r="N50" i="1"/>
  <c r="O50" i="1" s="1"/>
  <c r="M39" i="1"/>
  <c r="N39" i="1"/>
  <c r="O39" i="1" s="1"/>
  <c r="J29" i="1"/>
  <c r="K29" i="1"/>
  <c r="M29" i="1"/>
  <c r="J59" i="1"/>
  <c r="K59" i="1"/>
  <c r="M59" i="1"/>
  <c r="O59" i="1"/>
  <c r="N91" i="1"/>
  <c r="I26" i="1"/>
  <c r="H13" i="1"/>
  <c r="G26" i="1"/>
  <c r="H26" i="1" s="1"/>
  <c r="I91" i="1"/>
  <c r="H29" i="1"/>
  <c r="H91" i="1" s="1"/>
  <c r="G91" i="1"/>
  <c r="J91" i="1" l="1"/>
  <c r="K91" i="1"/>
  <c r="M91" i="1"/>
</calcChain>
</file>

<file path=xl/sharedStrings.xml><?xml version="1.0" encoding="utf-8"?>
<sst xmlns="http://schemas.openxmlformats.org/spreadsheetml/2006/main" count="181" uniqueCount="180">
  <si>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</si>
  <si>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государственным корпорациям (компаниям)</t>
  </si>
  <si>
    <t>Резервные средства</t>
  </si>
  <si>
    <t>Итого</t>
  </si>
  <si>
    <t>0203</t>
  </si>
  <si>
    <t>0200</t>
  </si>
  <si>
    <t>0106</t>
  </si>
  <si>
    <t>0103</t>
  </si>
  <si>
    <t>0102</t>
  </si>
  <si>
    <t>0100</t>
  </si>
  <si>
    <t xml:space="preserve">Дефицит (-) / Профицит (+) </t>
  </si>
  <si>
    <t>Код</t>
  </si>
  <si>
    <t>Наименование раздела, подраздела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</si>
  <si>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</si>
  <si>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</si>
  <si>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</si>
  <si>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</si>
  <si>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</si>
  <si>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</si>
  <si>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</si>
  <si>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</si>
  <si>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</si>
  <si>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</si>
  <si>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</si>
  <si>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</si>
  <si>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</si>
  <si>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</si>
  <si>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</si>
  <si>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</si>
  <si>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</si>
  <si>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</si>
  <si>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</si>
  <si>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</si>
  <si>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</si>
  <si>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</si>
  <si>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</si>
  <si>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</si>
  <si>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</si>
  <si>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</si>
  <si>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</si>
  <si>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</si>
  <si>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</si>
  <si>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</si>
  <si>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</si>
  <si>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</si>
  <si>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</si>
  <si>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</si>
  <si>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</si>
  <si>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</si>
  <si>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</si>
  <si>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</si>
  <si>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</si>
  <si>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</si>
  <si>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</si>
  <si>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</si>
  <si>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</si>
  <si>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</si>
  <si>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</si>
  <si>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</si>
  <si>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</si>
  <si>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</si>
  <si>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</si>
  <si>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</si>
  <si>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внешнего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</si>
  <si>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</si>
  <si>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</si>
  <si>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</si>
  <si>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0104</t>
  </si>
  <si>
    <t>0107</t>
  </si>
  <si>
    <t>0111</t>
  </si>
  <si>
    <t>0113</t>
  </si>
  <si>
    <t>0300</t>
  </si>
  <si>
    <t>0309</t>
  </si>
  <si>
    <t>0310</t>
  </si>
  <si>
    <t>0400</t>
  </si>
  <si>
    <t>0401</t>
  </si>
  <si>
    <t>0405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</si>
  <si>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</si>
  <si>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</si>
  <si>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</si>
  <si>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</si>
  <si>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</si>
  <si>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</si>
  <si>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</si>
  <si>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</si>
  <si>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</si>
  <si>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</si>
  <si>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</si>
  <si>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</si>
  <si>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</si>
  <si>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</si>
  <si>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</si>
  <si>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</si>
  <si>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</si>
  <si>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</si>
  <si>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</si>
  <si>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</si>
  <si>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</si>
  <si>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0802</t>
  </si>
  <si>
    <t>0804</t>
  </si>
  <si>
    <t>1000</t>
  </si>
  <si>
    <t>1003</t>
  </si>
  <si>
    <t>1004</t>
  </si>
  <si>
    <t>1006</t>
  </si>
  <si>
    <t>1100</t>
  </si>
  <si>
    <t>1101</t>
  </si>
  <si>
    <t>1102</t>
  </si>
  <si>
    <t>1105</t>
  </si>
  <si>
    <t>1200</t>
  </si>
  <si>
    <t>1201</t>
  </si>
  <si>
    <t>1202</t>
  </si>
  <si>
    <t>1204</t>
  </si>
  <si>
    <t>1300</t>
  </si>
  <si>
    <t>1301</t>
  </si>
  <si>
    <t>1302</t>
  </si>
  <si>
    <t>1400</t>
  </si>
  <si>
    <t>1401</t>
  </si>
  <si>
    <t>1402</t>
  </si>
  <si>
    <t>1403</t>
  </si>
  <si>
    <t>государственных (муниципальных) органов</t>
  </si>
  <si>
    <t>работников автономных и бюджетных учреждений</t>
  </si>
  <si>
    <t>Социальные выплаты гражданам, в т.ч.</t>
  </si>
  <si>
    <t>Стипендии</t>
  </si>
  <si>
    <t xml:space="preserve">Расходы на обслуживание гос. долга </t>
  </si>
  <si>
    <t>Иные выплаты</t>
  </si>
  <si>
    <t>Иные закупки товаров, работ и услуг для обеспечения государственных (муниципальных) нужд 
(за исключением закупки товаров, работ, услуг в целях капитального ремонта государственного (муниципального) имущества)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</si>
  <si>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</si>
  <si>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Субсидии некоммерческим организациям (за исключением государственных (муниципальных) учреждений</t>
  </si>
  <si>
    <t>Исполнение судебных актов</t>
  </si>
  <si>
    <t>Уплата налогов, сборов и иных платежей</t>
  </si>
  <si>
    <t>Капитальные вложения в объекты недвижимого имущества государственной (муниципальной) собственности</t>
  </si>
  <si>
    <t>Закупка товаров, работ, услуг в целях капитального ремонта государственного (муниципального) имущества</t>
  </si>
  <si>
    <t>Премии и гранты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</si>
  <si>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</si>
  <si>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121+129</t>
  </si>
  <si>
    <t>13101+13201+13301+13401+
13501+13601+14101+14201+
14301+14401+14501+14601</t>
  </si>
  <si>
    <t>310+320</t>
  </si>
  <si>
    <t>111+119+121+129 + 131+139+141+149+
13101+13201+13301+13401+
13501+13601+14101+14201+
14301+14401+14501+14601</t>
  </si>
  <si>
    <t>112+113+122+123+133+134+142</t>
  </si>
  <si>
    <t xml:space="preserve">610+620-13101-13201-13301-13401-
13501-13601-14101-14201-
14301-14401-14501-14601
</t>
  </si>
  <si>
    <t>Обслуживание государственного внутреннего долга</t>
  </si>
  <si>
    <t>Наименование расходов</t>
  </si>
  <si>
    <t>Межбюджетные трансферты</t>
  </si>
  <si>
    <t>Другие расходы</t>
  </si>
  <si>
    <t>Вид расхода / раздел, подраздел (код формы 487)</t>
  </si>
  <si>
    <t>1001</t>
  </si>
  <si>
    <t>1002</t>
  </si>
  <si>
    <t>Пенсионное обеспечение</t>
  </si>
  <si>
    <t>Социальное обслуживание населения</t>
  </si>
  <si>
    <t>Воспроизводство минерально-сырьевой базы</t>
  </si>
  <si>
    <t>0404</t>
  </si>
  <si>
    <t>230,360, 880</t>
  </si>
  <si>
    <t>Прочие межбюджетные трансферты общего характера</t>
  </si>
  <si>
    <t>Условно утвержденные расходы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</si>
  <si>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</si>
  <si>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</si>
  <si>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241+242+244+245+246+247</t>
  </si>
  <si>
    <t>5=4/3*100</t>
  </si>
  <si>
    <t>7=6/3*100</t>
  </si>
  <si>
    <t>ИТОГО</t>
  </si>
  <si>
    <t>9=8/4*100</t>
  </si>
  <si>
    <t>10=8/6*100</t>
  </si>
  <si>
    <t>12=11/8*100</t>
  </si>
  <si>
    <t>14=13/11*100</t>
  </si>
  <si>
    <t xml:space="preserve">№ </t>
  </si>
  <si>
    <t>тыс. руб.</t>
  </si>
  <si>
    <t>Приложение 2</t>
  </si>
  <si>
    <t>Параметры бюджета  
на 2024 г.</t>
  </si>
  <si>
    <t>Исполнение  2022 г.</t>
  </si>
  <si>
    <t>Уточненный на 01.10.2023 г.</t>
  </si>
  <si>
    <t>Темп роста
 2023 к 2022 г.,%</t>
  </si>
  <si>
    <t>Оценка исполнения  2023 г.</t>
  </si>
  <si>
    <t>Темп роста оценка 2023г. к 2022 г. %</t>
  </si>
  <si>
    <t>Темп роста  2024 г. к уточненному  2023 г., %</t>
  </si>
  <si>
    <t xml:space="preserve">Темп роста  2024 г. к оценке 2023 г.,% </t>
  </si>
  <si>
    <t>Параметры бюджета 
на 2025 г.</t>
  </si>
  <si>
    <t xml:space="preserve">Темп роста 2025 г. к 2024 г.,% </t>
  </si>
  <si>
    <t>Параметры бюджета 
на 2026 год</t>
  </si>
  <si>
    <t xml:space="preserve">Темп роста  2026 г. к  2025 г.,% </t>
  </si>
  <si>
    <t>Параметры бюджета муниципального района "Читинский район" по видам расходов, разделам, подразделам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</si>
</sst>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%"/>
    <numFmt numFmtId="167" formatCode="_-* #,##0.0\ _₽_-;\-* #,##0.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2" borderId="0"/>
    <xf numFmtId="0" fontId="5" fillId="0" borderId="0">
      <alignment horizontal="left" vertical="top" wrapText="1"/>
    </xf>
    <xf numFmtId="0" fontId="5" fillId="0" borderId="0"/>
    <xf numFmtId="0" fontId="6" fillId="0" borderId="0">
      <alignment horizontal="center" wrapText="1"/>
    </xf>
    <xf numFmtId="0" fontId="6" fillId="0" borderId="0">
      <alignment horizontal="center"/>
    </xf>
    <xf numFmtId="0" fontId="5" fillId="0" borderId="0">
      <alignment wrapText="1"/>
    </xf>
    <xf numFmtId="0" fontId="5" fillId="0" borderId="0">
      <alignment horizontal="right"/>
    </xf>
    <xf numFmtId="0" fontId="5" fillId="2" borderId="4"/>
    <xf numFmtId="0" fontId="5" fillId="0" borderId="5">
      <alignment horizontal="center" vertical="center" wrapText="1"/>
    </xf>
    <xf numFmtId="0" fontId="5" fillId="0" borderId="6"/>
    <xf numFmtId="0" fontId="5" fillId="0" borderId="5">
      <alignment horizontal="center" vertical="center" shrinkToFit="1"/>
    </xf>
    <xf numFmtId="0" fontId="5" fillId="2" borderId="7"/>
    <xf numFmtId="0" fontId="7" fillId="0" borderId="5">
      <alignment horizontal="left"/>
    </xf>
    <xf numFmtId="4" fontId="7" fillId="3" borderId="5">
      <alignment horizontal="right" vertical="top" shrinkToFit="1"/>
    </xf>
    <xf numFmtId="0" fontId="5" fillId="2" borderId="8"/>
    <xf numFmtId="0" fontId="5" fillId="0" borderId="7"/>
    <xf numFmtId="0" fontId="5" fillId="0" borderId="0">
      <alignment horizontal="left" wrapText="1"/>
    </xf>
    <xf numFmtId="49" fontId="5" fillId="0" borderId="5">
      <alignment horizontal="left" vertical="top" wrapText="1"/>
    </xf>
    <xf numFmtId="4" fontId="5" fillId="4" borderId="5">
      <alignment horizontal="right" vertical="top" shrinkToFit="1"/>
    </xf>
    <xf numFmtId="0" fontId="5" fillId="2" borderId="8">
      <alignment horizontal="center"/>
    </xf>
    <xf numFmtId="0" fontId="5" fillId="2" borderId="0">
      <alignment horizontal="center"/>
    </xf>
    <xf numFmtId="4" fontId="5" fillId="0" borderId="5">
      <alignment horizontal="right" vertical="top" shrinkToFit="1"/>
    </xf>
    <xf numFmtId="49" fontId="7" fillId="0" borderId="5">
      <alignment horizontal="left" vertical="top" wrapText="1"/>
    </xf>
    <xf numFmtId="0" fontId="5" fillId="2" borderId="0">
      <alignment horizontal="left"/>
    </xf>
    <xf numFmtId="4" fontId="5" fillId="0" borderId="6">
      <alignment horizontal="right" shrinkToFit="1"/>
    </xf>
    <xf numFmtId="4" fontId="5" fillId="0" borderId="0">
      <alignment horizontal="right" shrinkToFit="1"/>
    </xf>
    <xf numFmtId="0" fontId="5" fillId="2" borderId="7">
      <alignment horizontal="center"/>
    </xf>
    <xf numFmtId="0" fontId="8" fillId="0" borderId="0">
      <alignment vertical="top" wrapText="1"/>
    </xf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/>
    <xf numFmtId="0" fontId="12" fillId="0" borderId="0"/>
    <xf numFmtId="0" fontId="2" fillId="0" borderId="0"/>
    <xf numFmtId="0" fontId="8" fillId="0" borderId="0">
      <alignment vertical="top" wrapText="1"/>
    </xf>
    <xf numFmtId="0" fontId="14" fillId="0" borderId="0"/>
    <xf numFmtId="0" fontId="1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ill="1"/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166" fontId="0" fillId="0" borderId="0" xfId="0" applyNumberFormat="1" applyFill="1"/>
    <xf numFmtId="167" fontId="0" fillId="0" borderId="0" xfId="51" applyNumberFormat="1" applyFont="1" applyFill="1"/>
    <xf numFmtId="0" fontId="9" fillId="0" borderId="0" xfId="0" applyFont="1" applyFill="1" applyAlignment="1">
      <alignment wrapText="1"/>
    </xf>
    <xf numFmtId="0" fontId="0" fillId="6" borderId="0" xfId="0" applyFill="1"/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3" fontId="17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18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 applyProtection="1">
      <alignment horizontal="justify" vertical="center" wrapText="1"/>
      <protection locked="0"/>
    </xf>
    <xf numFmtId="165" fontId="17" fillId="0" borderId="9" xfId="1" applyNumberFormat="1" applyFont="1" applyFill="1" applyBorder="1" applyAlignment="1" applyProtection="1">
      <alignment horizontal="center" vertical="center" wrapText="1"/>
      <protection locked="0"/>
    </xf>
    <xf numFmtId="165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7" fontId="18" fillId="0" borderId="1" xfId="51" applyNumberFormat="1" applyFont="1" applyFill="1" applyBorder="1" applyAlignment="1">
      <alignment horizontal="center" vertical="center" wrapText="1"/>
    </xf>
    <xf numFmtId="167" fontId="18" fillId="0" borderId="1" xfId="51" applyNumberFormat="1" applyFont="1" applyFill="1" applyBorder="1" applyAlignment="1" applyProtection="1">
      <alignment horizontal="justify" vertical="center" wrapText="1"/>
      <protection locked="0"/>
    </xf>
    <xf numFmtId="167" fontId="17" fillId="0" borderId="9" xfId="51" applyNumberFormat="1" applyFont="1" applyFill="1" applyBorder="1" applyAlignment="1" applyProtection="1">
      <alignment horizontal="center" vertical="center" wrapText="1"/>
      <protection locked="0"/>
    </xf>
    <xf numFmtId="167" fontId="18" fillId="0" borderId="1" xfId="5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165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165" fontId="10" fillId="5" borderId="1" xfId="0" applyNumberFormat="1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 vertical="center"/>
    </xf>
    <xf numFmtId="166" fontId="10" fillId="5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5" borderId="0" xfId="0" applyFill="1"/>
    <xf numFmtId="166" fontId="0" fillId="5" borderId="0" xfId="0" applyNumberFormat="1" applyFill="1"/>
    <xf numFmtId="0" fontId="10" fillId="0" borderId="0" xfId="0" applyFont="1" applyFill="1" applyBorder="1" applyAlignment="1">
      <alignment wrapText="1"/>
    </xf>
    <xf numFmtId="165" fontId="1" fillId="5" borderId="0" xfId="0" applyNumberFormat="1" applyFont="1" applyFill="1" applyAlignment="1">
      <alignment horizontal="justify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52">
    <cellStyle name="br" xfId="2"/>
    <cellStyle name="col" xfId="3"/>
    <cellStyle name="Normal" xfId="4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Обычный" xfId="0" builtinId="0"/>
    <cellStyle name="Обычный 10" xfId="44"/>
    <cellStyle name="Обычный 2" xfId="34"/>
    <cellStyle name="Обычный 2 2" xfId="45"/>
    <cellStyle name="Обычный 3" xfId="35"/>
    <cellStyle name="Обычный 3 2" xfId="46"/>
    <cellStyle name="Обычный 4" xfId="1"/>
    <cellStyle name="Обычный 4 2" xfId="47"/>
    <cellStyle name="Обычный 5" xfId="42"/>
    <cellStyle name="Процентный 2" xfId="48"/>
    <cellStyle name="Процентный 3" xfId="49"/>
    <cellStyle name="Стиль 1" xfId="36"/>
    <cellStyle name="Стиль 2" xfId="37"/>
    <cellStyle name="Стиль 3" xfId="38"/>
    <cellStyle name="Стиль 4" xfId="39"/>
    <cellStyle name="Стиль 5" xfId="40"/>
    <cellStyle name="Стиль 6" xfId="41"/>
    <cellStyle name="Финансовый" xfId="51" builtinId="3"/>
    <cellStyle name="Финансовый 2" xfId="50"/>
  </cellStyles>
  <dxfs count="0"/>
  <tableStyles count="0" defaultTableStyle="TableStyleMedium2" defaultPivotStyle="PivotStyleLight16"/>
  <colors>
    <mruColors>
      <color rgb="FFFF99CC"/>
      <color rgb="FFFF3399"/>
      <color rgb="FF66FFFF"/>
      <color rgb="FF99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tabSelected="1" view="pageBreakPreview" zoomScale="90" zoomScaleNormal="80" zoomScaleSheetLayoutView="90" workbookViewId="0">
      <pane xSplit="3" ySplit="3" topLeftCell="H57" activePane="bottomRight" state="frozen"/>
      <selection pane="topRight" activeCell="C1" sqref="C1"/>
      <selection pane="bottomLeft" activeCell="A6" sqref="A6"/>
      <selection pane="bottomRight" activeCell="N60" sqref="N60"/>
    </sheetView>
  </sheetViews>
  <sheetFormatPr defaultColWidth="8.85546875" defaultRowHeight="15" x14ac:dyDescent="0.25"/>
  <cols>
    <col min="1" max="1" width="8.85546875" style="1"/>
    <col min="2" max="2" width="52.28515625" style="6" customWidth="1"/>
    <col min="3" max="3" width="70.5703125" style="7" customWidth="1"/>
    <col min="4" max="4" width="15.7109375" style="7" customWidth="1"/>
    <col min="5" max="5" width="18.28515625" style="1" customWidth="1"/>
    <col min="6" max="6" width="21.85546875" style="8" customWidth="1"/>
    <col min="7" max="7" width="15.7109375" style="1" customWidth="1"/>
    <col min="8" max="8" width="18" style="8" customWidth="1"/>
    <col min="9" max="9" width="18" style="1" customWidth="1"/>
    <col min="10" max="11" width="18" style="8" customWidth="1"/>
    <col min="12" max="12" width="18" style="1" customWidth="1"/>
    <col min="13" max="13" width="18" style="8" customWidth="1"/>
    <col min="14" max="14" width="18" style="1" customWidth="1"/>
    <col min="15" max="15" width="18" style="8" customWidth="1"/>
    <col min="16" max="16" width="18" style="1" customWidth="1"/>
    <col min="17" max="16384" width="8.85546875" style="1"/>
  </cols>
  <sheetData>
    <row r="1" spans="1:15" ht="18.75" customHeight="1" x14ac:dyDescent="0.3">
      <c r="A1" s="69" t="s">
        <v>179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5" t="s">
        <v>166</v>
      </c>
    </row>
    <row r="2" spans="1:15" ht="22.5" x14ac:dyDescent="0.25">
      <c r="B2" s="21"/>
      <c r="C2" s="2"/>
      <c r="D2" s="3"/>
      <c r="E2" s="70"/>
      <c r="F2" s="70"/>
      <c r="G2" s="19"/>
      <c r="H2" s="4"/>
      <c r="I2" s="20"/>
      <c r="J2" s="4"/>
      <c r="K2" s="4"/>
      <c r="L2" s="2"/>
      <c r="M2" s="4"/>
      <c r="N2" s="2"/>
      <c r="O2" s="4" t="s">
        <v>165</v>
      </c>
    </row>
    <row r="3" spans="1:15" ht="75" x14ac:dyDescent="0.25">
      <c r="A3" s="67" t="s">
        <v>164</v>
      </c>
      <c r="B3" s="22" t="s">
        <v>144</v>
      </c>
      <c r="C3" s="22" t="s">
        <v>141</v>
      </c>
      <c r="D3" s="23" t="s">
        <v>168</v>
      </c>
      <c r="E3" s="24" t="s">
        <v>169</v>
      </c>
      <c r="F3" s="25" t="s">
        <v>170</v>
      </c>
      <c r="G3" s="24" t="s">
        <v>171</v>
      </c>
      <c r="H3" s="25" t="s">
        <v>172</v>
      </c>
      <c r="I3" s="24" t="s">
        <v>167</v>
      </c>
      <c r="J3" s="25" t="s">
        <v>173</v>
      </c>
      <c r="K3" s="26" t="s">
        <v>174</v>
      </c>
      <c r="L3" s="27" t="s">
        <v>175</v>
      </c>
      <c r="M3" s="26" t="s">
        <v>176</v>
      </c>
      <c r="N3" s="27" t="s">
        <v>177</v>
      </c>
      <c r="O3" s="26" t="s">
        <v>178</v>
      </c>
    </row>
    <row r="4" spans="1:15" ht="18.75" x14ac:dyDescent="0.25">
      <c r="A4" s="68"/>
      <c r="B4" s="22">
        <v>1</v>
      </c>
      <c r="C4" s="22">
        <v>2</v>
      </c>
      <c r="D4" s="61">
        <v>3</v>
      </c>
      <c r="E4" s="61">
        <v>4</v>
      </c>
      <c r="F4" s="61" t="s">
        <v>157</v>
      </c>
      <c r="G4" s="61">
        <v>6</v>
      </c>
      <c r="H4" s="61" t="s">
        <v>158</v>
      </c>
      <c r="I4" s="61">
        <v>8</v>
      </c>
      <c r="J4" s="61" t="s">
        <v>160</v>
      </c>
      <c r="K4" s="61" t="s">
        <v>161</v>
      </c>
      <c r="L4" s="61">
        <v>11</v>
      </c>
      <c r="M4" s="61" t="s">
        <v>162</v>
      </c>
      <c r="N4" s="61">
        <v>13</v>
      </c>
      <c r="O4" s="61" t="s">
        <v>163</v>
      </c>
    </row>
    <row r="5" spans="1:15" ht="93.75" x14ac:dyDescent="0.25">
      <c r="A5" s="22">
        <v>1</v>
      </c>
      <c r="B5" s="28" t="s">
        <v>137</v>
      </c>
      <c r="C5" s="29" t="s">
        <v>133</v>
      </c>
      <c r="D5" s="30">
        <v>94689.82</v>
      </c>
      <c r="E5" s="31">
        <v>108693.13</v>
      </c>
      <c r="F5" s="25">
        <f>E5/D5</f>
        <v>1.1478861191203025</v>
      </c>
      <c r="G5" s="32">
        <f>E5*1.029</f>
        <v>111845.23076999999</v>
      </c>
      <c r="H5" s="25">
        <f>G5/D5</f>
        <v>1.1811748165747911</v>
      </c>
      <c r="I5" s="31">
        <v>113311.8</v>
      </c>
      <c r="J5" s="25">
        <f>I5/E5</f>
        <v>1.0424927500017711</v>
      </c>
      <c r="K5" s="25">
        <f>I5/G5</f>
        <v>1.013112487854005</v>
      </c>
      <c r="L5" s="31">
        <f>I5*0.91</f>
        <v>103113.73800000001</v>
      </c>
      <c r="M5" s="33">
        <f>L5/I5</f>
        <v>0.91</v>
      </c>
      <c r="N5" s="31">
        <f>L5*0.989</f>
        <v>101979.48688200001</v>
      </c>
      <c r="O5" s="33">
        <f>N5/L5</f>
        <v>0.98899999999999999</v>
      </c>
    </row>
    <row r="6" spans="1:15" ht="18.75" x14ac:dyDescent="0.25">
      <c r="A6" s="22">
        <v>2</v>
      </c>
      <c r="B6" s="28" t="s">
        <v>134</v>
      </c>
      <c r="C6" s="29" t="s">
        <v>119</v>
      </c>
      <c r="D6" s="30">
        <v>75316.740000000005</v>
      </c>
      <c r="E6" s="32">
        <f>92128.43-8355.47</f>
        <v>83772.959999999992</v>
      </c>
      <c r="F6" s="25">
        <f>E6/D6</f>
        <v>1.1122754383686813</v>
      </c>
      <c r="G6" s="32">
        <f>E6</f>
        <v>83772.959999999992</v>
      </c>
      <c r="H6" s="25">
        <f t="shared" ref="H6:H26" si="0">G6/D6</f>
        <v>1.1122754383686813</v>
      </c>
      <c r="I6" s="31">
        <v>91097.5</v>
      </c>
      <c r="J6" s="25">
        <f t="shared" ref="J6:J25" si="1">I6/E6</f>
        <v>1.087433224276664</v>
      </c>
      <c r="K6" s="25">
        <f t="shared" ref="K6:K23" si="2">I6/G6</f>
        <v>1.087433224276664</v>
      </c>
      <c r="L6" s="31">
        <f t="shared" ref="L6:L24" si="3">I6*0.91</f>
        <v>82898.725000000006</v>
      </c>
      <c r="M6" s="33">
        <f t="shared" ref="M6:M25" si="4">L6/I6</f>
        <v>0.91</v>
      </c>
      <c r="N6" s="31">
        <f t="shared" ref="N6:N24" si="5">L6*0.989</f>
        <v>81986.839025000008</v>
      </c>
      <c r="O6" s="33">
        <f t="shared" ref="O6:O25" si="6">N6/L6</f>
        <v>0.98899999999999999</v>
      </c>
    </row>
    <row r="7" spans="1:15" ht="56.25" x14ac:dyDescent="0.25">
      <c r="A7" s="22">
        <v>3</v>
      </c>
      <c r="B7" s="28" t="s">
        <v>135</v>
      </c>
      <c r="C7" s="29" t="s">
        <v>120</v>
      </c>
      <c r="D7" s="30">
        <f>1040857.97+63699.66</f>
        <v>1104557.6299999999</v>
      </c>
      <c r="E7" s="32">
        <f>1062219.33+69288.97</f>
        <v>1131508.3</v>
      </c>
      <c r="F7" s="25">
        <f t="shared" ref="F7:F23" si="7">E7/D7</f>
        <v>1.024399514582141</v>
      </c>
      <c r="G7" s="32">
        <f>E7*1.038+34250</f>
        <v>1208755.6154</v>
      </c>
      <c r="H7" s="25">
        <f t="shared" si="0"/>
        <v>1.0943345847875769</v>
      </c>
      <c r="I7" s="31">
        <f t="shared" ref="I6:I21" si="8">G7*1.038</f>
        <v>1254688.3287852001</v>
      </c>
      <c r="J7" s="25">
        <f t="shared" si="1"/>
        <v>1.1088635662550599</v>
      </c>
      <c r="K7" s="25">
        <f t="shared" si="2"/>
        <v>1.038</v>
      </c>
      <c r="L7" s="31">
        <f t="shared" si="3"/>
        <v>1141766.3791945321</v>
      </c>
      <c r="M7" s="33">
        <f t="shared" si="4"/>
        <v>0.90999999999999992</v>
      </c>
      <c r="N7" s="31">
        <f t="shared" si="5"/>
        <v>1129206.9490233923</v>
      </c>
      <c r="O7" s="33">
        <f t="shared" si="6"/>
        <v>0.9890000000000001</v>
      </c>
    </row>
    <row r="8" spans="1:15" ht="18.75" x14ac:dyDescent="0.25">
      <c r="A8" s="22">
        <v>4</v>
      </c>
      <c r="B8" s="28">
        <v>340</v>
      </c>
      <c r="C8" s="29" t="s">
        <v>122</v>
      </c>
      <c r="D8" s="30"/>
      <c r="E8" s="32"/>
      <c r="F8" s="25"/>
      <c r="G8" s="32"/>
      <c r="H8" s="25"/>
      <c r="I8" s="31">
        <f t="shared" si="8"/>
        <v>0</v>
      </c>
      <c r="J8" s="25"/>
      <c r="K8" s="25"/>
      <c r="L8" s="31">
        <f t="shared" si="3"/>
        <v>0</v>
      </c>
      <c r="M8" s="33"/>
      <c r="N8" s="31">
        <f t="shared" si="5"/>
        <v>0</v>
      </c>
      <c r="O8" s="33"/>
    </row>
    <row r="9" spans="1:15" ht="18.75" x14ac:dyDescent="0.25">
      <c r="A9" s="22">
        <v>5</v>
      </c>
      <c r="B9" s="34" t="s">
        <v>136</v>
      </c>
      <c r="C9" s="29" t="s">
        <v>121</v>
      </c>
      <c r="D9" s="30">
        <v>57474.17</v>
      </c>
      <c r="E9" s="32">
        <v>65322.28</v>
      </c>
      <c r="F9" s="25">
        <f t="shared" si="7"/>
        <v>1.136550210294468</v>
      </c>
      <c r="G9" s="32">
        <f>E9</f>
        <v>65322.28</v>
      </c>
      <c r="H9" s="25">
        <f t="shared" si="0"/>
        <v>1.136550210294468</v>
      </c>
      <c r="I9" s="31">
        <v>72097.3</v>
      </c>
      <c r="J9" s="25">
        <f t="shared" si="1"/>
        <v>1.1037168329090778</v>
      </c>
      <c r="K9" s="25">
        <f t="shared" si="2"/>
        <v>1.1037168329090778</v>
      </c>
      <c r="L9" s="31">
        <f t="shared" si="3"/>
        <v>65608.543000000005</v>
      </c>
      <c r="M9" s="33">
        <f t="shared" si="4"/>
        <v>0.91</v>
      </c>
      <c r="N9" s="31">
        <f t="shared" si="5"/>
        <v>64886.849027000004</v>
      </c>
      <c r="O9" s="33">
        <f t="shared" si="6"/>
        <v>0.98899999999999999</v>
      </c>
    </row>
    <row r="10" spans="1:15" ht="18.75" x14ac:dyDescent="0.25">
      <c r="A10" s="22">
        <v>6</v>
      </c>
      <c r="B10" s="28">
        <v>720</v>
      </c>
      <c r="C10" s="29" t="s">
        <v>123</v>
      </c>
      <c r="D10" s="30">
        <v>2.9</v>
      </c>
      <c r="E10" s="32">
        <v>3</v>
      </c>
      <c r="F10" s="25">
        <f t="shared" si="7"/>
        <v>1.0344827586206897</v>
      </c>
      <c r="G10" s="32">
        <f>E10</f>
        <v>3</v>
      </c>
      <c r="H10" s="25">
        <f t="shared" si="0"/>
        <v>1.0344827586206897</v>
      </c>
      <c r="I10" s="31">
        <v>3</v>
      </c>
      <c r="J10" s="25">
        <f t="shared" si="1"/>
        <v>1</v>
      </c>
      <c r="K10" s="25">
        <f t="shared" si="2"/>
        <v>1</v>
      </c>
      <c r="L10" s="31">
        <f t="shared" si="3"/>
        <v>2.73</v>
      </c>
      <c r="M10" s="33">
        <f t="shared" si="4"/>
        <v>0.91</v>
      </c>
      <c r="N10" s="31">
        <f t="shared" si="5"/>
        <v>2.69997</v>
      </c>
      <c r="O10" s="33">
        <f t="shared" si="6"/>
        <v>0.98899999999999999</v>
      </c>
    </row>
    <row r="11" spans="1:15" ht="18.75" x14ac:dyDescent="0.25">
      <c r="A11" s="22">
        <v>7</v>
      </c>
      <c r="B11" s="28" t="s">
        <v>138</v>
      </c>
      <c r="C11" s="29" t="s">
        <v>124</v>
      </c>
      <c r="D11" s="30">
        <v>276.45</v>
      </c>
      <c r="E11" s="32">
        <v>185</v>
      </c>
      <c r="F11" s="25">
        <f t="shared" si="7"/>
        <v>0.66919877012117923</v>
      </c>
      <c r="G11" s="32">
        <f>E11/9*12</f>
        <v>246.66666666666669</v>
      </c>
      <c r="H11" s="25">
        <f t="shared" si="0"/>
        <v>0.89226502682823905</v>
      </c>
      <c r="I11" s="31">
        <f t="shared" si="8"/>
        <v>256.04000000000002</v>
      </c>
      <c r="J11" s="25">
        <f t="shared" si="1"/>
        <v>1.3840000000000001</v>
      </c>
      <c r="K11" s="25">
        <f t="shared" si="2"/>
        <v>1.038</v>
      </c>
      <c r="L11" s="31">
        <f t="shared" si="3"/>
        <v>232.99640000000002</v>
      </c>
      <c r="M11" s="33">
        <f t="shared" si="4"/>
        <v>0.91</v>
      </c>
      <c r="N11" s="31">
        <f t="shared" si="5"/>
        <v>230.43343960000001</v>
      </c>
      <c r="O11" s="33">
        <f t="shared" si="6"/>
        <v>0.98899999999999999</v>
      </c>
    </row>
    <row r="12" spans="1:15" ht="93.75" x14ac:dyDescent="0.25">
      <c r="A12" s="22">
        <v>8</v>
      </c>
      <c r="B12" s="34" t="s">
        <v>156</v>
      </c>
      <c r="C12" s="29" t="s">
        <v>125</v>
      </c>
      <c r="D12" s="30">
        <f>570258.67-2512.96</f>
        <v>567745.71000000008</v>
      </c>
      <c r="E12" s="32">
        <v>553186.44999999995</v>
      </c>
      <c r="F12" s="25">
        <f t="shared" si="7"/>
        <v>0.97435601935239613</v>
      </c>
      <c r="G12" s="32">
        <f>E12*1.02</f>
        <v>564250.179</v>
      </c>
      <c r="H12" s="25">
        <f t="shared" si="0"/>
        <v>0.99384313973944416</v>
      </c>
      <c r="I12" s="31">
        <f>103420.1-2400+4821</f>
        <v>105841.1</v>
      </c>
      <c r="J12" s="25">
        <f t="shared" si="1"/>
        <v>0.19132988524935854</v>
      </c>
      <c r="K12" s="25">
        <f t="shared" si="2"/>
        <v>0.18757831887192011</v>
      </c>
      <c r="L12" s="31">
        <f t="shared" si="3"/>
        <v>96315.401000000013</v>
      </c>
      <c r="M12" s="33">
        <f t="shared" si="4"/>
        <v>0.91</v>
      </c>
      <c r="N12" s="31">
        <f t="shared" si="5"/>
        <v>95255.931589000014</v>
      </c>
      <c r="O12" s="33">
        <f t="shared" si="6"/>
        <v>0.98899999999999999</v>
      </c>
    </row>
    <row r="13" spans="1:15" ht="93.75" x14ac:dyDescent="0.25">
      <c r="A13" s="22">
        <v>9</v>
      </c>
      <c r="B13" s="28" t="s">
        <v>139</v>
      </c>
      <c r="C13" s="29" t="s">
        <v>126</v>
      </c>
      <c r="D13" s="30">
        <f>1517229.34-D7</f>
        <v>412671.7100000002</v>
      </c>
      <c r="E13" s="32">
        <f>1946346.22-E7</f>
        <v>814837.91999999993</v>
      </c>
      <c r="F13" s="25">
        <f t="shared" si="7"/>
        <v>1.9745427182299449</v>
      </c>
      <c r="G13" s="32">
        <f>E13*1.08</f>
        <v>880024.95360000001</v>
      </c>
      <c r="H13" s="25">
        <f t="shared" si="0"/>
        <v>2.1325061356883408</v>
      </c>
      <c r="I13" s="31">
        <f>G13*1.038-648000+10862.7-1500-1315.6+78288.7</f>
        <v>351801.70183680009</v>
      </c>
      <c r="J13" s="25">
        <f t="shared" si="1"/>
        <v>0.4317443913714768</v>
      </c>
      <c r="K13" s="25">
        <f t="shared" si="2"/>
        <v>0.39976332534395997</v>
      </c>
      <c r="L13" s="31">
        <f>I13*0.91-624.2-691.4+1197.2-54.6</f>
        <v>319966.54867148807</v>
      </c>
      <c r="M13" s="33">
        <f t="shared" si="4"/>
        <v>0.90950824569893562</v>
      </c>
      <c r="N13" s="31">
        <f>L13*0.989+955.4</f>
        <v>317402.31663610169</v>
      </c>
      <c r="O13" s="33">
        <f t="shared" si="6"/>
        <v>0.9919859371361377</v>
      </c>
    </row>
    <row r="14" spans="1:15" ht="56.25" x14ac:dyDescent="0.25">
      <c r="A14" s="22">
        <v>10</v>
      </c>
      <c r="B14" s="35">
        <v>630</v>
      </c>
      <c r="C14" s="29" t="s">
        <v>127</v>
      </c>
      <c r="D14" s="30">
        <v>0</v>
      </c>
      <c r="E14" s="32">
        <v>0</v>
      </c>
      <c r="F14" s="25">
        <v>0</v>
      </c>
      <c r="G14" s="32">
        <v>0</v>
      </c>
      <c r="H14" s="25"/>
      <c r="I14" s="31">
        <f t="shared" si="8"/>
        <v>0</v>
      </c>
      <c r="J14" s="25"/>
      <c r="K14" s="25"/>
      <c r="L14" s="31">
        <f t="shared" si="3"/>
        <v>0</v>
      </c>
      <c r="M14" s="33"/>
      <c r="N14" s="31">
        <f t="shared" si="5"/>
        <v>0</v>
      </c>
      <c r="O14" s="33"/>
    </row>
    <row r="15" spans="1:15" ht="75" x14ac:dyDescent="0.25">
      <c r="A15" s="22">
        <v>11</v>
      </c>
      <c r="B15" s="36">
        <v>810</v>
      </c>
      <c r="C15" s="29" t="s">
        <v>0</v>
      </c>
      <c r="D15" s="30">
        <v>25308.880000000001</v>
      </c>
      <c r="E15" s="32">
        <v>29889.11</v>
      </c>
      <c r="F15" s="25">
        <f t="shared" si="7"/>
        <v>1.1809732394321677</v>
      </c>
      <c r="G15" s="32">
        <f>E15</f>
        <v>29889.11</v>
      </c>
      <c r="H15" s="25">
        <f t="shared" si="0"/>
        <v>1.1809732394321677</v>
      </c>
      <c r="I15" s="31">
        <v>33652.300000000003</v>
      </c>
      <c r="J15" s="25">
        <f t="shared" si="1"/>
        <v>1.1259050537135433</v>
      </c>
      <c r="K15" s="25">
        <f t="shared" si="2"/>
        <v>1.1259050537135433</v>
      </c>
      <c r="L15" s="31">
        <f t="shared" si="3"/>
        <v>30623.593000000004</v>
      </c>
      <c r="M15" s="33">
        <f t="shared" si="4"/>
        <v>0.91</v>
      </c>
      <c r="N15" s="31">
        <f t="shared" si="5"/>
        <v>30286.733477000005</v>
      </c>
      <c r="O15" s="33">
        <f t="shared" si="6"/>
        <v>0.98899999999999999</v>
      </c>
    </row>
    <row r="16" spans="1:15" ht="18.75" x14ac:dyDescent="0.25">
      <c r="A16" s="22">
        <v>12</v>
      </c>
      <c r="B16" s="36">
        <v>830</v>
      </c>
      <c r="C16" s="29" t="s">
        <v>128</v>
      </c>
      <c r="D16" s="30">
        <v>1999.48</v>
      </c>
      <c r="E16" s="32">
        <v>4235.55</v>
      </c>
      <c r="F16" s="25">
        <f t="shared" si="7"/>
        <v>2.1183257646988216</v>
      </c>
      <c r="G16" s="32">
        <f>E16/9*12</f>
        <v>5647.4</v>
      </c>
      <c r="H16" s="25">
        <f t="shared" si="0"/>
        <v>2.8244343529317621</v>
      </c>
      <c r="I16" s="31">
        <v>1992.2</v>
      </c>
      <c r="J16" s="25">
        <f t="shared" si="1"/>
        <v>0.47035213844719104</v>
      </c>
      <c r="K16" s="25">
        <f t="shared" si="2"/>
        <v>0.35276410383539331</v>
      </c>
      <c r="L16" s="31">
        <f t="shared" si="3"/>
        <v>1812.902</v>
      </c>
      <c r="M16" s="33">
        <f t="shared" si="4"/>
        <v>0.91</v>
      </c>
      <c r="N16" s="31">
        <f t="shared" si="5"/>
        <v>1792.9600780000001</v>
      </c>
      <c r="O16" s="33">
        <f t="shared" si="6"/>
        <v>0.98899999999999999</v>
      </c>
    </row>
    <row r="17" spans="1:15" ht="18.75" x14ac:dyDescent="0.25">
      <c r="A17" s="22">
        <v>13</v>
      </c>
      <c r="B17" s="36">
        <v>850</v>
      </c>
      <c r="C17" s="29" t="s">
        <v>129</v>
      </c>
      <c r="D17" s="30">
        <v>2488.79</v>
      </c>
      <c r="E17" s="32">
        <v>4142.8100000000004</v>
      </c>
      <c r="F17" s="25">
        <f t="shared" si="7"/>
        <v>1.6645880126487171</v>
      </c>
      <c r="G17" s="32">
        <f>E17/9*12</f>
        <v>5523.7466666666669</v>
      </c>
      <c r="H17" s="25">
        <f t="shared" si="0"/>
        <v>2.2194506835316226</v>
      </c>
      <c r="I17" s="31">
        <v>743.9</v>
      </c>
      <c r="J17" s="25">
        <f t="shared" si="1"/>
        <v>0.17956411228127767</v>
      </c>
      <c r="K17" s="25">
        <f t="shared" si="2"/>
        <v>0.13467308421095825</v>
      </c>
      <c r="L17" s="31">
        <f t="shared" si="3"/>
        <v>676.94899999999996</v>
      </c>
      <c r="M17" s="33">
        <f t="shared" si="4"/>
        <v>0.90999999999999992</v>
      </c>
      <c r="N17" s="31">
        <f t="shared" si="5"/>
        <v>669.5025609999999</v>
      </c>
      <c r="O17" s="33">
        <f t="shared" si="6"/>
        <v>0.98899999999999988</v>
      </c>
    </row>
    <row r="18" spans="1:15" ht="56.25" x14ac:dyDescent="0.25">
      <c r="A18" s="22">
        <v>14</v>
      </c>
      <c r="B18" s="36">
        <v>400</v>
      </c>
      <c r="C18" s="29" t="s">
        <v>130</v>
      </c>
      <c r="D18" s="30">
        <v>23420.83</v>
      </c>
      <c r="E18" s="32">
        <v>2391.31</v>
      </c>
      <c r="F18" s="25">
        <f t="shared" si="7"/>
        <v>0.10210184694564624</v>
      </c>
      <c r="G18" s="32">
        <f>E18</f>
        <v>2391.31</v>
      </c>
      <c r="H18" s="25">
        <f t="shared" si="0"/>
        <v>0.10210184694564624</v>
      </c>
      <c r="I18" s="31">
        <v>0</v>
      </c>
      <c r="J18" s="25">
        <f t="shared" si="1"/>
        <v>0</v>
      </c>
      <c r="K18" s="25"/>
      <c r="L18" s="31">
        <f t="shared" si="3"/>
        <v>0</v>
      </c>
      <c r="M18" s="33"/>
      <c r="N18" s="31">
        <f t="shared" si="5"/>
        <v>0</v>
      </c>
      <c r="O18" s="33"/>
    </row>
    <row r="19" spans="1:15" ht="37.5" x14ac:dyDescent="0.25">
      <c r="A19" s="22">
        <v>15</v>
      </c>
      <c r="B19" s="36">
        <v>243</v>
      </c>
      <c r="C19" s="29" t="s">
        <v>131</v>
      </c>
      <c r="D19" s="30">
        <v>2512.96</v>
      </c>
      <c r="E19" s="32">
        <v>60289.06</v>
      </c>
      <c r="F19" s="25">
        <f t="shared" si="7"/>
        <v>23.991253342671587</v>
      </c>
      <c r="G19" s="32">
        <f>E19</f>
        <v>60289.06</v>
      </c>
      <c r="H19" s="25">
        <f t="shared" si="0"/>
        <v>23.991253342671587</v>
      </c>
      <c r="I19" s="31">
        <f>5400</f>
        <v>5400</v>
      </c>
      <c r="J19" s="25">
        <f t="shared" si="1"/>
        <v>8.9568488876754754E-2</v>
      </c>
      <c r="K19" s="25"/>
      <c r="L19" s="31">
        <f t="shared" si="3"/>
        <v>4914</v>
      </c>
      <c r="M19" s="33"/>
      <c r="N19" s="31">
        <f t="shared" si="5"/>
        <v>4859.9459999999999</v>
      </c>
      <c r="O19" s="33"/>
    </row>
    <row r="20" spans="1:15" ht="18.75" x14ac:dyDescent="0.25">
      <c r="A20" s="22">
        <v>16</v>
      </c>
      <c r="B20" s="36">
        <v>350</v>
      </c>
      <c r="C20" s="29" t="s">
        <v>132</v>
      </c>
      <c r="D20" s="30"/>
      <c r="E20" s="32"/>
      <c r="F20" s="25"/>
      <c r="G20" s="32"/>
      <c r="H20" s="25"/>
      <c r="I20" s="31">
        <f t="shared" si="8"/>
        <v>0</v>
      </c>
      <c r="J20" s="25"/>
      <c r="K20" s="25"/>
      <c r="L20" s="31">
        <f t="shared" si="3"/>
        <v>0</v>
      </c>
      <c r="M20" s="33"/>
      <c r="N20" s="31">
        <f t="shared" si="5"/>
        <v>0</v>
      </c>
      <c r="O20" s="33"/>
    </row>
    <row r="21" spans="1:15" ht="18.75" x14ac:dyDescent="0.25">
      <c r="A21" s="22">
        <v>17</v>
      </c>
      <c r="B21" s="36">
        <v>820</v>
      </c>
      <c r="C21" s="29" t="s">
        <v>1</v>
      </c>
      <c r="D21" s="30"/>
      <c r="E21" s="32"/>
      <c r="F21" s="25"/>
      <c r="G21" s="32"/>
      <c r="H21" s="25"/>
      <c r="I21" s="31">
        <f t="shared" si="8"/>
        <v>0</v>
      </c>
      <c r="J21" s="25"/>
      <c r="K21" s="25"/>
      <c r="L21" s="31">
        <f t="shared" si="3"/>
        <v>0</v>
      </c>
      <c r="M21" s="33"/>
      <c r="N21" s="31">
        <f t="shared" si="5"/>
        <v>0</v>
      </c>
      <c r="O21" s="33"/>
    </row>
    <row r="22" spans="1:15" ht="18.75" x14ac:dyDescent="0.25">
      <c r="A22" s="22">
        <v>18</v>
      </c>
      <c r="B22" s="36">
        <v>870</v>
      </c>
      <c r="C22" s="29" t="s">
        <v>2</v>
      </c>
      <c r="D22" s="30"/>
      <c r="E22" s="31">
        <v>1500</v>
      </c>
      <c r="F22" s="25"/>
      <c r="G22" s="32"/>
      <c r="H22" s="25"/>
      <c r="I22" s="31">
        <v>1500</v>
      </c>
      <c r="J22" s="25">
        <f t="shared" si="1"/>
        <v>1</v>
      </c>
      <c r="K22" s="25"/>
      <c r="L22" s="31">
        <v>1500</v>
      </c>
      <c r="M22" s="33">
        <f t="shared" si="4"/>
        <v>1</v>
      </c>
      <c r="N22" s="31">
        <v>1500</v>
      </c>
      <c r="O22" s="33">
        <f t="shared" si="6"/>
        <v>1</v>
      </c>
    </row>
    <row r="23" spans="1:15" ht="18.75" x14ac:dyDescent="0.25">
      <c r="A23" s="22">
        <v>19</v>
      </c>
      <c r="B23" s="36">
        <v>500</v>
      </c>
      <c r="C23" s="29" t="s">
        <v>142</v>
      </c>
      <c r="D23" s="30">
        <v>150200.32000000001</v>
      </c>
      <c r="E23" s="32">
        <f>210063.16-34250</f>
        <v>175813.16</v>
      </c>
      <c r="F23" s="25">
        <f t="shared" si="7"/>
        <v>1.1705245368318788</v>
      </c>
      <c r="G23" s="32">
        <f>E23+34250</f>
        <v>210063.16</v>
      </c>
      <c r="H23" s="25">
        <f t="shared" si="0"/>
        <v>1.3985533452924734</v>
      </c>
      <c r="I23" s="31">
        <f>L23</f>
        <v>56021.3</v>
      </c>
      <c r="J23" s="25">
        <f t="shared" si="1"/>
        <v>0.31864110741198215</v>
      </c>
      <c r="K23" s="25">
        <f t="shared" si="2"/>
        <v>0.26668788568162072</v>
      </c>
      <c r="L23" s="31">
        <f>L86</f>
        <v>56021.3</v>
      </c>
      <c r="M23" s="33">
        <f t="shared" si="4"/>
        <v>1</v>
      </c>
      <c r="N23" s="31">
        <f>L23</f>
        <v>56021.3</v>
      </c>
      <c r="O23" s="33">
        <f t="shared" si="6"/>
        <v>1</v>
      </c>
    </row>
    <row r="24" spans="1:15" ht="18.75" x14ac:dyDescent="0.25">
      <c r="A24" s="22">
        <v>20</v>
      </c>
      <c r="B24" s="36" t="s">
        <v>151</v>
      </c>
      <c r="C24" s="29" t="s">
        <v>143</v>
      </c>
      <c r="D24" s="30"/>
      <c r="E24" s="32">
        <v>2900</v>
      </c>
      <c r="F24" s="25"/>
      <c r="G24" s="32">
        <f>E24</f>
        <v>2900</v>
      </c>
      <c r="H24" s="25"/>
      <c r="I24" s="31">
        <v>0</v>
      </c>
      <c r="J24" s="25"/>
      <c r="K24" s="25"/>
      <c r="L24" s="31">
        <f t="shared" si="3"/>
        <v>0</v>
      </c>
      <c r="M24" s="33"/>
      <c r="N24" s="31">
        <f t="shared" si="5"/>
        <v>0</v>
      </c>
      <c r="O24" s="33"/>
    </row>
    <row r="25" spans="1:15" s="9" customFormat="1" ht="18.75" x14ac:dyDescent="0.25">
      <c r="A25" s="22">
        <v>21</v>
      </c>
      <c r="B25" s="38"/>
      <c r="C25" s="39" t="s">
        <v>153</v>
      </c>
      <c r="D25" s="40"/>
      <c r="E25" s="41">
        <f>2994498.64-2954897.1</f>
        <v>39601.540000000037</v>
      </c>
      <c r="F25" s="25"/>
      <c r="G25" s="41"/>
      <c r="H25" s="25"/>
      <c r="I25" s="31">
        <v>47080</v>
      </c>
      <c r="J25" s="25">
        <f t="shared" si="1"/>
        <v>1.1888426561189276</v>
      </c>
      <c r="K25" s="25"/>
      <c r="L25" s="31">
        <f>I25*0.91-333.3</f>
        <v>42509.5</v>
      </c>
      <c r="M25" s="33">
        <f t="shared" si="4"/>
        <v>0.90292056074766358</v>
      </c>
      <c r="N25" s="31">
        <f>L25*0.989-254</f>
        <v>41787.895499999999</v>
      </c>
      <c r="O25" s="33">
        <f t="shared" si="6"/>
        <v>0.98302486503016973</v>
      </c>
    </row>
    <row r="26" spans="1:15" s="10" customFormat="1" ht="18.75" x14ac:dyDescent="0.2">
      <c r="A26" s="22">
        <v>22</v>
      </c>
      <c r="B26" s="42"/>
      <c r="C26" s="43" t="s">
        <v>3</v>
      </c>
      <c r="D26" s="44">
        <f>SUM(D5:D25)-D6</f>
        <v>2443349.6499999994</v>
      </c>
      <c r="E26" s="44">
        <f>SUM(E5:E25)-E6</f>
        <v>2994498.62</v>
      </c>
      <c r="F26" s="44">
        <f>E26/D26*100</f>
        <v>122.55710597949012</v>
      </c>
      <c r="G26" s="44">
        <f t="shared" ref="G26" si="9">SUM(G5:G25)-G6</f>
        <v>3147151.7121033333</v>
      </c>
      <c r="H26" s="25">
        <f t="shared" si="0"/>
        <v>1.2880480336096531</v>
      </c>
      <c r="I26" s="31">
        <f>I5+I7+I9+I10+I11+I12+I13+I15+I16+I17+I23+I25+I22</f>
        <v>2038988.9706220005</v>
      </c>
      <c r="J26" s="31"/>
      <c r="K26" s="31"/>
      <c r="L26" s="31">
        <f t="shared" ref="L26" si="10">L5+L7+L9+L10+L11+L12+L13+L15+L16+L17+L23+L25+L22</f>
        <v>1860150.5802660205</v>
      </c>
      <c r="M26" s="31"/>
      <c r="N26" s="31">
        <f t="shared" ref="N26" si="11">N5+N7+N9+N10+N11+N12+N13+N15+N16+N17+N23+N25+N22</f>
        <v>1841023.0581830938</v>
      </c>
      <c r="O26" s="46"/>
    </row>
    <row r="27" spans="1:15" s="11" customFormat="1" ht="18.75" x14ac:dyDescent="0.25">
      <c r="A27" s="22">
        <v>23</v>
      </c>
      <c r="B27" s="47"/>
      <c r="C27" s="48" t="s">
        <v>10</v>
      </c>
      <c r="D27" s="49">
        <v>969.6</v>
      </c>
      <c r="E27" s="50">
        <v>969.6</v>
      </c>
      <c r="F27" s="51"/>
      <c r="G27" s="50">
        <v>969.6</v>
      </c>
      <c r="H27" s="51"/>
      <c r="I27" s="50">
        <v>969.6</v>
      </c>
      <c r="J27" s="51"/>
      <c r="K27" s="51"/>
      <c r="L27" s="50">
        <v>969.6</v>
      </c>
      <c r="M27" s="51"/>
      <c r="N27" s="50"/>
      <c r="O27" s="51"/>
    </row>
    <row r="28" spans="1:15" ht="18.75" x14ac:dyDescent="0.25">
      <c r="A28" s="22">
        <v>24</v>
      </c>
      <c r="B28" s="52" t="s">
        <v>11</v>
      </c>
      <c r="C28" s="43" t="s">
        <v>12</v>
      </c>
      <c r="D28" s="37"/>
      <c r="E28" s="53"/>
      <c r="F28" s="54"/>
      <c r="G28" s="53"/>
      <c r="H28" s="54"/>
      <c r="I28" s="53"/>
      <c r="J28" s="54"/>
      <c r="K28" s="54"/>
      <c r="L28" s="53"/>
      <c r="M28" s="54"/>
      <c r="N28" s="53"/>
      <c r="O28" s="54"/>
    </row>
    <row r="29" spans="1:15" s="5" customFormat="1" ht="18.75" x14ac:dyDescent="0.25">
      <c r="A29" s="22">
        <v>25</v>
      </c>
      <c r="B29" s="55" t="s">
        <v>9</v>
      </c>
      <c r="C29" s="43" t="s">
        <v>13</v>
      </c>
      <c r="D29" s="45">
        <f>D30+D31+D32+D33+D34+D35+D36</f>
        <v>120136.53</v>
      </c>
      <c r="E29" s="45">
        <f t="shared" ref="E29:L29" si="12">E30+E31+E32+E33+E34+E35+E36</f>
        <v>99613.16</v>
      </c>
      <c r="F29" s="45">
        <f>E29/D29*100</f>
        <v>82.916628272849238</v>
      </c>
      <c r="G29" s="45">
        <f t="shared" si="12"/>
        <v>122404.499</v>
      </c>
      <c r="H29" s="45">
        <f>G29/D29*100</f>
        <v>101.88782629230259</v>
      </c>
      <c r="I29" s="45">
        <f t="shared" si="12"/>
        <v>104193.59999999999</v>
      </c>
      <c r="J29" s="45">
        <f>I29/E29*100</f>
        <v>104.59822778436101</v>
      </c>
      <c r="K29" s="45">
        <f>I29/G29*100</f>
        <v>85.12236139294194</v>
      </c>
      <c r="L29" s="45">
        <f t="shared" si="12"/>
        <v>95156.563200000004</v>
      </c>
      <c r="M29" s="45">
        <f>L29/I29*100</f>
        <v>91.326687243746278</v>
      </c>
      <c r="N29" s="45">
        <f>N30+N31+N32+N33+N35+N36</f>
        <v>93564.401625600003</v>
      </c>
      <c r="O29" s="45">
        <f>N29/L29*100</f>
        <v>98.326797941353135</v>
      </c>
    </row>
    <row r="30" spans="1:15" ht="56.25" x14ac:dyDescent="0.25">
      <c r="A30" s="22">
        <v>26</v>
      </c>
      <c r="B30" s="57" t="s">
        <v>8</v>
      </c>
      <c r="C30" s="58" t="s">
        <v>14</v>
      </c>
      <c r="D30" s="37">
        <v>1857.43</v>
      </c>
      <c r="E30" s="53">
        <v>1640</v>
      </c>
      <c r="F30" s="45">
        <f t="shared" ref="F30:F89" si="13">E30/D30*100</f>
        <v>88.294040690631675</v>
      </c>
      <c r="G30" s="53">
        <f>D30*1.18-200</f>
        <v>1991.7674000000002</v>
      </c>
      <c r="H30" s="45">
        <f t="shared" ref="H30:H89" si="14">G30/D30*100</f>
        <v>107.23243406211809</v>
      </c>
      <c r="I30" s="53">
        <v>1938.3</v>
      </c>
      <c r="J30" s="45">
        <f t="shared" ref="J30:J90" si="15">I30/E30*100</f>
        <v>118.1890243902439</v>
      </c>
      <c r="K30" s="45">
        <f t="shared" ref="K30:K89" si="16">I30/G30*100</f>
        <v>97.315580122458073</v>
      </c>
      <c r="L30" s="53">
        <f>I30*0.912</f>
        <v>1767.7296000000001</v>
      </c>
      <c r="M30" s="45">
        <f t="shared" ref="M30:M90" si="17">L30/I30*100</f>
        <v>91.2</v>
      </c>
      <c r="N30" s="45">
        <f t="shared" ref="N30:N88" si="18">L30*0.983</f>
        <v>1737.6781968</v>
      </c>
      <c r="O30" s="45">
        <f t="shared" ref="O30:O90" si="19">N30/L30*100</f>
        <v>98.3</v>
      </c>
    </row>
    <row r="31" spans="1:15" ht="56.25" x14ac:dyDescent="0.25">
      <c r="A31" s="22">
        <v>27</v>
      </c>
      <c r="B31" s="57" t="s">
        <v>7</v>
      </c>
      <c r="C31" s="58" t="s">
        <v>15</v>
      </c>
      <c r="D31" s="37">
        <v>1812.86</v>
      </c>
      <c r="E31" s="53">
        <v>1624.4</v>
      </c>
      <c r="F31" s="45">
        <f t="shared" si="13"/>
        <v>89.604271703275501</v>
      </c>
      <c r="G31" s="53">
        <f>D31*1.18-300</f>
        <v>1839.1747999999998</v>
      </c>
      <c r="H31" s="45">
        <f t="shared" si="14"/>
        <v>101.45156272409341</v>
      </c>
      <c r="I31" s="53">
        <v>1598.4</v>
      </c>
      <c r="J31" s="45">
        <f t="shared" si="15"/>
        <v>98.399409012558479</v>
      </c>
      <c r="K31" s="45">
        <f t="shared" si="16"/>
        <v>86.908541809076567</v>
      </c>
      <c r="L31" s="53">
        <f t="shared" ref="L31:L88" si="20">I31*0.912</f>
        <v>1457.7408</v>
      </c>
      <c r="M31" s="45">
        <f t="shared" si="17"/>
        <v>91.199999999999989</v>
      </c>
      <c r="N31" s="45">
        <f t="shared" si="18"/>
        <v>1432.9592064000001</v>
      </c>
      <c r="O31" s="45">
        <f t="shared" si="19"/>
        <v>98.3</v>
      </c>
    </row>
    <row r="32" spans="1:15" ht="75" x14ac:dyDescent="0.25">
      <c r="A32" s="22">
        <v>28</v>
      </c>
      <c r="B32" s="57" t="s">
        <v>67</v>
      </c>
      <c r="C32" s="58" t="s">
        <v>16</v>
      </c>
      <c r="D32" s="37">
        <v>36806.53</v>
      </c>
      <c r="E32" s="53">
        <f>47618.62-9000</f>
        <v>38618.620000000003</v>
      </c>
      <c r="F32" s="45">
        <f t="shared" si="13"/>
        <v>104.92328399335662</v>
      </c>
      <c r="G32" s="53">
        <f>D32*1.18-1000</f>
        <v>42431.705399999999</v>
      </c>
      <c r="H32" s="45">
        <f t="shared" si="14"/>
        <v>115.28309079937718</v>
      </c>
      <c r="I32" s="53">
        <f>44593+19.2</f>
        <v>44612.2</v>
      </c>
      <c r="J32" s="45">
        <f t="shared" si="15"/>
        <v>115.51992277300431</v>
      </c>
      <c r="K32" s="45">
        <f t="shared" si="16"/>
        <v>105.1388332838491</v>
      </c>
      <c r="L32" s="53">
        <f t="shared" si="20"/>
        <v>40686.326399999998</v>
      </c>
      <c r="M32" s="45">
        <f t="shared" si="17"/>
        <v>91.2</v>
      </c>
      <c r="N32" s="45">
        <f t="shared" si="18"/>
        <v>39994.658851199994</v>
      </c>
      <c r="O32" s="45">
        <f t="shared" si="19"/>
        <v>98.299999999999983</v>
      </c>
    </row>
    <row r="33" spans="1:15" ht="56.25" x14ac:dyDescent="0.25">
      <c r="A33" s="22">
        <v>29</v>
      </c>
      <c r="B33" s="57" t="s">
        <v>6</v>
      </c>
      <c r="C33" s="58" t="s">
        <v>17</v>
      </c>
      <c r="D33" s="37">
        <f>9562.34+218.89</f>
        <v>9781.23</v>
      </c>
      <c r="E33" s="53">
        <f>10054.72+4.9</f>
        <v>10059.619999999999</v>
      </c>
      <c r="F33" s="45">
        <f t="shared" si="13"/>
        <v>102.8461655640446</v>
      </c>
      <c r="G33" s="53">
        <f>D33*1.18-1000</f>
        <v>10541.8514</v>
      </c>
      <c r="H33" s="45">
        <f t="shared" si="14"/>
        <v>107.77633692286143</v>
      </c>
      <c r="I33" s="53">
        <v>10936.6</v>
      </c>
      <c r="J33" s="45">
        <f t="shared" si="15"/>
        <v>108.71782433133659</v>
      </c>
      <c r="K33" s="45">
        <f t="shared" si="16"/>
        <v>103.74458513046389</v>
      </c>
      <c r="L33" s="53">
        <f t="shared" si="20"/>
        <v>9974.1792000000005</v>
      </c>
      <c r="M33" s="45">
        <f t="shared" si="17"/>
        <v>91.2</v>
      </c>
      <c r="N33" s="45">
        <f t="shared" si="18"/>
        <v>9804.6181536000004</v>
      </c>
      <c r="O33" s="45">
        <f t="shared" si="19"/>
        <v>98.3</v>
      </c>
    </row>
    <row r="34" spans="1:15" ht="18.75" x14ac:dyDescent="0.25">
      <c r="A34" s="22">
        <v>30</v>
      </c>
      <c r="B34" s="57" t="s">
        <v>68</v>
      </c>
      <c r="C34" s="58" t="s">
        <v>18</v>
      </c>
      <c r="D34" s="37"/>
      <c r="E34" s="53">
        <v>2900</v>
      </c>
      <c r="F34" s="45"/>
      <c r="G34" s="53">
        <f>E34</f>
        <v>2900</v>
      </c>
      <c r="H34" s="45"/>
      <c r="I34" s="53"/>
      <c r="J34" s="45">
        <f t="shared" si="15"/>
        <v>0</v>
      </c>
      <c r="K34" s="45">
        <f t="shared" si="16"/>
        <v>0</v>
      </c>
      <c r="L34" s="53">
        <f t="shared" si="20"/>
        <v>0</v>
      </c>
      <c r="M34" s="45"/>
      <c r="N34" s="45">
        <f t="shared" si="18"/>
        <v>0</v>
      </c>
      <c r="O34" s="45"/>
    </row>
    <row r="35" spans="1:15" ht="18.75" x14ac:dyDescent="0.25">
      <c r="A35" s="22">
        <v>31</v>
      </c>
      <c r="B35" s="57" t="s">
        <v>69</v>
      </c>
      <c r="C35" s="58" t="s">
        <v>19</v>
      </c>
      <c r="D35" s="37"/>
      <c r="E35" s="53">
        <v>1500</v>
      </c>
      <c r="F35" s="45"/>
      <c r="G35" s="53">
        <f>E35</f>
        <v>1500</v>
      </c>
      <c r="H35" s="45"/>
      <c r="I35" s="53">
        <v>1500</v>
      </c>
      <c r="J35" s="45">
        <f t="shared" si="15"/>
        <v>100</v>
      </c>
      <c r="K35" s="45">
        <f t="shared" si="16"/>
        <v>100</v>
      </c>
      <c r="L35" s="53">
        <v>1500</v>
      </c>
      <c r="M35" s="45">
        <f t="shared" si="17"/>
        <v>100</v>
      </c>
      <c r="N35" s="45">
        <v>1500</v>
      </c>
      <c r="O35" s="45">
        <f t="shared" si="19"/>
        <v>100</v>
      </c>
    </row>
    <row r="36" spans="1:15" ht="18.75" x14ac:dyDescent="0.25">
      <c r="A36" s="22">
        <v>32</v>
      </c>
      <c r="B36" s="57" t="s">
        <v>70</v>
      </c>
      <c r="C36" s="58" t="s">
        <v>20</v>
      </c>
      <c r="D36" s="37">
        <v>69878.48</v>
      </c>
      <c r="E36" s="53">
        <v>43270.52</v>
      </c>
      <c r="F36" s="45">
        <f t="shared" si="13"/>
        <v>61.922526076697714</v>
      </c>
      <c r="G36" s="53">
        <v>61200</v>
      </c>
      <c r="H36" s="45">
        <f t="shared" si="14"/>
        <v>87.580611369909604</v>
      </c>
      <c r="I36" s="53">
        <v>43608.1</v>
      </c>
      <c r="J36" s="45">
        <f t="shared" si="15"/>
        <v>100.78016164353929</v>
      </c>
      <c r="K36" s="45">
        <f t="shared" si="16"/>
        <v>71.255065359477115</v>
      </c>
      <c r="L36" s="53">
        <f t="shared" si="20"/>
        <v>39770.587200000002</v>
      </c>
      <c r="M36" s="45">
        <f t="shared" si="17"/>
        <v>91.2</v>
      </c>
      <c r="N36" s="45">
        <f t="shared" si="18"/>
        <v>39094.487217599999</v>
      </c>
      <c r="O36" s="45">
        <f t="shared" si="19"/>
        <v>98.3</v>
      </c>
    </row>
    <row r="37" spans="1:15" s="5" customFormat="1" ht="18.75" x14ac:dyDescent="0.25">
      <c r="A37" s="22">
        <v>33</v>
      </c>
      <c r="B37" s="55" t="s">
        <v>5</v>
      </c>
      <c r="C37" s="43" t="s">
        <v>21</v>
      </c>
      <c r="D37" s="45"/>
      <c r="E37" s="56"/>
      <c r="F37" s="45"/>
      <c r="G37" s="56"/>
      <c r="H37" s="45"/>
      <c r="I37" s="56"/>
      <c r="J37" s="45"/>
      <c r="K37" s="45"/>
      <c r="L37" s="53">
        <f t="shared" si="20"/>
        <v>0</v>
      </c>
      <c r="M37" s="45"/>
      <c r="N37" s="45">
        <f t="shared" si="18"/>
        <v>0</v>
      </c>
      <c r="O37" s="45"/>
    </row>
    <row r="38" spans="1:15" ht="18.75" x14ac:dyDescent="0.25">
      <c r="A38" s="22">
        <v>34</v>
      </c>
      <c r="B38" s="57" t="s">
        <v>4</v>
      </c>
      <c r="C38" s="58" t="s">
        <v>22</v>
      </c>
      <c r="D38" s="37"/>
      <c r="E38" s="53"/>
      <c r="F38" s="45"/>
      <c r="G38" s="53"/>
      <c r="H38" s="45"/>
      <c r="I38" s="53"/>
      <c r="J38" s="45"/>
      <c r="K38" s="45"/>
      <c r="L38" s="53">
        <f t="shared" si="20"/>
        <v>0</v>
      </c>
      <c r="M38" s="45"/>
      <c r="N38" s="45">
        <f t="shared" si="18"/>
        <v>0</v>
      </c>
      <c r="O38" s="45"/>
    </row>
    <row r="39" spans="1:15" s="5" customFormat="1" ht="37.5" x14ac:dyDescent="0.25">
      <c r="A39" s="22">
        <v>35</v>
      </c>
      <c r="B39" s="55" t="s">
        <v>71</v>
      </c>
      <c r="C39" s="43" t="s">
        <v>23</v>
      </c>
      <c r="D39" s="45">
        <f>D40+D41</f>
        <v>10775.54</v>
      </c>
      <c r="E39" s="45">
        <f t="shared" ref="E39:I39" si="21">E40+E41</f>
        <v>10904.14</v>
      </c>
      <c r="F39" s="45">
        <f t="shared" si="13"/>
        <v>101.19344366964438</v>
      </c>
      <c r="G39" s="45">
        <f t="shared" si="21"/>
        <v>10904.14</v>
      </c>
      <c r="H39" s="45">
        <f t="shared" si="14"/>
        <v>101.19344366964438</v>
      </c>
      <c r="I39" s="45">
        <f t="shared" si="21"/>
        <v>7736</v>
      </c>
      <c r="J39" s="45">
        <f t="shared" si="15"/>
        <v>70.945530780052351</v>
      </c>
      <c r="K39" s="45">
        <f t="shared" si="16"/>
        <v>70.945530780052351</v>
      </c>
      <c r="L39" s="53">
        <f t="shared" si="20"/>
        <v>7055.232</v>
      </c>
      <c r="M39" s="45">
        <f t="shared" si="17"/>
        <v>91.2</v>
      </c>
      <c r="N39" s="45">
        <f t="shared" si="18"/>
        <v>6935.2930559999995</v>
      </c>
      <c r="O39" s="45">
        <f t="shared" si="19"/>
        <v>98.3</v>
      </c>
    </row>
    <row r="40" spans="1:15" ht="18.75" x14ac:dyDescent="0.25">
      <c r="A40" s="22">
        <v>36</v>
      </c>
      <c r="B40" s="57" t="s">
        <v>72</v>
      </c>
      <c r="C40" s="59" t="s">
        <v>154</v>
      </c>
      <c r="D40" s="37">
        <v>2553.63</v>
      </c>
      <c r="E40" s="53">
        <v>424.16</v>
      </c>
      <c r="F40" s="45">
        <f t="shared" si="13"/>
        <v>16.610080551998525</v>
      </c>
      <c r="G40" s="53">
        <f>E40</f>
        <v>424.16</v>
      </c>
      <c r="H40" s="45">
        <f t="shared" si="14"/>
        <v>16.610080551998525</v>
      </c>
      <c r="I40" s="53">
        <v>930</v>
      </c>
      <c r="J40" s="45">
        <f t="shared" si="15"/>
        <v>219.25688419464353</v>
      </c>
      <c r="K40" s="45">
        <f t="shared" si="16"/>
        <v>219.25688419464353</v>
      </c>
      <c r="L40" s="53">
        <f t="shared" si="20"/>
        <v>848.16000000000008</v>
      </c>
      <c r="M40" s="45">
        <f t="shared" si="17"/>
        <v>91.2</v>
      </c>
      <c r="N40" s="45">
        <f t="shared" si="18"/>
        <v>833.74128000000007</v>
      </c>
      <c r="O40" s="45">
        <f t="shared" si="19"/>
        <v>98.3</v>
      </c>
    </row>
    <row r="41" spans="1:15" ht="56.25" x14ac:dyDescent="0.25">
      <c r="A41" s="22">
        <v>37</v>
      </c>
      <c r="B41" s="57" t="s">
        <v>73</v>
      </c>
      <c r="C41" s="59" t="s">
        <v>155</v>
      </c>
      <c r="D41" s="37">
        <v>8221.91</v>
      </c>
      <c r="E41" s="53">
        <v>10479.98</v>
      </c>
      <c r="F41" s="45">
        <f t="shared" si="13"/>
        <v>127.46405640538512</v>
      </c>
      <c r="G41" s="53">
        <f>E41</f>
        <v>10479.98</v>
      </c>
      <c r="H41" s="45">
        <f t="shared" si="14"/>
        <v>127.46405640538512</v>
      </c>
      <c r="I41" s="53">
        <f>16806-10000</f>
        <v>6806</v>
      </c>
      <c r="J41" s="45">
        <f t="shared" si="15"/>
        <v>64.942872028381743</v>
      </c>
      <c r="K41" s="45">
        <f t="shared" si="16"/>
        <v>64.942872028381743</v>
      </c>
      <c r="L41" s="53">
        <f t="shared" si="20"/>
        <v>6207.0720000000001</v>
      </c>
      <c r="M41" s="45">
        <f t="shared" si="17"/>
        <v>91.2</v>
      </c>
      <c r="N41" s="45">
        <f t="shared" si="18"/>
        <v>6101.5517760000002</v>
      </c>
      <c r="O41" s="45">
        <f t="shared" si="19"/>
        <v>98.3</v>
      </c>
    </row>
    <row r="42" spans="1:15" s="5" customFormat="1" ht="18.75" x14ac:dyDescent="0.25">
      <c r="A42" s="22">
        <v>38</v>
      </c>
      <c r="B42" s="55" t="s">
        <v>74</v>
      </c>
      <c r="C42" s="43" t="s">
        <v>24</v>
      </c>
      <c r="D42" s="45">
        <f>D43+D44+D45+D46+D47+D48+D49</f>
        <v>460442.84</v>
      </c>
      <c r="E42" s="45">
        <f t="shared" ref="E42:I42" si="22">E43+E44+E45+E46+E47+E48+E49</f>
        <v>512930.94</v>
      </c>
      <c r="F42" s="45">
        <f t="shared" si="13"/>
        <v>111.39948228970181</v>
      </c>
      <c r="G42" s="45">
        <f t="shared" si="22"/>
        <v>512930.94</v>
      </c>
      <c r="H42" s="45">
        <f t="shared" si="14"/>
        <v>111.39948228970181</v>
      </c>
      <c r="I42" s="45">
        <f t="shared" si="22"/>
        <v>93534.099999999991</v>
      </c>
      <c r="J42" s="45">
        <f t="shared" si="15"/>
        <v>18.235222854757016</v>
      </c>
      <c r="K42" s="45">
        <f t="shared" si="16"/>
        <v>18.235222854757016</v>
      </c>
      <c r="L42" s="53">
        <f t="shared" si="20"/>
        <v>85303.099199999997</v>
      </c>
      <c r="M42" s="45">
        <f t="shared" si="17"/>
        <v>91.2</v>
      </c>
      <c r="N42" s="45">
        <f>N45+N47+N49</f>
        <v>84071.173811199988</v>
      </c>
      <c r="O42" s="45">
        <f t="shared" si="19"/>
        <v>98.55582575503891</v>
      </c>
    </row>
    <row r="43" spans="1:15" ht="18.75" x14ac:dyDescent="0.25">
      <c r="A43" s="22">
        <v>39</v>
      </c>
      <c r="B43" s="57" t="s">
        <v>75</v>
      </c>
      <c r="C43" s="58" t="s">
        <v>25</v>
      </c>
      <c r="D43" s="37">
        <v>211982.07</v>
      </c>
      <c r="E43" s="53"/>
      <c r="F43" s="45">
        <f t="shared" si="13"/>
        <v>0</v>
      </c>
      <c r="G43" s="53">
        <v>0</v>
      </c>
      <c r="H43" s="45">
        <f t="shared" si="14"/>
        <v>0</v>
      </c>
      <c r="I43" s="53"/>
      <c r="J43" s="45"/>
      <c r="K43" s="45"/>
      <c r="L43" s="53">
        <f t="shared" si="20"/>
        <v>0</v>
      </c>
      <c r="M43" s="45"/>
      <c r="N43" s="45">
        <f t="shared" si="18"/>
        <v>0</v>
      </c>
      <c r="O43" s="45"/>
    </row>
    <row r="44" spans="1:15" ht="18.75" x14ac:dyDescent="0.25">
      <c r="A44" s="22">
        <v>40</v>
      </c>
      <c r="B44" s="57" t="s">
        <v>150</v>
      </c>
      <c r="C44" s="58" t="s">
        <v>149</v>
      </c>
      <c r="D44" s="37"/>
      <c r="E44" s="53"/>
      <c r="F44" s="45"/>
      <c r="G44" s="53"/>
      <c r="H44" s="45"/>
      <c r="I44" s="53"/>
      <c r="J44" s="45"/>
      <c r="K44" s="45"/>
      <c r="L44" s="53">
        <f t="shared" si="20"/>
        <v>0</v>
      </c>
      <c r="M44" s="45"/>
      <c r="N44" s="45">
        <f t="shared" si="18"/>
        <v>0</v>
      </c>
      <c r="O44" s="45"/>
    </row>
    <row r="45" spans="1:15" ht="18.75" x14ac:dyDescent="0.25">
      <c r="A45" s="22">
        <v>41</v>
      </c>
      <c r="B45" s="57" t="s">
        <v>76</v>
      </c>
      <c r="C45" s="58" t="s">
        <v>26</v>
      </c>
      <c r="D45" s="37">
        <v>12015.78</v>
      </c>
      <c r="E45" s="53">
        <v>17693.03</v>
      </c>
      <c r="F45" s="45">
        <f t="shared" si="13"/>
        <v>147.24828517166591</v>
      </c>
      <c r="G45" s="53">
        <f>E45</f>
        <v>17693.03</v>
      </c>
      <c r="H45" s="45">
        <f t="shared" si="14"/>
        <v>147.24828517166591</v>
      </c>
      <c r="I45" s="53">
        <v>14536.9</v>
      </c>
      <c r="J45" s="45">
        <f t="shared" si="15"/>
        <v>82.161732614481522</v>
      </c>
      <c r="K45" s="45">
        <f t="shared" si="16"/>
        <v>82.161732614481522</v>
      </c>
      <c r="L45" s="53">
        <v>13428.9</v>
      </c>
      <c r="M45" s="45">
        <f t="shared" si="17"/>
        <v>92.37801732143717</v>
      </c>
      <c r="N45" s="45">
        <v>13250.5</v>
      </c>
      <c r="O45" s="45">
        <f t="shared" si="19"/>
        <v>98.671521867018157</v>
      </c>
    </row>
    <row r="46" spans="1:15" ht="18.75" x14ac:dyDescent="0.25">
      <c r="A46" s="22">
        <v>42</v>
      </c>
      <c r="B46" s="57" t="s">
        <v>77</v>
      </c>
      <c r="C46" s="58" t="s">
        <v>27</v>
      </c>
      <c r="D46" s="37"/>
      <c r="E46" s="53"/>
      <c r="F46" s="45"/>
      <c r="G46" s="53"/>
      <c r="H46" s="45"/>
      <c r="I46" s="53"/>
      <c r="J46" s="45"/>
      <c r="K46" s="45"/>
      <c r="L46" s="53">
        <f t="shared" si="20"/>
        <v>0</v>
      </c>
      <c r="M46" s="45"/>
      <c r="N46" s="45">
        <f t="shared" si="18"/>
        <v>0</v>
      </c>
      <c r="O46" s="45"/>
    </row>
    <row r="47" spans="1:15" ht="18.75" x14ac:dyDescent="0.25">
      <c r="A47" s="22">
        <v>43</v>
      </c>
      <c r="B47" s="57" t="s">
        <v>78</v>
      </c>
      <c r="C47" s="58" t="s">
        <v>28</v>
      </c>
      <c r="D47" s="37">
        <v>228023.07</v>
      </c>
      <c r="E47" s="53">
        <v>474943.75</v>
      </c>
      <c r="F47" s="45">
        <f t="shared" si="13"/>
        <v>208.28758686566232</v>
      </c>
      <c r="G47" s="53">
        <f>E47</f>
        <v>474943.75</v>
      </c>
      <c r="H47" s="45">
        <f t="shared" si="14"/>
        <v>208.28758686566232</v>
      </c>
      <c r="I47" s="53">
        <v>59399.199999999997</v>
      </c>
      <c r="J47" s="45">
        <f t="shared" si="15"/>
        <v>12.506575778710635</v>
      </c>
      <c r="K47" s="45">
        <f t="shared" si="16"/>
        <v>12.506575778710635</v>
      </c>
      <c r="L47" s="53">
        <f t="shared" si="20"/>
        <v>54172.070399999997</v>
      </c>
      <c r="M47" s="45">
        <f t="shared" si="17"/>
        <v>91.2</v>
      </c>
      <c r="N47" s="45">
        <f t="shared" si="18"/>
        <v>53251.145203199994</v>
      </c>
      <c r="O47" s="45">
        <f t="shared" si="19"/>
        <v>98.3</v>
      </c>
    </row>
    <row r="48" spans="1:15" ht="18.75" x14ac:dyDescent="0.25">
      <c r="A48" s="22">
        <v>44</v>
      </c>
      <c r="B48" s="57" t="s">
        <v>79</v>
      </c>
      <c r="C48" s="58" t="s">
        <v>29</v>
      </c>
      <c r="D48" s="37"/>
      <c r="E48" s="53"/>
      <c r="F48" s="45"/>
      <c r="G48" s="53"/>
      <c r="H48" s="45"/>
      <c r="I48" s="53">
        <v>0</v>
      </c>
      <c r="J48" s="45"/>
      <c r="K48" s="45"/>
      <c r="L48" s="53">
        <f t="shared" si="20"/>
        <v>0</v>
      </c>
      <c r="M48" s="45"/>
      <c r="N48" s="45">
        <f t="shared" si="18"/>
        <v>0</v>
      </c>
      <c r="O48" s="45"/>
    </row>
    <row r="49" spans="1:15" ht="18.75" x14ac:dyDescent="0.25">
      <c r="A49" s="22">
        <v>45</v>
      </c>
      <c r="B49" s="57" t="s">
        <v>80</v>
      </c>
      <c r="C49" s="58" t="s">
        <v>30</v>
      </c>
      <c r="D49" s="37">
        <v>8421.92</v>
      </c>
      <c r="E49" s="53">
        <v>20294.16</v>
      </c>
      <c r="F49" s="45">
        <f t="shared" si="13"/>
        <v>240.96833026198303</v>
      </c>
      <c r="G49" s="53">
        <f>E49</f>
        <v>20294.16</v>
      </c>
      <c r="H49" s="45">
        <f t="shared" si="14"/>
        <v>240.96833026198303</v>
      </c>
      <c r="I49" s="53">
        <v>19598</v>
      </c>
      <c r="J49" s="45">
        <f t="shared" si="15"/>
        <v>96.569653535795524</v>
      </c>
      <c r="K49" s="45">
        <f t="shared" si="16"/>
        <v>96.569653535795524</v>
      </c>
      <c r="L49" s="53">
        <f t="shared" si="20"/>
        <v>17873.376</v>
      </c>
      <c r="M49" s="45">
        <f t="shared" si="17"/>
        <v>91.2</v>
      </c>
      <c r="N49" s="45">
        <f t="shared" si="18"/>
        <v>17569.528608000001</v>
      </c>
      <c r="O49" s="45">
        <f t="shared" si="19"/>
        <v>98.3</v>
      </c>
    </row>
    <row r="50" spans="1:15" s="5" customFormat="1" ht="18.75" x14ac:dyDescent="0.25">
      <c r="A50" s="22">
        <v>46</v>
      </c>
      <c r="B50" s="55" t="s">
        <v>81</v>
      </c>
      <c r="C50" s="43" t="s">
        <v>31</v>
      </c>
      <c r="D50" s="45">
        <f>D51+D52+D53+D54</f>
        <v>91276.68</v>
      </c>
      <c r="E50" s="45">
        <f t="shared" ref="E50:I50" si="23">E51+E52+E53+E54</f>
        <v>148705.63</v>
      </c>
      <c r="F50" s="45">
        <f t="shared" si="13"/>
        <v>162.91743959136113</v>
      </c>
      <c r="G50" s="45">
        <f t="shared" si="23"/>
        <v>148705.63</v>
      </c>
      <c r="H50" s="45">
        <f t="shared" si="14"/>
        <v>162.91743959136113</v>
      </c>
      <c r="I50" s="45">
        <f t="shared" si="23"/>
        <v>15397.2</v>
      </c>
      <c r="J50" s="45">
        <f t="shared" si="15"/>
        <v>10.354147317757908</v>
      </c>
      <c r="K50" s="45">
        <f t="shared" si="16"/>
        <v>10.354147317757908</v>
      </c>
      <c r="L50" s="53">
        <f t="shared" si="20"/>
        <v>14042.246400000002</v>
      </c>
      <c r="M50" s="45">
        <f t="shared" si="17"/>
        <v>91.2</v>
      </c>
      <c r="N50" s="45">
        <f t="shared" si="18"/>
        <v>13803.528211200002</v>
      </c>
      <c r="O50" s="45">
        <f t="shared" si="19"/>
        <v>98.3</v>
      </c>
    </row>
    <row r="51" spans="1:15" ht="18.75" x14ac:dyDescent="0.25">
      <c r="A51" s="22">
        <v>47</v>
      </c>
      <c r="B51" s="57" t="s">
        <v>82</v>
      </c>
      <c r="C51" s="58" t="s">
        <v>32</v>
      </c>
      <c r="D51" s="37"/>
      <c r="E51" s="53">
        <v>763.33</v>
      </c>
      <c r="F51" s="45"/>
      <c r="G51" s="53">
        <f>E51</f>
        <v>763.33</v>
      </c>
      <c r="H51" s="45"/>
      <c r="I51" s="53">
        <v>1000</v>
      </c>
      <c r="J51" s="45">
        <f t="shared" si="15"/>
        <v>131.00493888619599</v>
      </c>
      <c r="K51" s="45">
        <f t="shared" si="16"/>
        <v>131.00493888619599</v>
      </c>
      <c r="L51" s="53">
        <f t="shared" si="20"/>
        <v>912</v>
      </c>
      <c r="M51" s="45">
        <f t="shared" si="17"/>
        <v>91.2</v>
      </c>
      <c r="N51" s="45">
        <f t="shared" si="18"/>
        <v>896.49599999999998</v>
      </c>
      <c r="O51" s="45">
        <f t="shared" si="19"/>
        <v>98.3</v>
      </c>
    </row>
    <row r="52" spans="1:15" ht="18.75" x14ac:dyDescent="0.25">
      <c r="A52" s="22">
        <v>48</v>
      </c>
      <c r="B52" s="57" t="s">
        <v>83</v>
      </c>
      <c r="C52" s="58" t="s">
        <v>33</v>
      </c>
      <c r="D52" s="37">
        <v>26645.11</v>
      </c>
      <c r="E52" s="53">
        <v>23985.24</v>
      </c>
      <c r="F52" s="45">
        <f t="shared" si="13"/>
        <v>90.017417830138442</v>
      </c>
      <c r="G52" s="53">
        <f>E52</f>
        <v>23985.24</v>
      </c>
      <c r="H52" s="45">
        <f t="shared" si="14"/>
        <v>90.017417830138442</v>
      </c>
      <c r="I52" s="53">
        <f>4826+8276.2</f>
        <v>13102.2</v>
      </c>
      <c r="J52" s="45">
        <f t="shared" si="15"/>
        <v>54.6260950484548</v>
      </c>
      <c r="K52" s="45">
        <f t="shared" si="16"/>
        <v>54.6260950484548</v>
      </c>
      <c r="L52" s="53">
        <f t="shared" si="20"/>
        <v>11949.206400000001</v>
      </c>
      <c r="M52" s="45">
        <f t="shared" si="17"/>
        <v>91.2</v>
      </c>
      <c r="N52" s="45">
        <f t="shared" si="18"/>
        <v>11746.069891200001</v>
      </c>
      <c r="O52" s="45">
        <f t="shared" si="19"/>
        <v>98.3</v>
      </c>
    </row>
    <row r="53" spans="1:15" ht="18.75" x14ac:dyDescent="0.25">
      <c r="A53" s="22">
        <v>49</v>
      </c>
      <c r="B53" s="57" t="s">
        <v>84</v>
      </c>
      <c r="C53" s="58" t="s">
        <v>34</v>
      </c>
      <c r="D53" s="37">
        <v>64631.57</v>
      </c>
      <c r="E53" s="53">
        <v>123957.06</v>
      </c>
      <c r="F53" s="45">
        <f t="shared" si="13"/>
        <v>191.7902659644505</v>
      </c>
      <c r="G53" s="53">
        <f>E53</f>
        <v>123957.06</v>
      </c>
      <c r="H53" s="45">
        <f t="shared" si="14"/>
        <v>191.7902659644505</v>
      </c>
      <c r="I53" s="53">
        <v>1295</v>
      </c>
      <c r="J53" s="45">
        <f t="shared" si="15"/>
        <v>1.044716613962932</v>
      </c>
      <c r="K53" s="45">
        <f t="shared" si="16"/>
        <v>1.044716613962932</v>
      </c>
      <c r="L53" s="53">
        <f t="shared" si="20"/>
        <v>1181.04</v>
      </c>
      <c r="M53" s="45">
        <f t="shared" si="17"/>
        <v>91.199999999999989</v>
      </c>
      <c r="N53" s="45">
        <f t="shared" si="18"/>
        <v>1160.9623199999999</v>
      </c>
      <c r="O53" s="45">
        <f t="shared" si="19"/>
        <v>98.299999999999983</v>
      </c>
    </row>
    <row r="54" spans="1:15" ht="37.5" x14ac:dyDescent="0.25">
      <c r="A54" s="22">
        <v>50</v>
      </c>
      <c r="B54" s="57" t="s">
        <v>85</v>
      </c>
      <c r="C54" s="58" t="s">
        <v>35</v>
      </c>
      <c r="D54" s="37"/>
      <c r="E54" s="53"/>
      <c r="F54" s="45"/>
      <c r="G54" s="53"/>
      <c r="H54" s="45"/>
      <c r="I54" s="53"/>
      <c r="J54" s="45"/>
      <c r="K54" s="45"/>
      <c r="L54" s="53">
        <f t="shared" si="20"/>
        <v>0</v>
      </c>
      <c r="M54" s="45"/>
      <c r="N54" s="45">
        <f t="shared" si="18"/>
        <v>0</v>
      </c>
      <c r="O54" s="45"/>
    </row>
    <row r="55" spans="1:15" s="5" customFormat="1" ht="18.75" x14ac:dyDescent="0.25">
      <c r="A55" s="22">
        <v>51</v>
      </c>
      <c r="B55" s="55" t="s">
        <v>86</v>
      </c>
      <c r="C55" s="43" t="s">
        <v>36</v>
      </c>
      <c r="D55" s="45"/>
      <c r="E55" s="56"/>
      <c r="F55" s="45"/>
      <c r="G55" s="56"/>
      <c r="H55" s="45"/>
      <c r="I55" s="56"/>
      <c r="J55" s="45"/>
      <c r="K55" s="45"/>
      <c r="L55" s="53">
        <f t="shared" si="20"/>
        <v>0</v>
      </c>
      <c r="M55" s="45"/>
      <c r="N55" s="45">
        <f t="shared" si="18"/>
        <v>0</v>
      </c>
      <c r="O55" s="45"/>
    </row>
    <row r="56" spans="1:15" ht="18.75" x14ac:dyDescent="0.25">
      <c r="A56" s="22">
        <v>52</v>
      </c>
      <c r="B56" s="57" t="s">
        <v>87</v>
      </c>
      <c r="C56" s="58" t="s">
        <v>37</v>
      </c>
      <c r="D56" s="37"/>
      <c r="E56" s="53"/>
      <c r="F56" s="45"/>
      <c r="G56" s="53"/>
      <c r="H56" s="45"/>
      <c r="I56" s="53"/>
      <c r="J56" s="45"/>
      <c r="K56" s="45"/>
      <c r="L56" s="53">
        <f t="shared" si="20"/>
        <v>0</v>
      </c>
      <c r="M56" s="45"/>
      <c r="N56" s="45">
        <f t="shared" si="18"/>
        <v>0</v>
      </c>
      <c r="O56" s="45"/>
    </row>
    <row r="57" spans="1:15" ht="37.5" x14ac:dyDescent="0.25">
      <c r="A57" s="22">
        <v>53</v>
      </c>
      <c r="B57" s="57" t="s">
        <v>88</v>
      </c>
      <c r="C57" s="58" t="s">
        <v>38</v>
      </c>
      <c r="D57" s="37"/>
      <c r="E57" s="53"/>
      <c r="F57" s="45"/>
      <c r="G57" s="53"/>
      <c r="H57" s="45"/>
      <c r="I57" s="53"/>
      <c r="J57" s="45"/>
      <c r="K57" s="45"/>
      <c r="L57" s="53">
        <f t="shared" si="20"/>
        <v>0</v>
      </c>
      <c r="M57" s="45"/>
      <c r="N57" s="45">
        <f t="shared" si="18"/>
        <v>0</v>
      </c>
      <c r="O57" s="45"/>
    </row>
    <row r="58" spans="1:15" ht="18.75" x14ac:dyDescent="0.25">
      <c r="A58" s="22">
        <v>54</v>
      </c>
      <c r="B58" s="57" t="s">
        <v>89</v>
      </c>
      <c r="C58" s="58" t="s">
        <v>39</v>
      </c>
      <c r="D58" s="37"/>
      <c r="E58" s="53">
        <v>90</v>
      </c>
      <c r="F58" s="45"/>
      <c r="G58" s="53">
        <f>E58</f>
        <v>90</v>
      </c>
      <c r="H58" s="45"/>
      <c r="I58" s="53"/>
      <c r="J58" s="45">
        <f t="shared" si="15"/>
        <v>0</v>
      </c>
      <c r="K58" s="45">
        <f t="shared" si="16"/>
        <v>0</v>
      </c>
      <c r="L58" s="53">
        <f t="shared" si="20"/>
        <v>0</v>
      </c>
      <c r="M58" s="45"/>
      <c r="N58" s="45">
        <f t="shared" si="18"/>
        <v>0</v>
      </c>
      <c r="O58" s="45"/>
    </row>
    <row r="59" spans="1:15" s="5" customFormat="1" ht="18.75" x14ac:dyDescent="0.25">
      <c r="A59" s="22">
        <v>55</v>
      </c>
      <c r="B59" s="55" t="s">
        <v>90</v>
      </c>
      <c r="C59" s="43" t="s">
        <v>40</v>
      </c>
      <c r="D59" s="45">
        <f>D60+D61+D62+D63+D64</f>
        <v>1531423.83</v>
      </c>
      <c r="E59" s="45">
        <f t="shared" ref="E59:I59" si="24">E60+E61+E62+E63+E64</f>
        <v>1892149.1600000001</v>
      </c>
      <c r="F59" s="45">
        <f t="shared" si="13"/>
        <v>123.55489858088468</v>
      </c>
      <c r="G59" s="45">
        <f t="shared" si="24"/>
        <v>1923780.4233000001</v>
      </c>
      <c r="H59" s="45">
        <f t="shared" si="14"/>
        <v>125.62037925843168</v>
      </c>
      <c r="I59" s="45">
        <f t="shared" si="24"/>
        <v>1510068.1</v>
      </c>
      <c r="J59" s="45">
        <f t="shared" si="15"/>
        <v>79.807032760567353</v>
      </c>
      <c r="K59" s="45">
        <f t="shared" si="16"/>
        <v>78.494826213569141</v>
      </c>
      <c r="L59" s="53">
        <f>L60+L61+L62+L64</f>
        <v>1372594.3072000002</v>
      </c>
      <c r="M59" s="45">
        <f t="shared" si="17"/>
        <v>90.89618588724575</v>
      </c>
      <c r="N59" s="45">
        <f>L59*0.983+250</f>
        <v>1349510.2039776002</v>
      </c>
      <c r="O59" s="45">
        <f t="shared" si="19"/>
        <v>98.318213684749296</v>
      </c>
    </row>
    <row r="60" spans="1:15" ht="18.75" x14ac:dyDescent="0.25">
      <c r="A60" s="22">
        <v>56</v>
      </c>
      <c r="B60" s="57" t="s">
        <v>91</v>
      </c>
      <c r="C60" s="58" t="s">
        <v>41</v>
      </c>
      <c r="D60" s="37">
        <v>393240.09</v>
      </c>
      <c r="E60" s="53">
        <f>451383.76-30000-411.4</f>
        <v>420972.36</v>
      </c>
      <c r="F60" s="45">
        <f t="shared" si="13"/>
        <v>107.05224891999185</v>
      </c>
      <c r="G60" s="53">
        <f>E60</f>
        <v>420972.36</v>
      </c>
      <c r="H60" s="45">
        <f t="shared" si="14"/>
        <v>107.05224891999185</v>
      </c>
      <c r="I60" s="53">
        <f>443427</f>
        <v>443427</v>
      </c>
      <c r="J60" s="45">
        <f t="shared" si="15"/>
        <v>105.33399389926691</v>
      </c>
      <c r="K60" s="45">
        <f t="shared" si="16"/>
        <v>105.33399389926691</v>
      </c>
      <c r="L60" s="53">
        <f>I60*0.912-4472</f>
        <v>399933.424</v>
      </c>
      <c r="M60" s="45">
        <f t="shared" si="17"/>
        <v>90.191491271393033</v>
      </c>
      <c r="N60" s="45">
        <f t="shared" si="18"/>
        <v>393134.55579199997</v>
      </c>
      <c r="O60" s="45">
        <f t="shared" si="19"/>
        <v>98.299999999999983</v>
      </c>
    </row>
    <row r="61" spans="1:15" ht="18.75" x14ac:dyDescent="0.25">
      <c r="A61" s="22">
        <v>57</v>
      </c>
      <c r="B61" s="57" t="s">
        <v>92</v>
      </c>
      <c r="C61" s="58" t="s">
        <v>42</v>
      </c>
      <c r="D61" s="37">
        <v>1035478.92</v>
      </c>
      <c r="E61" s="53">
        <v>1369301.61</v>
      </c>
      <c r="F61" s="45">
        <f t="shared" si="13"/>
        <v>132.23848245988435</v>
      </c>
      <c r="G61" s="53">
        <f>E61+22000+2500</f>
        <v>1393801.61</v>
      </c>
      <c r="H61" s="45">
        <f t="shared" si="14"/>
        <v>134.60453738642985</v>
      </c>
      <c r="I61" s="53">
        <f>965605.3+2400+3000</f>
        <v>971005.3</v>
      </c>
      <c r="J61" s="45">
        <f t="shared" si="15"/>
        <v>70.912448572962688</v>
      </c>
      <c r="K61" s="45">
        <f t="shared" si="16"/>
        <v>69.66596200157926</v>
      </c>
      <c r="L61" s="53">
        <f>I61*0.912</f>
        <v>885556.83360000013</v>
      </c>
      <c r="M61" s="45">
        <f t="shared" si="17"/>
        <v>91.200000000000017</v>
      </c>
      <c r="N61" s="45">
        <f>L61*0.983</f>
        <v>870502.36742880009</v>
      </c>
      <c r="O61" s="45">
        <f t="shared" si="19"/>
        <v>98.3</v>
      </c>
    </row>
    <row r="62" spans="1:15" ht="18.75" x14ac:dyDescent="0.25">
      <c r="A62" s="22">
        <v>58</v>
      </c>
      <c r="B62" s="57" t="s">
        <v>93</v>
      </c>
      <c r="C62" s="58" t="s">
        <v>43</v>
      </c>
      <c r="D62" s="37">
        <v>55669.78</v>
      </c>
      <c r="E62" s="53">
        <v>46681.23</v>
      </c>
      <c r="F62" s="45">
        <f t="shared" si="13"/>
        <v>83.853807218207095</v>
      </c>
      <c r="G62" s="53">
        <f>E62*1.07</f>
        <v>49948.916100000009</v>
      </c>
      <c r="H62" s="45">
        <f t="shared" si="14"/>
        <v>89.723573723481593</v>
      </c>
      <c r="I62" s="53">
        <f>37949.6+2902</f>
        <v>40851.599999999999</v>
      </c>
      <c r="J62" s="45">
        <f t="shared" si="15"/>
        <v>87.511832914428339</v>
      </c>
      <c r="K62" s="45">
        <f t="shared" si="16"/>
        <v>81.786759733110586</v>
      </c>
      <c r="L62" s="53">
        <f>I62*0.912-115.8</f>
        <v>37140.859199999999</v>
      </c>
      <c r="M62" s="45">
        <f t="shared" si="17"/>
        <v>90.916534970478509</v>
      </c>
      <c r="N62" s="45">
        <f>L62*0.983+250</f>
        <v>36759.464593600002</v>
      </c>
      <c r="O62" s="45">
        <f t="shared" si="19"/>
        <v>98.973113130349986</v>
      </c>
    </row>
    <row r="63" spans="1:15" ht="18.75" x14ac:dyDescent="0.25">
      <c r="A63" s="22">
        <v>59</v>
      </c>
      <c r="B63" s="57" t="s">
        <v>94</v>
      </c>
      <c r="C63" s="58" t="s">
        <v>44</v>
      </c>
      <c r="D63" s="37">
        <v>6556.22</v>
      </c>
      <c r="E63" s="53"/>
      <c r="F63" s="45">
        <f t="shared" si="13"/>
        <v>0</v>
      </c>
      <c r="G63" s="53"/>
      <c r="H63" s="45">
        <f t="shared" si="14"/>
        <v>0</v>
      </c>
      <c r="I63" s="53"/>
      <c r="J63" s="45"/>
      <c r="K63" s="45"/>
      <c r="L63" s="53">
        <f t="shared" si="20"/>
        <v>0</v>
      </c>
      <c r="M63" s="45"/>
      <c r="N63" s="45"/>
      <c r="O63" s="45"/>
    </row>
    <row r="64" spans="1:15" ht="18.75" x14ac:dyDescent="0.25">
      <c r="A64" s="22">
        <v>60</v>
      </c>
      <c r="B64" s="57" t="s">
        <v>95</v>
      </c>
      <c r="C64" s="58" t="s">
        <v>45</v>
      </c>
      <c r="D64" s="37">
        <v>40478.82</v>
      </c>
      <c r="E64" s="53">
        <v>55193.96</v>
      </c>
      <c r="F64" s="45">
        <f t="shared" si="13"/>
        <v>136.35269012288401</v>
      </c>
      <c r="G64" s="53">
        <f>E64*1.07</f>
        <v>59057.537200000006</v>
      </c>
      <c r="H64" s="45">
        <f t="shared" si="14"/>
        <v>145.89737843148592</v>
      </c>
      <c r="I64" s="53">
        <v>54784.2</v>
      </c>
      <c r="J64" s="45">
        <f t="shared" si="15"/>
        <v>99.25759992578898</v>
      </c>
      <c r="K64" s="45">
        <f t="shared" si="16"/>
        <v>92.764112080176602</v>
      </c>
      <c r="L64" s="53">
        <f t="shared" si="20"/>
        <v>49963.190399999999</v>
      </c>
      <c r="M64" s="45">
        <f t="shared" si="17"/>
        <v>91.2</v>
      </c>
      <c r="N64" s="45">
        <f t="shared" si="18"/>
        <v>49113.816163199997</v>
      </c>
      <c r="O64" s="45">
        <f t="shared" si="19"/>
        <v>98.3</v>
      </c>
    </row>
    <row r="65" spans="1:15" s="5" customFormat="1" ht="18.75" x14ac:dyDescent="0.25">
      <c r="A65" s="22">
        <v>61</v>
      </c>
      <c r="B65" s="55" t="s">
        <v>96</v>
      </c>
      <c r="C65" s="43" t="s">
        <v>46</v>
      </c>
      <c r="D65" s="45">
        <f>D66+D67+D68</f>
        <v>68278.12000000001</v>
      </c>
      <c r="E65" s="45">
        <f t="shared" ref="E65:I65" si="25">E66+E67+E68</f>
        <v>92425.22</v>
      </c>
      <c r="F65" s="45">
        <f t="shared" si="13"/>
        <v>135.36579507461539</v>
      </c>
      <c r="G65" s="45">
        <f t="shared" si="25"/>
        <v>94998.806900000011</v>
      </c>
      <c r="H65" s="45">
        <f t="shared" si="14"/>
        <v>139.13506537672683</v>
      </c>
      <c r="I65" s="45">
        <f t="shared" si="25"/>
        <v>76753.099999999991</v>
      </c>
      <c r="J65" s="45">
        <f t="shared" si="15"/>
        <v>83.043459350164369</v>
      </c>
      <c r="K65" s="45">
        <f t="shared" si="16"/>
        <v>80.793751526578362</v>
      </c>
      <c r="L65" s="53">
        <f t="shared" si="20"/>
        <v>69998.8272</v>
      </c>
      <c r="M65" s="45">
        <f t="shared" si="17"/>
        <v>91.200000000000017</v>
      </c>
      <c r="N65" s="45">
        <f t="shared" si="18"/>
        <v>68808.847137599994</v>
      </c>
      <c r="O65" s="45">
        <f t="shared" si="19"/>
        <v>98.299999999999983</v>
      </c>
    </row>
    <row r="66" spans="1:15" ht="18.75" x14ac:dyDescent="0.25">
      <c r="A66" s="22">
        <v>62</v>
      </c>
      <c r="B66" s="57" t="s">
        <v>97</v>
      </c>
      <c r="C66" s="58" t="s">
        <v>47</v>
      </c>
      <c r="D66" s="37">
        <v>63019.91</v>
      </c>
      <c r="E66" s="53">
        <v>85786.23</v>
      </c>
      <c r="F66" s="45">
        <f t="shared" si="13"/>
        <v>136.1255990368758</v>
      </c>
      <c r="G66" s="53">
        <f>E66*1.03</f>
        <v>88359.816900000005</v>
      </c>
      <c r="H66" s="45">
        <f t="shared" si="14"/>
        <v>140.20936700798208</v>
      </c>
      <c r="I66" s="53">
        <v>69217.7</v>
      </c>
      <c r="J66" s="45">
        <f t="shared" si="15"/>
        <v>80.686259321571768</v>
      </c>
      <c r="K66" s="45">
        <f t="shared" si="16"/>
        <v>78.33617409861337</v>
      </c>
      <c r="L66" s="53">
        <f t="shared" si="20"/>
        <v>63126.542399999998</v>
      </c>
      <c r="M66" s="45">
        <f t="shared" si="17"/>
        <v>91.2</v>
      </c>
      <c r="N66" s="45">
        <f t="shared" si="18"/>
        <v>62053.3911792</v>
      </c>
      <c r="O66" s="45">
        <f t="shared" si="19"/>
        <v>98.3</v>
      </c>
    </row>
    <row r="67" spans="1:15" ht="18.75" x14ac:dyDescent="0.25">
      <c r="A67" s="22">
        <v>63</v>
      </c>
      <c r="B67" s="57" t="s">
        <v>98</v>
      </c>
      <c r="C67" s="58" t="s">
        <v>48</v>
      </c>
      <c r="D67" s="37"/>
      <c r="E67" s="53"/>
      <c r="F67" s="45"/>
      <c r="G67" s="53"/>
      <c r="H67" s="45"/>
      <c r="I67" s="53"/>
      <c r="J67" s="45"/>
      <c r="K67" s="45"/>
      <c r="L67" s="53">
        <f t="shared" si="20"/>
        <v>0</v>
      </c>
      <c r="M67" s="45"/>
      <c r="N67" s="45"/>
      <c r="O67" s="45"/>
    </row>
    <row r="68" spans="1:15" ht="18.75" x14ac:dyDescent="0.25">
      <c r="A68" s="22">
        <v>64</v>
      </c>
      <c r="B68" s="57" t="s">
        <v>99</v>
      </c>
      <c r="C68" s="58" t="s">
        <v>49</v>
      </c>
      <c r="D68" s="37">
        <v>5258.21</v>
      </c>
      <c r="E68" s="53">
        <v>6638.99</v>
      </c>
      <c r="F68" s="45">
        <f t="shared" si="13"/>
        <v>126.25950656211904</v>
      </c>
      <c r="G68" s="53">
        <f>E68</f>
        <v>6638.99</v>
      </c>
      <c r="H68" s="45">
        <f t="shared" si="14"/>
        <v>126.25950656211904</v>
      </c>
      <c r="I68" s="53">
        <v>7535.4</v>
      </c>
      <c r="J68" s="45">
        <f t="shared" si="15"/>
        <v>113.50220440157312</v>
      </c>
      <c r="K68" s="45">
        <f t="shared" si="16"/>
        <v>113.50220440157312</v>
      </c>
      <c r="L68" s="53">
        <f t="shared" si="20"/>
        <v>6872.2848000000004</v>
      </c>
      <c r="M68" s="45">
        <f t="shared" si="17"/>
        <v>91.200000000000017</v>
      </c>
      <c r="N68" s="45">
        <f t="shared" si="18"/>
        <v>6755.4559583999999</v>
      </c>
      <c r="O68" s="45">
        <f t="shared" si="19"/>
        <v>98.3</v>
      </c>
    </row>
    <row r="69" spans="1:15" s="5" customFormat="1" ht="18.75" x14ac:dyDescent="0.25">
      <c r="A69" s="22">
        <v>65</v>
      </c>
      <c r="B69" s="55" t="s">
        <v>100</v>
      </c>
      <c r="C69" s="43" t="s">
        <v>50</v>
      </c>
      <c r="D69" s="45">
        <f>D70+D72+D73+D74</f>
        <v>82826.36</v>
      </c>
      <c r="E69" s="45">
        <f t="shared" ref="E69:I69" si="26">E70+E72+E73+E74</f>
        <v>94468.01999999999</v>
      </c>
      <c r="F69" s="45">
        <f t="shared" si="13"/>
        <v>114.0555011713662</v>
      </c>
      <c r="G69" s="45">
        <f t="shared" si="26"/>
        <v>95641.396666666667</v>
      </c>
      <c r="H69" s="45">
        <f t="shared" si="14"/>
        <v>115.47217174178203</v>
      </c>
      <c r="I69" s="45">
        <f t="shared" si="26"/>
        <v>105065.59999999999</v>
      </c>
      <c r="J69" s="45">
        <f t="shared" si="15"/>
        <v>111.21816674044824</v>
      </c>
      <c r="K69" s="45">
        <f t="shared" si="16"/>
        <v>109.85368643891613</v>
      </c>
      <c r="L69" s="53">
        <f>L70+L72+L73+L74</f>
        <v>96423.3272</v>
      </c>
      <c r="M69" s="45">
        <f t="shared" si="17"/>
        <v>91.774403039624772</v>
      </c>
      <c r="N69" s="45">
        <f t="shared" si="18"/>
        <v>94784.130637599999</v>
      </c>
      <c r="O69" s="45">
        <f t="shared" si="19"/>
        <v>98.3</v>
      </c>
    </row>
    <row r="70" spans="1:15" ht="18.75" x14ac:dyDescent="0.25">
      <c r="A70" s="22">
        <v>66</v>
      </c>
      <c r="B70" s="57" t="s">
        <v>145</v>
      </c>
      <c r="C70" s="58" t="s">
        <v>147</v>
      </c>
      <c r="D70" s="37">
        <v>3027.17</v>
      </c>
      <c r="E70" s="53">
        <v>3520.13</v>
      </c>
      <c r="F70" s="45">
        <f t="shared" si="13"/>
        <v>116.28451656167312</v>
      </c>
      <c r="G70" s="53">
        <f>E70/9*12</f>
        <v>4693.5066666666671</v>
      </c>
      <c r="H70" s="45">
        <f t="shared" si="14"/>
        <v>155.04602208223085</v>
      </c>
      <c r="I70" s="53">
        <v>4693.5</v>
      </c>
      <c r="J70" s="45">
        <f t="shared" si="15"/>
        <v>133.33314394638833</v>
      </c>
      <c r="K70" s="45">
        <f t="shared" si="16"/>
        <v>99.999857959791257</v>
      </c>
      <c r="L70" s="53">
        <f t="shared" si="20"/>
        <v>4280.4719999999998</v>
      </c>
      <c r="M70" s="45">
        <f t="shared" si="17"/>
        <v>91.199999999999989</v>
      </c>
      <c r="N70" s="45">
        <f t="shared" si="18"/>
        <v>4207.7039759999998</v>
      </c>
      <c r="O70" s="45">
        <f t="shared" si="19"/>
        <v>98.3</v>
      </c>
    </row>
    <row r="71" spans="1:15" ht="18.75" x14ac:dyDescent="0.25">
      <c r="A71" s="22">
        <v>67</v>
      </c>
      <c r="B71" s="57" t="s">
        <v>146</v>
      </c>
      <c r="C71" s="58" t="s">
        <v>148</v>
      </c>
      <c r="D71" s="37"/>
      <c r="E71" s="53"/>
      <c r="F71" s="45"/>
      <c r="G71" s="53"/>
      <c r="H71" s="45"/>
      <c r="I71" s="53">
        <f t="shared" ref="I71:I74" si="27">G71*1.038</f>
        <v>0</v>
      </c>
      <c r="J71" s="45"/>
      <c r="K71" s="45"/>
      <c r="L71" s="53">
        <f t="shared" si="20"/>
        <v>0</v>
      </c>
      <c r="M71" s="45"/>
      <c r="N71" s="45">
        <f t="shared" si="18"/>
        <v>0</v>
      </c>
      <c r="O71" s="45"/>
    </row>
    <row r="72" spans="1:15" ht="18.75" x14ac:dyDescent="0.25">
      <c r="A72" s="22">
        <v>68</v>
      </c>
      <c r="B72" s="57" t="s">
        <v>101</v>
      </c>
      <c r="C72" s="58" t="s">
        <v>51</v>
      </c>
      <c r="D72" s="37">
        <v>24910.57</v>
      </c>
      <c r="E72" s="53">
        <v>35572.910000000003</v>
      </c>
      <c r="F72" s="45">
        <f t="shared" si="13"/>
        <v>142.80247300643865</v>
      </c>
      <c r="G72" s="53">
        <f>E72</f>
        <v>35572.910000000003</v>
      </c>
      <c r="H72" s="45">
        <f t="shared" si="14"/>
        <v>142.80247300643865</v>
      </c>
      <c r="I72" s="53">
        <v>34416.1</v>
      </c>
      <c r="J72" s="45">
        <f t="shared" si="15"/>
        <v>96.748059127015466</v>
      </c>
      <c r="K72" s="45">
        <f t="shared" si="16"/>
        <v>96.748059127015466</v>
      </c>
      <c r="L72" s="53">
        <f t="shared" si="20"/>
        <v>31387.483199999999</v>
      </c>
      <c r="M72" s="45">
        <f t="shared" si="17"/>
        <v>91.2</v>
      </c>
      <c r="N72" s="45">
        <f t="shared" si="18"/>
        <v>30853.895985599996</v>
      </c>
      <c r="O72" s="45">
        <f t="shared" si="19"/>
        <v>98.299999999999983</v>
      </c>
    </row>
    <row r="73" spans="1:15" ht="18.75" x14ac:dyDescent="0.25">
      <c r="A73" s="22">
        <v>69</v>
      </c>
      <c r="B73" s="57" t="s">
        <v>102</v>
      </c>
      <c r="C73" s="58" t="s">
        <v>52</v>
      </c>
      <c r="D73" s="37">
        <v>54405.74</v>
      </c>
      <c r="E73" s="53">
        <v>54874.3</v>
      </c>
      <c r="F73" s="45">
        <f t="shared" si="13"/>
        <v>100.8612326567013</v>
      </c>
      <c r="G73" s="53">
        <f>E73</f>
        <v>54874.3</v>
      </c>
      <c r="H73" s="45">
        <f t="shared" si="14"/>
        <v>100.8612326567013</v>
      </c>
      <c r="I73" s="53">
        <v>65453.8</v>
      </c>
      <c r="J73" s="45">
        <f t="shared" si="15"/>
        <v>119.27951700522831</v>
      </c>
      <c r="K73" s="45">
        <f t="shared" si="16"/>
        <v>119.27951700522831</v>
      </c>
      <c r="L73" s="53">
        <f>(I73*0.912)+603.5</f>
        <v>60297.365600000005</v>
      </c>
      <c r="M73" s="45">
        <f t="shared" si="17"/>
        <v>92.122024389722228</v>
      </c>
      <c r="N73" s="45">
        <f t="shared" si="18"/>
        <v>59272.310384800003</v>
      </c>
      <c r="O73" s="45">
        <f t="shared" si="19"/>
        <v>98.3</v>
      </c>
    </row>
    <row r="74" spans="1:15" ht="18.75" x14ac:dyDescent="0.25">
      <c r="A74" s="22">
        <v>70</v>
      </c>
      <c r="B74" s="57" t="s">
        <v>103</v>
      </c>
      <c r="C74" s="58" t="s">
        <v>53</v>
      </c>
      <c r="D74" s="37">
        <v>482.88</v>
      </c>
      <c r="E74" s="53">
        <v>500.68</v>
      </c>
      <c r="F74" s="45">
        <f t="shared" si="13"/>
        <v>103.68621603711068</v>
      </c>
      <c r="G74" s="53">
        <f>E74</f>
        <v>500.68</v>
      </c>
      <c r="H74" s="45">
        <f t="shared" si="14"/>
        <v>103.68621603711068</v>
      </c>
      <c r="I74" s="53">
        <v>502.2</v>
      </c>
      <c r="J74" s="45">
        <f t="shared" si="15"/>
        <v>100.30358712151472</v>
      </c>
      <c r="K74" s="45">
        <f t="shared" si="16"/>
        <v>100.30358712151472</v>
      </c>
      <c r="L74" s="53">
        <f t="shared" si="20"/>
        <v>458.00639999999999</v>
      </c>
      <c r="M74" s="45">
        <f t="shared" si="17"/>
        <v>91.2</v>
      </c>
      <c r="N74" s="45">
        <f t="shared" si="18"/>
        <v>450.22029119999996</v>
      </c>
      <c r="O74" s="45">
        <f t="shared" si="19"/>
        <v>98.3</v>
      </c>
    </row>
    <row r="75" spans="1:15" s="5" customFormat="1" ht="18.75" x14ac:dyDescent="0.25">
      <c r="A75" s="22">
        <v>71</v>
      </c>
      <c r="B75" s="55" t="s">
        <v>104</v>
      </c>
      <c r="C75" s="43" t="s">
        <v>54</v>
      </c>
      <c r="D75" s="45">
        <f>D76+D77+D78</f>
        <v>6151.8</v>
      </c>
      <c r="E75" s="45">
        <f t="shared" ref="E75:I75" si="28">E76+E77+E78</f>
        <v>33070.06</v>
      </c>
      <c r="F75" s="45">
        <f t="shared" si="13"/>
        <v>537.56721609935289</v>
      </c>
      <c r="G75" s="45">
        <f t="shared" si="28"/>
        <v>33070.06</v>
      </c>
      <c r="H75" s="45">
        <f t="shared" si="14"/>
        <v>537.56721609935289</v>
      </c>
      <c r="I75" s="45">
        <f t="shared" si="28"/>
        <v>23077</v>
      </c>
      <c r="J75" s="45">
        <f t="shared" si="15"/>
        <v>69.782153404015602</v>
      </c>
      <c r="K75" s="45">
        <f t="shared" si="16"/>
        <v>69.782153404015602</v>
      </c>
      <c r="L75" s="53">
        <f t="shared" si="20"/>
        <v>21046.224000000002</v>
      </c>
      <c r="M75" s="45">
        <f t="shared" si="17"/>
        <v>91.2</v>
      </c>
      <c r="N75" s="45">
        <f t="shared" si="18"/>
        <v>20688.438192000001</v>
      </c>
      <c r="O75" s="45">
        <f t="shared" si="19"/>
        <v>98.3</v>
      </c>
    </row>
    <row r="76" spans="1:15" ht="18.75" x14ac:dyDescent="0.25">
      <c r="A76" s="22">
        <v>72</v>
      </c>
      <c r="B76" s="57" t="s">
        <v>105</v>
      </c>
      <c r="C76" s="58" t="s">
        <v>55</v>
      </c>
      <c r="D76" s="37">
        <v>0</v>
      </c>
      <c r="E76" s="53">
        <v>0</v>
      </c>
      <c r="F76" s="45"/>
      <c r="G76" s="53"/>
      <c r="H76" s="45"/>
      <c r="I76" s="53"/>
      <c r="J76" s="45"/>
      <c r="K76" s="45"/>
      <c r="L76" s="53">
        <f t="shared" si="20"/>
        <v>0</v>
      </c>
      <c r="M76" s="45"/>
      <c r="N76" s="45">
        <f t="shared" si="18"/>
        <v>0</v>
      </c>
      <c r="O76" s="45"/>
    </row>
    <row r="77" spans="1:15" ht="18.75" x14ac:dyDescent="0.25">
      <c r="A77" s="22">
        <v>73</v>
      </c>
      <c r="B77" s="57" t="s">
        <v>106</v>
      </c>
      <c r="C77" s="58" t="s">
        <v>56</v>
      </c>
      <c r="D77" s="37">
        <v>6151.8</v>
      </c>
      <c r="E77" s="53">
        <v>9018.8700000000008</v>
      </c>
      <c r="F77" s="45">
        <f t="shared" si="13"/>
        <v>146.60538379011021</v>
      </c>
      <c r="G77" s="53">
        <f>E77</f>
        <v>9018.8700000000008</v>
      </c>
      <c r="H77" s="45">
        <f t="shared" si="14"/>
        <v>146.60538379011021</v>
      </c>
      <c r="I77" s="53">
        <f>22892+55</f>
        <v>22947</v>
      </c>
      <c r="J77" s="45">
        <f t="shared" si="15"/>
        <v>254.43320504675197</v>
      </c>
      <c r="K77" s="45">
        <f t="shared" si="16"/>
        <v>254.43320504675197</v>
      </c>
      <c r="L77" s="53">
        <f t="shared" si="20"/>
        <v>20927.664000000001</v>
      </c>
      <c r="M77" s="45">
        <f t="shared" si="17"/>
        <v>91.2</v>
      </c>
      <c r="N77" s="45">
        <f t="shared" si="18"/>
        <v>20571.893712000001</v>
      </c>
      <c r="O77" s="45">
        <f t="shared" si="19"/>
        <v>98.3</v>
      </c>
    </row>
    <row r="78" spans="1:15" ht="30.75" customHeight="1" x14ac:dyDescent="0.25">
      <c r="A78" s="22">
        <v>74</v>
      </c>
      <c r="B78" s="57" t="s">
        <v>107</v>
      </c>
      <c r="C78" s="58" t="s">
        <v>57</v>
      </c>
      <c r="D78" s="37"/>
      <c r="E78" s="53">
        <v>24051.19</v>
      </c>
      <c r="F78" s="45"/>
      <c r="G78" s="53">
        <f>E78</f>
        <v>24051.19</v>
      </c>
      <c r="H78" s="45"/>
      <c r="I78" s="53">
        <v>130</v>
      </c>
      <c r="J78" s="45">
        <f t="shared" si="15"/>
        <v>0.54051379578307768</v>
      </c>
      <c r="K78" s="45">
        <f t="shared" si="16"/>
        <v>0.54051379578307768</v>
      </c>
      <c r="L78" s="53">
        <f t="shared" si="20"/>
        <v>118.56</v>
      </c>
      <c r="M78" s="45">
        <f t="shared" si="17"/>
        <v>91.2</v>
      </c>
      <c r="N78" s="45">
        <f t="shared" si="18"/>
        <v>116.54448000000001</v>
      </c>
      <c r="O78" s="45">
        <f t="shared" si="19"/>
        <v>98.300000000000011</v>
      </c>
    </row>
    <row r="79" spans="1:15" s="5" customFormat="1" ht="18.75" x14ac:dyDescent="0.25">
      <c r="A79" s="22">
        <v>75</v>
      </c>
      <c r="B79" s="55" t="s">
        <v>108</v>
      </c>
      <c r="C79" s="43" t="s">
        <v>58</v>
      </c>
      <c r="D79" s="45"/>
      <c r="E79" s="56"/>
      <c r="F79" s="45"/>
      <c r="G79" s="56"/>
      <c r="H79" s="45"/>
      <c r="I79" s="56"/>
      <c r="J79" s="45"/>
      <c r="K79" s="45"/>
      <c r="L79" s="53">
        <f t="shared" si="20"/>
        <v>0</v>
      </c>
      <c r="M79" s="45"/>
      <c r="N79" s="45"/>
      <c r="O79" s="45"/>
    </row>
    <row r="80" spans="1:15" ht="18.75" x14ac:dyDescent="0.25">
      <c r="A80" s="22">
        <v>76</v>
      </c>
      <c r="B80" s="57" t="s">
        <v>109</v>
      </c>
      <c r="C80" s="58" t="s">
        <v>59</v>
      </c>
      <c r="D80" s="37"/>
      <c r="E80" s="53"/>
      <c r="F80" s="45"/>
      <c r="G80" s="53"/>
      <c r="H80" s="45"/>
      <c r="I80" s="53"/>
      <c r="J80" s="45"/>
      <c r="K80" s="45"/>
      <c r="L80" s="53">
        <f t="shared" si="20"/>
        <v>0</v>
      </c>
      <c r="M80" s="45"/>
      <c r="N80" s="45"/>
      <c r="O80" s="45"/>
    </row>
    <row r="81" spans="1:15" ht="18.75" x14ac:dyDescent="0.25">
      <c r="A81" s="22">
        <v>77</v>
      </c>
      <c r="B81" s="57" t="s">
        <v>110</v>
      </c>
      <c r="C81" s="58" t="s">
        <v>60</v>
      </c>
      <c r="D81" s="37"/>
      <c r="E81" s="53"/>
      <c r="F81" s="45"/>
      <c r="G81" s="53"/>
      <c r="H81" s="45"/>
      <c r="I81" s="53"/>
      <c r="J81" s="45"/>
      <c r="K81" s="45"/>
      <c r="L81" s="53">
        <f t="shared" si="20"/>
        <v>0</v>
      </c>
      <c r="M81" s="45"/>
      <c r="N81" s="45"/>
      <c r="O81" s="45"/>
    </row>
    <row r="82" spans="1:15" ht="37.5" x14ac:dyDescent="0.25">
      <c r="A82" s="22">
        <v>78</v>
      </c>
      <c r="B82" s="57" t="s">
        <v>111</v>
      </c>
      <c r="C82" s="58" t="s">
        <v>61</v>
      </c>
      <c r="D82" s="37"/>
      <c r="E82" s="53"/>
      <c r="F82" s="45"/>
      <c r="G82" s="53"/>
      <c r="H82" s="45"/>
      <c r="I82" s="53"/>
      <c r="J82" s="45"/>
      <c r="K82" s="45"/>
      <c r="L82" s="53">
        <f t="shared" si="20"/>
        <v>0</v>
      </c>
      <c r="M82" s="45"/>
      <c r="N82" s="45"/>
      <c r="O82" s="45"/>
    </row>
    <row r="83" spans="1:15" s="5" customFormat="1" ht="37.5" x14ac:dyDescent="0.25">
      <c r="A83" s="22">
        <v>79</v>
      </c>
      <c r="B83" s="55" t="s">
        <v>112</v>
      </c>
      <c r="C83" s="43" t="s">
        <v>62</v>
      </c>
      <c r="D83" s="45">
        <f>D84+D85</f>
        <v>2.91</v>
      </c>
      <c r="E83" s="45">
        <f t="shared" ref="E83:I83" si="29">E84+E85</f>
        <v>3</v>
      </c>
      <c r="F83" s="45">
        <f t="shared" si="13"/>
        <v>103.09278350515463</v>
      </c>
      <c r="G83" s="45">
        <f t="shared" si="29"/>
        <v>3</v>
      </c>
      <c r="H83" s="45">
        <f t="shared" si="14"/>
        <v>103.09278350515463</v>
      </c>
      <c r="I83" s="45">
        <f t="shared" si="29"/>
        <v>3</v>
      </c>
      <c r="J83" s="45">
        <f t="shared" si="15"/>
        <v>100</v>
      </c>
      <c r="K83" s="45">
        <f t="shared" si="16"/>
        <v>100</v>
      </c>
      <c r="L83" s="53">
        <v>0</v>
      </c>
      <c r="M83" s="45">
        <f t="shared" si="17"/>
        <v>0</v>
      </c>
      <c r="N83" s="45"/>
      <c r="O83" s="45"/>
    </row>
    <row r="84" spans="1:15" ht="18.75" x14ac:dyDescent="0.25">
      <c r="A84" s="22">
        <v>80</v>
      </c>
      <c r="B84" s="57" t="s">
        <v>113</v>
      </c>
      <c r="C84" s="58" t="s">
        <v>140</v>
      </c>
      <c r="D84" s="37">
        <v>2.91</v>
      </c>
      <c r="E84" s="53">
        <v>3</v>
      </c>
      <c r="F84" s="45">
        <f t="shared" si="13"/>
        <v>103.09278350515463</v>
      </c>
      <c r="G84" s="53"/>
      <c r="H84" s="45">
        <f t="shared" si="14"/>
        <v>0</v>
      </c>
      <c r="I84" s="53"/>
      <c r="J84" s="45">
        <f t="shared" si="15"/>
        <v>0</v>
      </c>
      <c r="K84" s="45"/>
      <c r="L84" s="53">
        <f t="shared" si="20"/>
        <v>0</v>
      </c>
      <c r="M84" s="45"/>
      <c r="N84" s="45">
        <f t="shared" si="18"/>
        <v>0</v>
      </c>
      <c r="O84" s="45"/>
    </row>
    <row r="85" spans="1:15" ht="18.75" x14ac:dyDescent="0.25">
      <c r="A85" s="22">
        <v>81</v>
      </c>
      <c r="B85" s="57" t="s">
        <v>114</v>
      </c>
      <c r="C85" s="58" t="s">
        <v>63</v>
      </c>
      <c r="D85" s="37"/>
      <c r="E85" s="53"/>
      <c r="F85" s="45"/>
      <c r="G85" s="53">
        <v>3</v>
      </c>
      <c r="H85" s="45"/>
      <c r="I85" s="53">
        <v>3</v>
      </c>
      <c r="J85" s="45"/>
      <c r="K85" s="45">
        <f t="shared" si="16"/>
        <v>100</v>
      </c>
      <c r="L85" s="53">
        <v>0</v>
      </c>
      <c r="M85" s="45">
        <f t="shared" si="17"/>
        <v>0</v>
      </c>
      <c r="N85" s="45">
        <f t="shared" si="18"/>
        <v>0</v>
      </c>
      <c r="O85" s="45"/>
    </row>
    <row r="86" spans="1:15" s="5" customFormat="1" ht="56.25" x14ac:dyDescent="0.25">
      <c r="A86" s="22">
        <v>82</v>
      </c>
      <c r="B86" s="55" t="s">
        <v>115</v>
      </c>
      <c r="C86" s="43" t="s">
        <v>64</v>
      </c>
      <c r="D86" s="45">
        <f>D87+D88+D89</f>
        <v>72035.01999999999</v>
      </c>
      <c r="E86" s="45">
        <f t="shared" ref="E86:I86" si="30">E87+E88+E89</f>
        <v>70627.83</v>
      </c>
      <c r="F86" s="45">
        <f t="shared" si="13"/>
        <v>98.046519595607819</v>
      </c>
      <c r="G86" s="45">
        <f t="shared" si="30"/>
        <v>70627.83</v>
      </c>
      <c r="H86" s="45">
        <f t="shared" si="14"/>
        <v>98.046519595607819</v>
      </c>
      <c r="I86" s="45">
        <f t="shared" si="30"/>
        <v>56021.3</v>
      </c>
      <c r="J86" s="45">
        <f t="shared" si="15"/>
        <v>79.319016314107344</v>
      </c>
      <c r="K86" s="45">
        <f t="shared" si="16"/>
        <v>79.319016314107344</v>
      </c>
      <c r="L86" s="53">
        <f>L87+L89</f>
        <v>56021.3</v>
      </c>
      <c r="M86" s="45">
        <f t="shared" si="17"/>
        <v>100</v>
      </c>
      <c r="N86" s="45">
        <f>N87+N89</f>
        <v>56021.3</v>
      </c>
      <c r="O86" s="45">
        <f t="shared" si="19"/>
        <v>100</v>
      </c>
    </row>
    <row r="87" spans="1:15" ht="56.25" x14ac:dyDescent="0.25">
      <c r="A87" s="22">
        <v>83</v>
      </c>
      <c r="B87" s="57" t="s">
        <v>116</v>
      </c>
      <c r="C87" s="58" t="s">
        <v>65</v>
      </c>
      <c r="D87" s="37">
        <v>34652</v>
      </c>
      <c r="E87" s="53">
        <v>34610</v>
      </c>
      <c r="F87" s="45">
        <f t="shared" si="13"/>
        <v>99.878794874754703</v>
      </c>
      <c r="G87" s="53">
        <f>E87</f>
        <v>34610</v>
      </c>
      <c r="H87" s="45">
        <f t="shared" si="14"/>
        <v>99.878794874754703</v>
      </c>
      <c r="I87" s="53">
        <f>24911+10516</f>
        <v>35427</v>
      </c>
      <c r="J87" s="45">
        <f t="shared" si="15"/>
        <v>102.36058942502166</v>
      </c>
      <c r="K87" s="45">
        <f t="shared" si="16"/>
        <v>102.36058942502166</v>
      </c>
      <c r="L87" s="53">
        <f>I87</f>
        <v>35427</v>
      </c>
      <c r="M87" s="45">
        <f t="shared" si="17"/>
        <v>100</v>
      </c>
      <c r="N87" s="45">
        <f>L87</f>
        <v>35427</v>
      </c>
      <c r="O87" s="45">
        <f t="shared" si="19"/>
        <v>100</v>
      </c>
    </row>
    <row r="88" spans="1:15" ht="18.75" x14ac:dyDescent="0.25">
      <c r="A88" s="22">
        <v>84</v>
      </c>
      <c r="B88" s="57" t="s">
        <v>117</v>
      </c>
      <c r="C88" s="58" t="s">
        <v>66</v>
      </c>
      <c r="D88" s="37">
        <v>3825.5</v>
      </c>
      <c r="E88" s="53"/>
      <c r="F88" s="45">
        <f t="shared" si="13"/>
        <v>0</v>
      </c>
      <c r="G88" s="53"/>
      <c r="H88" s="45"/>
      <c r="I88" s="53"/>
      <c r="J88" s="45"/>
      <c r="K88" s="45"/>
      <c r="L88" s="53">
        <f t="shared" si="20"/>
        <v>0</v>
      </c>
      <c r="M88" s="45"/>
      <c r="N88" s="45">
        <f t="shared" si="18"/>
        <v>0</v>
      </c>
      <c r="O88" s="45"/>
    </row>
    <row r="89" spans="1:15" ht="18.75" x14ac:dyDescent="0.25">
      <c r="A89" s="22">
        <v>85</v>
      </c>
      <c r="B89" s="57" t="s">
        <v>118</v>
      </c>
      <c r="C89" s="58" t="s">
        <v>152</v>
      </c>
      <c r="D89" s="37">
        <v>33557.519999999997</v>
      </c>
      <c r="E89" s="53">
        <v>36017.83</v>
      </c>
      <c r="F89" s="45">
        <f t="shared" si="13"/>
        <v>107.33162045347811</v>
      </c>
      <c r="G89" s="53">
        <f>E89</f>
        <v>36017.83</v>
      </c>
      <c r="H89" s="45">
        <f t="shared" si="14"/>
        <v>107.33162045347811</v>
      </c>
      <c r="I89" s="53">
        <f>20570+24.3</f>
        <v>20594.3</v>
      </c>
      <c r="J89" s="45">
        <f t="shared" si="15"/>
        <v>57.178069861510252</v>
      </c>
      <c r="K89" s="45">
        <f t="shared" si="16"/>
        <v>57.178069861510252</v>
      </c>
      <c r="L89" s="53">
        <f>I89</f>
        <v>20594.3</v>
      </c>
      <c r="M89" s="45">
        <f t="shared" si="17"/>
        <v>100</v>
      </c>
      <c r="N89" s="45">
        <f>L89</f>
        <v>20594.3</v>
      </c>
      <c r="O89" s="45">
        <f t="shared" si="19"/>
        <v>100</v>
      </c>
    </row>
    <row r="90" spans="1:15" ht="18.75" x14ac:dyDescent="0.25">
      <c r="A90" s="22">
        <v>86</v>
      </c>
      <c r="B90" s="60"/>
      <c r="C90" s="58" t="s">
        <v>153</v>
      </c>
      <c r="D90" s="37"/>
      <c r="E90" s="37">
        <f>39601.5</f>
        <v>39601.5</v>
      </c>
      <c r="F90" s="45"/>
      <c r="G90" s="37"/>
      <c r="H90" s="37"/>
      <c r="I90" s="37">
        <v>47080</v>
      </c>
      <c r="J90" s="45">
        <f t="shared" si="15"/>
        <v>118.88438569246114</v>
      </c>
      <c r="K90" s="45"/>
      <c r="L90" s="53">
        <v>42509.5</v>
      </c>
      <c r="M90" s="45">
        <f t="shared" si="17"/>
        <v>90.292056074766364</v>
      </c>
      <c r="N90" s="45">
        <f>41787.9+11047.9</f>
        <v>52835.8</v>
      </c>
      <c r="O90" s="45">
        <f t="shared" si="19"/>
        <v>124.29174655077102</v>
      </c>
    </row>
    <row r="91" spans="1:15" s="63" customFormat="1" ht="18.75" x14ac:dyDescent="0.25">
      <c r="A91" s="22">
        <v>87</v>
      </c>
      <c r="B91" s="62"/>
      <c r="C91" s="48" t="s">
        <v>159</v>
      </c>
      <c r="D91" s="66">
        <f>D29+D39+D42+D50+D59+D65+D69+D75+D83+D86</f>
        <v>2443349.63</v>
      </c>
      <c r="E91" s="66">
        <f>E29+E39+E42+E50+E59+E65+E69+E75+E83+E86+E90</f>
        <v>2994498.6600000006</v>
      </c>
      <c r="F91" s="66"/>
      <c r="G91" s="66">
        <f>G29+G39+G42+G50+G59+G65+G69+G75+G83+G86+G90</f>
        <v>3013066.725866667</v>
      </c>
      <c r="H91" s="66">
        <f t="shared" ref="H91" si="31">H29+H39+H42+H50+H59+H65+H69+H75+H83+H86+H90</f>
        <v>1596.3323274200659</v>
      </c>
      <c r="I91" s="66">
        <f>I90+I86+I83+I29+I39+I42+I50+I59+I65+I69+I75</f>
        <v>2038929.0000000002</v>
      </c>
      <c r="J91" s="66">
        <f t="shared" ref="J91:K91" si="32">J90+J86+J83+J29+J39+J42+J50+J59+J65+J69+J75</f>
        <v>846.18734299869232</v>
      </c>
      <c r="K91" s="66">
        <f t="shared" si="32"/>
        <v>702.90069624269574</v>
      </c>
      <c r="L91" s="66">
        <f>L90+L86+L83+L29+L39+L42+L50+L59+L65+L69+L75</f>
        <v>1860150.6264</v>
      </c>
      <c r="M91" s="66">
        <f t="shared" ref="M91:N91" si="33">M90+M86+M83+M29+M39+M42+M50+M59+M65+M69+M75</f>
        <v>920.28933224538332</v>
      </c>
      <c r="N91" s="66">
        <f t="shared" si="33"/>
        <v>1841023.1166488002</v>
      </c>
      <c r="O91" s="64"/>
    </row>
    <row r="92" spans="1:15" s="12" customFormat="1" x14ac:dyDescent="0.25">
      <c r="B92" s="6"/>
      <c r="C92" s="14"/>
      <c r="D92" s="17">
        <f>D29+D39+D42+D50+D59+D65+D69+D75+D83+D86</f>
        <v>2443349.63</v>
      </c>
      <c r="E92" s="17"/>
      <c r="F92" s="13"/>
      <c r="G92" s="17"/>
      <c r="H92" s="13"/>
      <c r="I92" s="17"/>
      <c r="J92" s="13"/>
      <c r="K92" s="13"/>
      <c r="L92" s="17"/>
      <c r="M92" s="13"/>
      <c r="N92" s="17"/>
      <c r="O92" s="13"/>
    </row>
    <row r="93" spans="1:15" s="12" customFormat="1" x14ac:dyDescent="0.25">
      <c r="B93" s="6"/>
      <c r="C93" s="14"/>
      <c r="D93" s="14"/>
      <c r="F93" s="13"/>
      <c r="H93" s="13"/>
      <c r="J93" s="13"/>
      <c r="K93" s="13"/>
      <c r="L93" s="17"/>
      <c r="M93" s="13"/>
      <c r="N93" s="17"/>
      <c r="O93" s="13"/>
    </row>
    <row r="94" spans="1:15" s="12" customFormat="1" x14ac:dyDescent="0.25">
      <c r="B94" s="6"/>
      <c r="C94" s="14"/>
      <c r="D94" s="17">
        <f>D91-D26</f>
        <v>-1.9999999552965164E-2</v>
      </c>
      <c r="E94" s="17">
        <f>E91-E26</f>
        <v>4.000000050291419E-2</v>
      </c>
      <c r="F94" s="13"/>
      <c r="G94" s="17"/>
      <c r="H94" s="13"/>
      <c r="I94" s="17"/>
      <c r="J94" s="13"/>
      <c r="K94" s="13"/>
      <c r="L94" s="17"/>
      <c r="M94" s="13"/>
      <c r="N94" s="17"/>
      <c r="O94" s="13"/>
    </row>
    <row r="95" spans="1:15" s="15" customFormat="1" x14ac:dyDescent="0.25">
      <c r="B95" s="6"/>
      <c r="C95" s="14"/>
      <c r="D95" s="14"/>
      <c r="F95" s="16"/>
      <c r="H95" s="16"/>
      <c r="I95" s="17"/>
      <c r="J95" s="16"/>
      <c r="K95" s="16"/>
      <c r="L95" s="17"/>
      <c r="M95" s="16"/>
      <c r="N95" s="17"/>
      <c r="O95" s="16"/>
    </row>
    <row r="97" spans="7:7" x14ac:dyDescent="0.25">
      <c r="G97" s="18"/>
    </row>
  </sheetData>
  <autoFilter ref="B3:O90"/>
  <mergeCells count="3">
    <mergeCell ref="A3:A4"/>
    <mergeCell ref="A1:N1"/>
    <mergeCell ref="E2:F2"/>
  </mergeCells>
  <pageMargins left="0.19685039370078741" right="3.937007874015748E-2" top="0" bottom="0" header="0" footer="0.11811023622047245"/>
  <pageSetup paperSize="9" scale="4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№ 2 Расходы</vt:lpstr>
      <vt:lpstr>'Форма № 2 Расходы'!Заголовки_для_печати</vt:lpstr>
      <vt:lpstr>'Форма № 2 Расходы'!Область_печати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ФИРСОВА ЛЮДМИЛА ВЛАДИМИРОВНА</dc:creator>
  <cp:lastModifiedBy>Admin</cp:lastModifiedBy>
  <cp:lastPrinted>2023-10-29T06:16:37Z</cp:lastPrinted>
  <dcterms:created xsi:type="dcterms:W3CDTF">2017-08-31T14:26:51Z</dcterms:created>
  <dcterms:modified xsi:type="dcterms:W3CDTF">2023-10-29T13:11:04Z</dcterms:modified>
</cp:coreProperties>
</file>