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3256" windowHeight="12216" tabRatio="514" activeTab="0"/>
  </bookViews>
  <sheets>
    <sheet name="РАСЧЕТ ИНП " sheetId="1" r:id="rId1"/>
    <sheet name="РАСЧЕТ ИБР" sheetId="2" r:id="rId2"/>
    <sheet name="РАСЧЕТ ДОТАЦИИ" sheetId="3" r:id="rId3"/>
    <sheet name="Анализ" sheetId="4" r:id="rId4"/>
  </sheets>
  <externalReferences>
    <externalReference r:id="rId7"/>
  </externalReferences>
  <definedNames>
    <definedName name="_xlnm.Print_Titles" localSheetId="2">'РАСЧЕТ ДОТАЦИИ'!$A:$B</definedName>
    <definedName name="_xlnm.Print_Titles" localSheetId="0">'РАСЧЕТ ИНП '!$A:$B,'РАСЧЕТ ИНП '!$3:$7</definedName>
    <definedName name="_xlnm.Print_Area" localSheetId="2">'РАСЧЕТ ДОТАЦИИ'!$A$1:$K$27</definedName>
    <definedName name="_xlnm.Print_Area" localSheetId="1">'РАСЧЕТ ИБР'!$A$1:$O$30</definedName>
    <definedName name="_xlnm.Print_Area" localSheetId="0">'РАСЧЕТ ИНП '!$A$1:$Q$19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<sst xmlns="http://schemas.openxmlformats.org/spreadsheetml/2006/main" count="128" uniqueCount="109">
  <si>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</si>
  <si>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</si>
  <si>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</si>
  <si>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</si>
  <si>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</si>
  <si>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</si>
  <si>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</si>
  <si>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</si>
  <si>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</si>
  <si>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</si>
  <si>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</si>
  <si>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</si>
  <si>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</si>
  <si>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</si>
  <si>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</si>
  <si>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</si>
  <si>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</si>
  <si>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</si>
  <si>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</si>
  <si>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</si>
  <si>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</si>
  <si>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</si>
  <si>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</si>
  <si>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</si>
  <si>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</si>
  <si>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</si>
  <si>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</si>
  <si>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</si>
  <si>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</si>
  <si>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</si>
  <si>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</si>
  <si>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</si>
  <si>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</si>
  <si>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</si>
  <si>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</si>
  <si>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</si>
  <si>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</si>
  <si>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</si>
  <si>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</si>
  <si>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</si>
  <si>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</si>
  <si>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</si>
  <si>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</si>
  <si>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</si>
  <si>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</si>
  <si>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</si>
  <si>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</si>
  <si>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</si>
  <si>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</si>
  <si>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</si>
  <si>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</si>
  <si>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</si>
  <si>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</si>
  <si>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</si>
  <si>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</si>
  <si>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</si>
  <si>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</si>
  <si>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</si>
  <si>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</si>
  <si>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</si>
  <si>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</si>
  <si>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</si>
  <si>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</si>
  <si>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</si>
  <si>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</si>
  <si>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</si>
  <si>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</si>
  <si>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</si>
  <si>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</si>
  <si>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</si>
  <si>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</si>
  <si>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</si>
  <si>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</si>
  <si>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</si>
  <si>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</si>
  <si>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</si>
  <si>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</si>
  <si>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</si>
  <si>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</si>
  <si>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Бадинское</t>
  </si>
  <si>
    <t>Закультинское</t>
  </si>
  <si>
    <t>Глинкинское</t>
  </si>
  <si>
    <t>Жипхегенское</t>
  </si>
  <si>
    <t>Л-Озерское</t>
  </si>
  <si>
    <t>Хушенгинское</t>
  </si>
  <si>
    <t>Харагунское</t>
  </si>
  <si>
    <t>Хилогосонское</t>
  </si>
  <si>
    <t>Укурикское</t>
  </si>
  <si>
    <t>Энгорокское</t>
  </si>
  <si>
    <t>Кзпj = 1+ Ксм+</t>
  </si>
  <si>
    <t>Расчет индекса налогового потенциала для расчета дотации на выравнивание бюджетной обеспеченности поселений на 2015 год</t>
  </si>
  <si>
    <t>Дотация на выравнивание</t>
  </si>
  <si>
    <t>Налоговые и неналоговые доходы на 2020 г. (ожидаемая).</t>
  </si>
  <si>
    <t>ФОТ на 2021 год</t>
  </si>
  <si>
    <t>Расходы на ЖКУ на 2021 год</t>
  </si>
  <si>
    <t>Справочно: всего финансовой помощи в 2021 году</t>
  </si>
  <si>
    <t>Всего источников на 2021 год</t>
  </si>
  <si>
    <t>ФОТ на 2022 год</t>
  </si>
  <si>
    <t>Расходы на ЖКУ на 2022 год</t>
  </si>
  <si>
    <t xml:space="preserve">                          </t>
  </si>
  <si>
    <t>Численность населения по состоянию на 1.01.2021 г.</t>
  </si>
  <si>
    <t>Показатели используемые в расчете распределения средств финансовой помощи из фонда выравнивания на 2022 год</t>
  </si>
  <si>
    <t>Расчет дотации на выравнивание бюджетной обеспеченности поселений на 2022 год</t>
  </si>
  <si>
    <t>Справочно: всего финансовой помощи в 2022 году</t>
  </si>
  <si>
    <t>Численность постоянного населения по состоянию на 1.01.2021 года</t>
  </si>
  <si>
    <t>Налоговые и неналоговые доходы на 2022 г. (прогноз).</t>
  </si>
  <si>
    <t>Всего источников на 2022 год</t>
  </si>
  <si>
    <t>Собственные доходы (налоговые, неналоговые) на 2022 год</t>
  </si>
  <si>
    <t>Аналитическая таблица по формированию финансовой помощи бюджетам поселений муниципального района "Хилокский район" на 2021- 2022 годы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</si>
</sst>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\$#,##0\ ;\(\$#,##0\)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0.0"/>
    <numFmt numFmtId="194" formatCode="#,##0.0000"/>
    <numFmt numFmtId="195" formatCode="_-* #,##0.0_р_._-;\-* #,##0.0_р_._-;_-* &quot;-&quot;?_р_._-;_-@_-"/>
    <numFmt numFmtId="196" formatCode="_-* #,##0.000_р_._-;\-* #,##0.000_р_._-;_-* &quot;-&quot;???_р_._-;_-@_-"/>
    <numFmt numFmtId="197" formatCode="0.0%"/>
    <numFmt numFmtId="198" formatCode="#,##0.00000"/>
    <numFmt numFmtId="199" formatCode="_-* #,##0.00_р_._-;\-* #,##0.00_р_._-;_-* &quot;-&quot;???_р_._-;_-@_-"/>
    <numFmt numFmtId="200" formatCode="_-* #,##0.00_р_._-;\-* #,##0.00_р_._-;_-* &quot;-&quot;?_р_._-;_-@_-"/>
    <numFmt numFmtId="201" formatCode="_-* #,##0_р_._-;\-* #,##0_р_._-;_-* &quot;-&quot;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0.000%"/>
    <numFmt numFmtId="206" formatCode="_-* #,##0.0000_р_._-;\-* #,##0.0000_р_._-;_-* &quot;-&quot;???_р_._-;_-@_-"/>
    <numFmt numFmtId="207" formatCode="#,##0.000000"/>
    <numFmt numFmtId="208" formatCode="#,##0.0000000"/>
    <numFmt numFmtId="209" formatCode="0.0000%"/>
    <numFmt numFmtId="210" formatCode="0.00000%"/>
    <numFmt numFmtId="211" formatCode="_-* #,##0.0_р_._-;\-* #,##0.0_р_._-;_-* &quot;-&quot;???_р_._-;_-@_-"/>
    <numFmt numFmtId="212" formatCode="_-* #,##0_р_._-;\-* #,##0_р_._-;_-* &quot;-&quot;???_р_._-;_-@_-"/>
    <numFmt numFmtId="213" formatCode="0.000000%"/>
    <numFmt numFmtId="214" formatCode="_-* #,##0.000_р_._-;\-* #,##0.000_р_._-;_-* &quot;-&quot;?_р_._-;_-@_-"/>
    <numFmt numFmtId="215" formatCode="_-* #,##0.000000_р_._-;\-* #,##0.000000_р_._-;_-* &quot;-&quot;??????_р_._-;_-@_-"/>
    <numFmt numFmtId="216" formatCode="_-* #,##0.0000_р_._-;\-* #,##0.0000_р_._-;_-* &quot;-&quot;????_р_._-;_-@_-"/>
    <numFmt numFmtId="217" formatCode="#,##0.000_ ;\-#,##0.000\ "/>
    <numFmt numFmtId="218" formatCode="#,##0_ ;\-#,##0\ "/>
    <numFmt numFmtId="219" formatCode="#,##0.00;[Red]#,##0.00"/>
    <numFmt numFmtId="220" formatCode="#,##0.000;[Red]#,##0.000"/>
    <numFmt numFmtId="221" formatCode="0&quot;   &quot;"/>
    <numFmt numFmtId="222" formatCode="[=0]&quot;-   &quot;;0&quot;   &quot;"/>
    <numFmt numFmtId="223" formatCode="_-* #,##0.0\ _₽_-;\-* #,##0.0\ _₽_-;_-* &quot;-&quot;?\ _₽_-;_-@_-"/>
  </numFmts>
  <fonts count="77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8"/>
      <name val="Arial"/>
      <family val="2"/>
    </font>
    <font>
      <sz val="14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7" borderId="8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1" applyFont="1" applyFill="1" applyBorder="1">
      <alignment/>
      <protection/>
    </xf>
    <xf numFmtId="0" fontId="23" fillId="33" borderId="11" xfId="0" applyFont="1" applyFill="1" applyBorder="1" applyAlignment="1">
      <alignment horizontal="center" vertical="center" wrapText="1"/>
    </xf>
    <xf numFmtId="177" fontId="22" fillId="33" borderId="11" xfId="0" applyNumberFormat="1" applyFont="1" applyFill="1" applyBorder="1" applyAlignment="1">
      <alignment/>
    </xf>
    <xf numFmtId="177" fontId="4" fillId="33" borderId="0" xfId="0" applyNumberFormat="1" applyFont="1" applyFill="1" applyAlignment="1">
      <alignment/>
    </xf>
    <xf numFmtId="0" fontId="11" fillId="33" borderId="11" xfId="65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85" fontId="16" fillId="33" borderId="11" xfId="65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95" fontId="12" fillId="33" borderId="0" xfId="0" applyNumberFormat="1" applyFont="1" applyFill="1" applyAlignment="1">
      <alignment/>
    </xf>
    <xf numFmtId="3" fontId="24" fillId="33" borderId="11" xfId="65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177" fontId="2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96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91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top"/>
      <protection hidden="1"/>
    </xf>
    <xf numFmtId="195" fontId="0" fillId="33" borderId="11" xfId="0" applyNumberForma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11" fillId="35" borderId="11" xfId="65" applyFont="1" applyFill="1" applyBorder="1" applyAlignment="1">
      <alignment horizontal="center" vertical="center" wrapText="1"/>
      <protection/>
    </xf>
    <xf numFmtId="195" fontId="11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201" fontId="24" fillId="35" borderId="11" xfId="65" applyNumberFormat="1" applyFont="1" applyFill="1" applyBorder="1" applyAlignment="1">
      <alignment horizontal="center" wrapText="1"/>
      <protection/>
    </xf>
    <xf numFmtId="3" fontId="16" fillId="35" borderId="11" xfId="65" applyNumberFormat="1" applyFont="1" applyFill="1" applyBorder="1" applyAlignment="1">
      <alignment wrapText="1"/>
      <protection/>
    </xf>
    <xf numFmtId="201" fontId="16" fillId="35" borderId="11" xfId="65" applyNumberFormat="1" applyFont="1" applyFill="1" applyBorder="1" applyAlignment="1">
      <alignment wrapText="1"/>
      <protection/>
    </xf>
    <xf numFmtId="201" fontId="16" fillId="33" borderId="11" xfId="6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177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3" fontId="22" fillId="32" borderId="11" xfId="0" applyNumberFormat="1" applyFont="1" applyFill="1" applyBorder="1" applyAlignment="1">
      <alignment/>
    </xf>
    <xf numFmtId="9" fontId="24" fillId="32" borderId="11" xfId="65" applyNumberFormat="1" applyFont="1" applyFill="1" applyBorder="1" applyAlignment="1">
      <alignment wrapText="1"/>
      <protection/>
    </xf>
    <xf numFmtId="3" fontId="16" fillId="32" borderId="11" xfId="65" applyNumberFormat="1" applyFont="1" applyFill="1" applyBorder="1" applyAlignment="1">
      <alignment wrapText="1"/>
      <protection/>
    </xf>
    <xf numFmtId="9" fontId="24" fillId="32" borderId="11" xfId="65" applyNumberFormat="1" applyFont="1" applyFill="1" applyBorder="1" applyAlignment="1">
      <alignment wrapText="1"/>
      <protection/>
    </xf>
    <xf numFmtId="185" fontId="24" fillId="32" borderId="11" xfId="65" applyNumberFormat="1" applyFont="1" applyFill="1" applyBorder="1" applyAlignment="1">
      <alignment wrapText="1"/>
      <protection/>
    </xf>
    <xf numFmtId="0" fontId="16" fillId="33" borderId="14" xfId="65" applyNumberFormat="1" applyFont="1" applyFill="1" applyBorder="1" applyAlignment="1">
      <alignment wrapText="1"/>
      <protection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96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96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/>
      <protection hidden="1"/>
    </xf>
    <xf numFmtId="0" fontId="14" fillId="33" borderId="11" xfId="64" applyFont="1" applyFill="1" applyBorder="1" applyProtection="1">
      <alignment/>
      <protection hidden="1"/>
    </xf>
    <xf numFmtId="196" fontId="0" fillId="33" borderId="11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/>
    </xf>
    <xf numFmtId="177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/>
    </xf>
    <xf numFmtId="0" fontId="34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34" fillId="0" borderId="0" xfId="40" applyFont="1" applyFill="1" applyBorder="1" applyAlignment="1">
      <alignment horizontal="center" vertical="center" wrapText="1"/>
      <protection/>
    </xf>
    <xf numFmtId="0" fontId="34" fillId="0" borderId="11" xfId="4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10" fillId="33" borderId="11" xfId="40" applyFont="1" applyFill="1" applyBorder="1" applyAlignment="1">
      <alignment horizontal="center" vertical="center" wrapText="1"/>
      <protection/>
    </xf>
    <xf numFmtId="0" fontId="34" fillId="33" borderId="11" xfId="39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3" fillId="0" borderId="11" xfId="40" applyFont="1" applyFill="1" applyBorder="1" applyAlignment="1">
      <alignment horizontal="center"/>
      <protection/>
    </xf>
    <xf numFmtId="0" fontId="34" fillId="33" borderId="11" xfId="40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192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195" fontId="0" fillId="33" borderId="11" xfId="0" applyNumberFormat="1" applyFill="1" applyBorder="1" applyAlignment="1">
      <alignment/>
    </xf>
    <xf numFmtId="0" fontId="14" fillId="37" borderId="11" xfId="0" applyFont="1" applyFill="1" applyBorder="1" applyAlignment="1">
      <alignment vertical="center" wrapText="1"/>
    </xf>
    <xf numFmtId="196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177" fontId="25" fillId="36" borderId="0" xfId="0" applyNumberFormat="1" applyFont="1" applyFill="1" applyAlignment="1">
      <alignment/>
    </xf>
    <xf numFmtId="3" fontId="34" fillId="32" borderId="11" xfId="0" applyNumberFormat="1" applyFont="1" applyFill="1" applyBorder="1" applyAlignment="1">
      <alignment/>
    </xf>
    <xf numFmtId="217" fontId="27" fillId="32" borderId="11" xfId="0" applyNumberFormat="1" applyFont="1" applyFill="1" applyBorder="1" applyAlignment="1">
      <alignment vertical="center" wrapText="1"/>
    </xf>
    <xf numFmtId="2" fontId="14" fillId="32" borderId="11" xfId="0" applyNumberFormat="1" applyFont="1" applyFill="1" applyBorder="1" applyAlignment="1">
      <alignment vertical="center" wrapText="1"/>
    </xf>
    <xf numFmtId="218" fontId="27" fillId="32" borderId="11" xfId="0" applyNumberFormat="1" applyFont="1" applyFill="1" applyBorder="1" applyAlignment="1">
      <alignment vertical="center" wrapText="1"/>
    </xf>
    <xf numFmtId="4" fontId="27" fillId="34" borderId="11" xfId="0" applyNumberFormat="1" applyFont="1" applyFill="1" applyBorder="1" applyAlignment="1">
      <alignment vertical="center" wrapText="1"/>
    </xf>
    <xf numFmtId="177" fontId="27" fillId="33" borderId="11" xfId="0" applyNumberFormat="1" applyFont="1" applyFill="1" applyBorder="1" applyAlignment="1">
      <alignment vertical="center" wrapText="1"/>
    </xf>
    <xf numFmtId="0" fontId="37" fillId="0" borderId="11" xfId="41" applyFont="1" applyFill="1" applyBorder="1">
      <alignment/>
      <protection/>
    </xf>
    <xf numFmtId="3" fontId="37" fillId="33" borderId="11" xfId="40" applyNumberFormat="1" applyFont="1" applyFill="1" applyBorder="1" applyAlignment="1">
      <alignment horizontal="right" vertical="center" wrapText="1"/>
      <protection/>
    </xf>
    <xf numFmtId="3" fontId="37" fillId="33" borderId="11" xfId="40" applyNumberFormat="1" applyFont="1" applyFill="1" applyBorder="1">
      <alignment/>
      <protection/>
    </xf>
    <xf numFmtId="0" fontId="35" fillId="0" borderId="11" xfId="41" applyFont="1" applyFill="1" applyBorder="1">
      <alignment/>
      <protection/>
    </xf>
    <xf numFmtId="0" fontId="37" fillId="38" borderId="11" xfId="41" applyFont="1" applyFill="1" applyBorder="1">
      <alignment/>
      <protection/>
    </xf>
    <xf numFmtId="3" fontId="11" fillId="32" borderId="11" xfId="41" applyNumberFormat="1" applyFont="1" applyFill="1" applyBorder="1" applyAlignment="1">
      <alignment/>
      <protection/>
    </xf>
    <xf numFmtId="201" fontId="16" fillId="32" borderId="11" xfId="65" applyNumberFormat="1" applyFont="1" applyFill="1" applyBorder="1" applyAlignment="1">
      <alignment horizontal="center" wrapText="1"/>
      <protection/>
    </xf>
    <xf numFmtId="201" fontId="16" fillId="39" borderId="11" xfId="65" applyNumberFormat="1" applyFont="1" applyFill="1" applyBorder="1" applyAlignment="1">
      <alignment horizontal="center" wrapText="1"/>
      <protection/>
    </xf>
    <xf numFmtId="177" fontId="14" fillId="0" borderId="11" xfId="0" applyNumberFormat="1" applyFont="1" applyFill="1" applyBorder="1" applyAlignment="1">
      <alignment vertical="center" wrapText="1"/>
    </xf>
    <xf numFmtId="3" fontId="35" fillId="33" borderId="11" xfId="40" applyNumberFormat="1" applyFont="1" applyFill="1" applyBorder="1" applyAlignment="1">
      <alignment horizontal="right" vertical="center" wrapText="1"/>
      <protection/>
    </xf>
    <xf numFmtId="3" fontId="35" fillId="32" borderId="11" xfId="40" applyNumberFormat="1" applyFont="1" applyFill="1" applyBorder="1" applyAlignment="1">
      <alignment horizontal="right" vertical="center" wrapText="1"/>
      <protection/>
    </xf>
    <xf numFmtId="0" fontId="12" fillId="0" borderId="15" xfId="0" applyFont="1" applyFill="1" applyBorder="1" applyAlignment="1">
      <alignment/>
    </xf>
    <xf numFmtId="3" fontId="35" fillId="33" borderId="11" xfId="40" applyNumberFormat="1" applyFont="1" applyFill="1" applyBorder="1" applyAlignment="1">
      <alignment horizontal="right" vertical="center" wrapText="1"/>
      <protection/>
    </xf>
    <xf numFmtId="3" fontId="12" fillId="33" borderId="0" xfId="0" applyNumberFormat="1" applyFont="1" applyFill="1" applyAlignment="1">
      <alignment/>
    </xf>
    <xf numFmtId="201" fontId="12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/>
    </xf>
    <xf numFmtId="177" fontId="4" fillId="38" borderId="0" xfId="0" applyNumberFormat="1" applyFont="1" applyFill="1" applyBorder="1" applyAlignment="1">
      <alignment/>
    </xf>
    <xf numFmtId="0" fontId="9" fillId="38" borderId="0" xfId="41" applyFont="1" applyFill="1" applyBorder="1">
      <alignment/>
      <protection/>
    </xf>
    <xf numFmtId="0" fontId="12" fillId="38" borderId="0" xfId="0" applyFont="1" applyFill="1" applyBorder="1" applyAlignment="1">
      <alignment/>
    </xf>
    <xf numFmtId="0" fontId="36" fillId="38" borderId="0" xfId="0" applyFont="1" applyFill="1" applyBorder="1" applyAlignment="1">
      <alignment/>
    </xf>
    <xf numFmtId="0" fontId="39" fillId="38" borderId="0" xfId="0" applyFont="1" applyFill="1" applyBorder="1" applyAlignment="1">
      <alignment horizontal="center"/>
    </xf>
    <xf numFmtId="0" fontId="75" fillId="38" borderId="0" xfId="0" applyFont="1" applyFill="1" applyBorder="1" applyAlignment="1">
      <alignment horizontal="center"/>
    </xf>
    <xf numFmtId="177" fontId="22" fillId="32" borderId="11" xfId="0" applyNumberFormat="1" applyFont="1" applyFill="1" applyBorder="1" applyAlignment="1">
      <alignment/>
    </xf>
    <xf numFmtId="185" fontId="4" fillId="33" borderId="11" xfId="64" applyNumberFormat="1" applyFont="1" applyFill="1" applyBorder="1" applyProtection="1">
      <alignment/>
      <protection hidden="1"/>
    </xf>
    <xf numFmtId="0" fontId="36" fillId="32" borderId="11" xfId="0" applyFont="1" applyFill="1" applyBorder="1" applyAlignment="1">
      <alignment/>
    </xf>
    <xf numFmtId="0" fontId="4" fillId="32" borderId="11" xfId="64" applyFont="1" applyFill="1" applyBorder="1" applyProtection="1">
      <alignment/>
      <protection hidden="1"/>
    </xf>
    <xf numFmtId="3" fontId="38" fillId="32" borderId="11" xfId="64" applyNumberFormat="1" applyFont="1" applyFill="1" applyBorder="1" applyProtection="1">
      <alignment/>
      <protection hidden="1"/>
    </xf>
    <xf numFmtId="3" fontId="32" fillId="39" borderId="11" xfId="0" applyNumberFormat="1" applyFont="1" applyFill="1" applyBorder="1" applyAlignment="1">
      <alignment/>
    </xf>
    <xf numFmtId="185" fontId="0" fillId="33" borderId="11" xfId="0" applyNumberFormat="1" applyFill="1" applyBorder="1" applyAlignment="1">
      <alignment horizontal="center"/>
    </xf>
    <xf numFmtId="3" fontId="33" fillId="39" borderId="11" xfId="40" applyNumberFormat="1" applyFont="1" applyFill="1" applyBorder="1">
      <alignment/>
      <protection/>
    </xf>
    <xf numFmtId="3" fontId="38" fillId="39" borderId="11" xfId="0" applyNumberFormat="1" applyFont="1" applyFill="1" applyBorder="1" applyAlignment="1">
      <alignment/>
    </xf>
    <xf numFmtId="3" fontId="35" fillId="39" borderId="11" xfId="40" applyNumberFormat="1" applyFont="1" applyFill="1" applyBorder="1">
      <alignment/>
      <protection/>
    </xf>
    <xf numFmtId="0" fontId="10" fillId="33" borderId="14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179" fontId="10" fillId="0" borderId="11" xfId="65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10" fillId="33" borderId="11" xfId="6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0" fillId="35" borderId="11" xfId="65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>
      <alignment horizontal="center"/>
    </xf>
    <xf numFmtId="179" fontId="0" fillId="32" borderId="11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wrapText="1"/>
    </xf>
    <xf numFmtId="0" fontId="12" fillId="34" borderId="11" xfId="0" applyFont="1" applyFill="1" applyBorder="1" applyAlignment="1">
      <alignment horizontal="left" wrapText="1"/>
    </xf>
    <xf numFmtId="0" fontId="12" fillId="34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10" fillId="33" borderId="18" xfId="39" applyFont="1" applyFill="1" applyBorder="1" applyAlignment="1">
      <alignment horizontal="center" vertical="center" wrapText="1"/>
      <protection/>
    </xf>
    <xf numFmtId="0" fontId="10" fillId="0" borderId="0" xfId="40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0" fillId="33" borderId="11" xfId="40" applyFont="1" applyFill="1" applyBorder="1" applyAlignment="1">
      <alignment horizontal="center" vertical="center" wrapText="1"/>
      <protection/>
    </xf>
    <xf numFmtId="0" fontId="33" fillId="0" borderId="19" xfId="40" applyFont="1" applyFill="1" applyBorder="1" applyAlignment="1">
      <alignment horizontal="center" wrapText="1"/>
      <protection/>
    </xf>
    <xf numFmtId="0" fontId="33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8" xfId="40" applyFont="1" applyFill="1" applyBorder="1" applyAlignment="1">
      <alignment horizontal="center" vertical="center" wrapText="1"/>
      <protection/>
    </xf>
    <xf numFmtId="3" fontId="10" fillId="33" borderId="12" xfId="40" applyNumberFormat="1" applyFont="1" applyFill="1" applyBorder="1" applyAlignment="1">
      <alignment horizontal="center" vertical="center" wrapText="1"/>
      <protection/>
    </xf>
    <xf numFmtId="3" fontId="10" fillId="33" borderId="13" xfId="40" applyNumberFormat="1" applyFont="1" applyFill="1" applyBorder="1" applyAlignment="1">
      <alignment horizontal="center" vertical="center" wrapText="1"/>
      <protection/>
    </xf>
    <xf numFmtId="3" fontId="10" fillId="33" borderId="18" xfId="40" applyNumberFormat="1" applyFont="1" applyFill="1" applyBorder="1" applyAlignment="1">
      <alignment horizontal="center" vertic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8" xfId="40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3" borderId="17" xfId="40" applyFont="1" applyFill="1" applyBorder="1" applyAlignment="1">
      <alignment horizontal="center" vertical="center" wrapText="1"/>
      <protection/>
    </xf>
    <xf numFmtId="0" fontId="35" fillId="0" borderId="19" xfId="40" applyFont="1" applyFill="1" applyBorder="1" applyAlignment="1">
      <alignment horizontal="center" wrapText="1"/>
      <protection/>
    </xf>
    <xf numFmtId="0" fontId="35" fillId="0" borderId="0" xfId="40" applyFont="1" applyFill="1" applyBorder="1" applyAlignment="1">
      <alignment horizontal="center" wrapText="1"/>
      <protection/>
    </xf>
    <xf numFmtId="220" fontId="22" fillId="32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Downloads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34"/>
  <sheetViews>
    <sheetView tabSelected="1" zoomScaleSheetLayoutView="10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B27" sqref="B27"/>
    </sheetView>
  </sheetViews>
  <sheetFormatPr defaultColWidth="9.125" defaultRowHeight="12.75"/>
  <cols>
    <col min="1" max="1" width="5.00390625" style="3" customWidth="1"/>
    <col min="2" max="2" width="20.50390625" style="47" customWidth="1"/>
    <col min="3" max="3" width="14.00390625" style="19" customWidth="1"/>
    <col min="4" max="4" width="10.625" style="23" customWidth="1"/>
    <col min="5" max="5" width="9.375" style="23" customWidth="1"/>
    <col min="6" max="6" width="13.50390625" style="23" customWidth="1"/>
    <col min="7" max="7" width="13.00390625" style="23" customWidth="1"/>
    <col min="8" max="8" width="13.00390625" style="4" customWidth="1"/>
    <col min="9" max="9" width="9.875" style="4" customWidth="1"/>
    <col min="10" max="10" width="13.875" style="24" customWidth="1"/>
    <col min="11" max="11" width="11.00390625" style="10" customWidth="1"/>
    <col min="12" max="12" width="10.375" style="4" customWidth="1"/>
    <col min="13" max="13" width="9.50390625" style="4" customWidth="1"/>
    <col min="14" max="14" width="13.50390625" style="23" customWidth="1"/>
    <col min="15" max="15" width="12.00390625" style="4" customWidth="1"/>
    <col min="16" max="16" width="11.375" style="23" customWidth="1"/>
    <col min="17" max="17" width="10.50390625" style="11" customWidth="1"/>
    <col min="18" max="16384" width="9.125" style="5" customWidth="1"/>
  </cols>
  <sheetData>
    <row r="1" spans="16:17" ht="15.75">
      <c r="P1" s="136"/>
      <c r="Q1" s="136"/>
    </row>
    <row r="2" spans="2:17" s="3" customFormat="1" ht="44.25" customHeight="1">
      <c r="B2" s="11"/>
      <c r="C2" s="140" t="s">
        <v>90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3" customFormat="1" ht="12.75" customHeight="1">
      <c r="A3" s="138"/>
      <c r="B3" s="137" t="s">
        <v>37</v>
      </c>
      <c r="C3" s="137" t="s">
        <v>100</v>
      </c>
      <c r="D3" s="133" t="s">
        <v>5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3" customFormat="1" ht="12.75" customHeight="1">
      <c r="A4" s="138"/>
      <c r="B4" s="137"/>
      <c r="C4" s="137"/>
      <c r="D4" s="133" t="s">
        <v>4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35" t="s">
        <v>34</v>
      </c>
    </row>
    <row r="5" spans="1:17" s="3" customFormat="1" ht="15" customHeight="1">
      <c r="A5" s="138"/>
      <c r="B5" s="137"/>
      <c r="C5" s="137"/>
      <c r="D5" s="139" t="s">
        <v>3</v>
      </c>
      <c r="E5" s="139"/>
      <c r="F5" s="139"/>
      <c r="G5" s="139"/>
      <c r="H5" s="141" t="s">
        <v>38</v>
      </c>
      <c r="I5" s="141"/>
      <c r="J5" s="141"/>
      <c r="K5" s="141"/>
      <c r="L5" s="139" t="s">
        <v>39</v>
      </c>
      <c r="M5" s="139"/>
      <c r="N5" s="139"/>
      <c r="O5" s="139"/>
      <c r="P5" s="132" t="s">
        <v>1</v>
      </c>
      <c r="Q5" s="135"/>
    </row>
    <row r="6" spans="1:17" s="3" customFormat="1" ht="14.25" customHeight="1">
      <c r="A6" s="138"/>
      <c r="B6" s="137"/>
      <c r="C6" s="137"/>
      <c r="D6" s="139"/>
      <c r="E6" s="139"/>
      <c r="F6" s="139"/>
      <c r="G6" s="139"/>
      <c r="H6" s="141"/>
      <c r="I6" s="141"/>
      <c r="J6" s="141"/>
      <c r="K6" s="141"/>
      <c r="L6" s="139"/>
      <c r="M6" s="139"/>
      <c r="N6" s="139"/>
      <c r="O6" s="139"/>
      <c r="P6" s="132"/>
      <c r="Q6" s="135"/>
    </row>
    <row r="7" spans="1:17" ht="87" customHeight="1">
      <c r="A7" s="138"/>
      <c r="B7" s="137"/>
      <c r="C7" s="137"/>
      <c r="D7" s="20" t="s">
        <v>16</v>
      </c>
      <c r="E7" s="20" t="s">
        <v>12</v>
      </c>
      <c r="F7" s="20" t="s">
        <v>10</v>
      </c>
      <c r="G7" s="20" t="s">
        <v>6</v>
      </c>
      <c r="H7" s="38" t="s">
        <v>16</v>
      </c>
      <c r="I7" s="38" t="s">
        <v>8</v>
      </c>
      <c r="J7" s="39" t="s">
        <v>9</v>
      </c>
      <c r="K7" s="39" t="s">
        <v>0</v>
      </c>
      <c r="L7" s="20" t="s">
        <v>17</v>
      </c>
      <c r="M7" s="20" t="s">
        <v>11</v>
      </c>
      <c r="N7" s="20" t="s">
        <v>9</v>
      </c>
      <c r="O7" s="20" t="s">
        <v>0</v>
      </c>
      <c r="P7" s="132"/>
      <c r="Q7" s="135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40">
        <v>7</v>
      </c>
      <c r="I8" s="40">
        <v>8</v>
      </c>
      <c r="J8" s="40">
        <v>9</v>
      </c>
      <c r="K8" s="40">
        <v>9</v>
      </c>
      <c r="L8" s="17">
        <v>10</v>
      </c>
      <c r="M8" s="17">
        <v>11</v>
      </c>
      <c r="N8" s="17">
        <v>13</v>
      </c>
      <c r="O8" s="17">
        <v>12</v>
      </c>
      <c r="P8" s="46">
        <v>13</v>
      </c>
      <c r="Q8" s="114">
        <v>14</v>
      </c>
    </row>
    <row r="9" spans="1:17" s="8" customFormat="1" ht="27.75" customHeight="1">
      <c r="A9" s="9"/>
      <c r="B9" s="27" t="s">
        <v>36</v>
      </c>
      <c r="C9" s="18">
        <f>SUM(C10:C19)</f>
        <v>13555</v>
      </c>
      <c r="D9" s="50">
        <v>156525</v>
      </c>
      <c r="E9" s="51">
        <v>0.02</v>
      </c>
      <c r="F9" s="25">
        <f>SUM(F10:F19)</f>
        <v>865350</v>
      </c>
      <c r="G9" s="25">
        <f>SUM(G10:G19)</f>
        <v>3131</v>
      </c>
      <c r="H9" s="50">
        <v>823</v>
      </c>
      <c r="I9" s="53">
        <v>1</v>
      </c>
      <c r="J9" s="41">
        <f>SUM(J10:J19)</f>
        <v>510420</v>
      </c>
      <c r="K9" s="41">
        <f>SUM(K10:K19)</f>
        <v>823</v>
      </c>
      <c r="L9" s="54">
        <v>5874</v>
      </c>
      <c r="M9" s="53">
        <v>1</v>
      </c>
      <c r="N9" s="25">
        <f>SUM(N10:N19)</f>
        <v>1713850</v>
      </c>
      <c r="O9" s="25">
        <f>SUM(O10:O19)</f>
        <v>5874</v>
      </c>
      <c r="P9" s="25">
        <f>SUM(P10:P19)</f>
        <v>9828</v>
      </c>
      <c r="Q9" s="25"/>
    </row>
    <row r="10" spans="1:17" s="2" customFormat="1" ht="14.25" customHeight="1">
      <c r="A10" s="1">
        <v>1</v>
      </c>
      <c r="B10" s="16" t="s">
        <v>79</v>
      </c>
      <c r="C10" s="93">
        <v>4079</v>
      </c>
      <c r="D10" s="21"/>
      <c r="E10" s="21"/>
      <c r="F10" s="124">
        <v>400000</v>
      </c>
      <c r="G10" s="22">
        <f>$D$9*$E$9*F10/$F$9</f>
        <v>1447</v>
      </c>
      <c r="H10" s="42"/>
      <c r="I10" s="42"/>
      <c r="J10" s="104">
        <v>248000</v>
      </c>
      <c r="K10" s="43">
        <f>$H$9*$I$9*J10/$J$9</f>
        <v>400</v>
      </c>
      <c r="L10" s="21"/>
      <c r="M10" s="21"/>
      <c r="N10" s="52">
        <v>534000</v>
      </c>
      <c r="O10" s="44">
        <f>$L$9*$M$9*N10/$N$9</f>
        <v>1830</v>
      </c>
      <c r="P10" s="55">
        <f>G10+K10+O10</f>
        <v>3677</v>
      </c>
      <c r="Q10" s="115">
        <f>(P10/C10)/($P$9/$C$9)</f>
        <v>1.24329531935563</v>
      </c>
    </row>
    <row r="11" spans="1:17" s="2" customFormat="1" ht="14.25" customHeight="1">
      <c r="A11" s="1">
        <v>2</v>
      </c>
      <c r="B11" s="16" t="s">
        <v>80</v>
      </c>
      <c r="C11" s="93">
        <v>688</v>
      </c>
      <c r="D11" s="21"/>
      <c r="E11" s="21"/>
      <c r="F11" s="124">
        <v>16700</v>
      </c>
      <c r="G11" s="22">
        <f aca="true" t="shared" si="0" ref="G11:G19">$D$9*$E$9*F11/$F$9</f>
        <v>60.4</v>
      </c>
      <c r="H11" s="42"/>
      <c r="I11" s="42"/>
      <c r="J11" s="105">
        <v>6510</v>
      </c>
      <c r="K11" s="43">
        <f aca="true" t="shared" si="1" ref="K11:K19">$H$9*$I$9*J11/$J$9</f>
        <v>10</v>
      </c>
      <c r="L11" s="21"/>
      <c r="M11" s="21"/>
      <c r="N11" s="52">
        <v>36500</v>
      </c>
      <c r="O11" s="44">
        <f aca="true" t="shared" si="2" ref="O11:O19">$L$9*$M$9*N11/$N$9</f>
        <v>125</v>
      </c>
      <c r="P11" s="55">
        <f aca="true" t="shared" si="3" ref="P11:P19">G11+K11+O11</f>
        <v>195.4</v>
      </c>
      <c r="Q11" s="115">
        <f aca="true" t="shared" si="4" ref="Q11:Q19">(P11/C11)/($P$9/$C$9)</f>
        <v>0.39171526417166</v>
      </c>
    </row>
    <row r="12" spans="1:17" s="2" customFormat="1" ht="14.25" customHeight="1">
      <c r="A12" s="1">
        <v>3</v>
      </c>
      <c r="B12" s="16" t="s">
        <v>81</v>
      </c>
      <c r="C12" s="93">
        <v>241</v>
      </c>
      <c r="D12" s="21"/>
      <c r="E12" s="21"/>
      <c r="F12" s="124">
        <v>13400</v>
      </c>
      <c r="G12" s="22">
        <f t="shared" si="0"/>
        <v>48.5</v>
      </c>
      <c r="H12" s="42"/>
      <c r="I12" s="42"/>
      <c r="J12" s="105">
        <v>910</v>
      </c>
      <c r="K12" s="43">
        <f t="shared" si="1"/>
        <v>1</v>
      </c>
      <c r="L12" s="21"/>
      <c r="M12" s="21"/>
      <c r="N12" s="52">
        <v>11200</v>
      </c>
      <c r="O12" s="44">
        <f t="shared" si="2"/>
        <v>38</v>
      </c>
      <c r="P12" s="55">
        <f t="shared" si="3"/>
        <v>87.5</v>
      </c>
      <c r="Q12" s="115">
        <f t="shared" si="4"/>
        <v>0.500755103970872</v>
      </c>
    </row>
    <row r="13" spans="1:17" s="2" customFormat="1" ht="14.25" customHeight="1">
      <c r="A13" s="1">
        <v>4</v>
      </c>
      <c r="B13" s="16" t="s">
        <v>82</v>
      </c>
      <c r="C13" s="93">
        <v>1129</v>
      </c>
      <c r="D13" s="21"/>
      <c r="E13" s="21"/>
      <c r="F13" s="124">
        <v>130800</v>
      </c>
      <c r="G13" s="22">
        <f t="shared" si="0"/>
        <v>473.2</v>
      </c>
      <c r="H13" s="42"/>
      <c r="I13" s="42"/>
      <c r="J13" s="105">
        <v>63000</v>
      </c>
      <c r="K13" s="43">
        <f t="shared" si="1"/>
        <v>102</v>
      </c>
      <c r="L13" s="21"/>
      <c r="M13" s="21"/>
      <c r="N13" s="52">
        <v>148200</v>
      </c>
      <c r="O13" s="44">
        <f>$L$9*$M$9*N13/$N$9</f>
        <v>508</v>
      </c>
      <c r="P13" s="55">
        <f t="shared" si="3"/>
        <v>1083.2</v>
      </c>
      <c r="Q13" s="115">
        <f t="shared" si="4"/>
        <v>1.32327187951634</v>
      </c>
    </row>
    <row r="14" spans="1:17" s="2" customFormat="1" ht="14.25" customHeight="1">
      <c r="A14" s="1">
        <v>5</v>
      </c>
      <c r="B14" s="16" t="s">
        <v>83</v>
      </c>
      <c r="C14" s="93">
        <v>2662</v>
      </c>
      <c r="D14" s="21"/>
      <c r="E14" s="21"/>
      <c r="F14" s="124">
        <v>91600</v>
      </c>
      <c r="G14" s="22">
        <f t="shared" si="0"/>
        <v>331.4</v>
      </c>
      <c r="H14" s="42"/>
      <c r="I14" s="42"/>
      <c r="J14" s="105">
        <v>89500</v>
      </c>
      <c r="K14" s="43">
        <f t="shared" si="1"/>
        <v>144</v>
      </c>
      <c r="L14" s="21"/>
      <c r="M14" s="21"/>
      <c r="N14" s="52">
        <v>580500</v>
      </c>
      <c r="O14" s="44">
        <f t="shared" si="2"/>
        <v>1990</v>
      </c>
      <c r="P14" s="55">
        <f t="shared" si="3"/>
        <v>2465.4</v>
      </c>
      <c r="Q14" s="115">
        <f t="shared" si="4"/>
        <v>1.27736118335292</v>
      </c>
    </row>
    <row r="15" spans="1:17" s="2" customFormat="1" ht="14.25" customHeight="1">
      <c r="A15" s="1">
        <v>6</v>
      </c>
      <c r="B15" s="16" t="s">
        <v>84</v>
      </c>
      <c r="C15" s="93">
        <v>1649</v>
      </c>
      <c r="D15" s="21"/>
      <c r="E15" s="21"/>
      <c r="F15" s="124">
        <v>54150</v>
      </c>
      <c r="G15" s="22">
        <f t="shared" si="0"/>
        <v>195.9</v>
      </c>
      <c r="H15" s="42"/>
      <c r="I15" s="42"/>
      <c r="J15" s="105">
        <v>49500</v>
      </c>
      <c r="K15" s="43">
        <f t="shared" si="1"/>
        <v>80</v>
      </c>
      <c r="L15" s="21"/>
      <c r="M15" s="21"/>
      <c r="N15" s="52">
        <v>156050</v>
      </c>
      <c r="O15" s="44">
        <f t="shared" si="2"/>
        <v>535</v>
      </c>
      <c r="P15" s="55">
        <f t="shared" si="3"/>
        <v>810.9</v>
      </c>
      <c r="Q15" s="115">
        <f t="shared" si="4"/>
        <v>0.678236282617726</v>
      </c>
    </row>
    <row r="16" spans="1:17" s="2" customFormat="1" ht="14.25" customHeight="1">
      <c r="A16" s="1">
        <v>7</v>
      </c>
      <c r="B16" s="16" t="s">
        <v>85</v>
      </c>
      <c r="C16" s="93">
        <v>2643</v>
      </c>
      <c r="D16" s="21"/>
      <c r="E16" s="21"/>
      <c r="F16" s="124">
        <v>140080</v>
      </c>
      <c r="G16" s="22">
        <f t="shared" si="0"/>
        <v>506.8</v>
      </c>
      <c r="H16" s="42"/>
      <c r="I16" s="42"/>
      <c r="J16" s="105">
        <v>49500</v>
      </c>
      <c r="K16" s="43">
        <f t="shared" si="1"/>
        <v>80</v>
      </c>
      <c r="L16" s="21"/>
      <c r="M16" s="21"/>
      <c r="N16" s="52">
        <v>219500</v>
      </c>
      <c r="O16" s="44">
        <f t="shared" si="2"/>
        <v>752</v>
      </c>
      <c r="P16" s="55">
        <f t="shared" si="3"/>
        <v>1338.8</v>
      </c>
      <c r="Q16" s="115">
        <f t="shared" si="4"/>
        <v>0.698639143398886</v>
      </c>
    </row>
    <row r="17" spans="1:17" s="2" customFormat="1" ht="14.25" customHeight="1">
      <c r="A17" s="1">
        <v>8</v>
      </c>
      <c r="B17" s="16" t="s">
        <v>86</v>
      </c>
      <c r="C17" s="93">
        <v>214</v>
      </c>
      <c r="D17" s="21"/>
      <c r="E17" s="21"/>
      <c r="F17" s="124">
        <v>8540</v>
      </c>
      <c r="G17" s="22">
        <f t="shared" si="0"/>
        <v>30.9</v>
      </c>
      <c r="H17" s="42"/>
      <c r="I17" s="42"/>
      <c r="J17" s="106">
        <v>3500</v>
      </c>
      <c r="K17" s="43">
        <f t="shared" si="1"/>
        <v>6</v>
      </c>
      <c r="L17" s="21"/>
      <c r="M17" s="21"/>
      <c r="N17" s="52">
        <v>11600</v>
      </c>
      <c r="O17" s="44">
        <f t="shared" si="2"/>
        <v>40</v>
      </c>
      <c r="P17" s="55">
        <f t="shared" si="3"/>
        <v>76.9</v>
      </c>
      <c r="Q17" s="115">
        <f t="shared" si="4"/>
        <v>0.49561785134215</v>
      </c>
    </row>
    <row r="18" spans="1:17" s="2" customFormat="1" ht="14.25" customHeight="1">
      <c r="A18" s="1">
        <v>9</v>
      </c>
      <c r="B18" s="16" t="s">
        <v>87</v>
      </c>
      <c r="C18" s="93">
        <v>111</v>
      </c>
      <c r="D18" s="21"/>
      <c r="E18" s="21"/>
      <c r="F18" s="124">
        <v>2480</v>
      </c>
      <c r="G18" s="22">
        <f t="shared" si="0"/>
        <v>9</v>
      </c>
      <c r="H18" s="42"/>
      <c r="I18" s="42"/>
      <c r="J18" s="105">
        <v>0</v>
      </c>
      <c r="K18" s="43">
        <f t="shared" si="1"/>
        <v>0</v>
      </c>
      <c r="L18" s="21"/>
      <c r="M18" s="21"/>
      <c r="N18" s="52">
        <v>11600</v>
      </c>
      <c r="O18" s="44">
        <f t="shared" si="2"/>
        <v>40</v>
      </c>
      <c r="P18" s="55">
        <f t="shared" si="3"/>
        <v>49</v>
      </c>
      <c r="Q18" s="115">
        <f t="shared" si="4"/>
        <v>0.608846025512692</v>
      </c>
    </row>
    <row r="19" spans="1:17" s="2" customFormat="1" ht="14.25" customHeight="1">
      <c r="A19" s="1">
        <v>10</v>
      </c>
      <c r="B19" s="16" t="s">
        <v>88</v>
      </c>
      <c r="C19" s="93">
        <v>139</v>
      </c>
      <c r="D19" s="21"/>
      <c r="E19" s="21"/>
      <c r="F19" s="124">
        <v>7600</v>
      </c>
      <c r="G19" s="22">
        <f t="shared" si="0"/>
        <v>27.5</v>
      </c>
      <c r="H19" s="42"/>
      <c r="I19" s="42"/>
      <c r="J19" s="105"/>
      <c r="K19" s="43">
        <f t="shared" si="1"/>
        <v>0</v>
      </c>
      <c r="L19" s="21"/>
      <c r="M19" s="21"/>
      <c r="N19" s="52">
        <v>4700</v>
      </c>
      <c r="O19" s="44">
        <f t="shared" si="2"/>
        <v>16</v>
      </c>
      <c r="P19" s="55">
        <f t="shared" si="3"/>
        <v>43.5</v>
      </c>
      <c r="Q19" s="115">
        <f t="shared" si="4"/>
        <v>0.431627225691974</v>
      </c>
    </row>
    <row r="20" spans="14:15" ht="12.75">
      <c r="N20" s="112"/>
      <c r="O20" s="113"/>
    </row>
    <row r="21" ht="20.25">
      <c r="B21" s="92" t="s">
        <v>78</v>
      </c>
    </row>
    <row r="24" spans="2:9" ht="13.5">
      <c r="B24" s="116"/>
      <c r="C24" s="116"/>
      <c r="D24" s="117"/>
      <c r="E24" s="118"/>
      <c r="F24" s="119"/>
      <c r="G24" s="120"/>
      <c r="H24" s="118"/>
      <c r="I24" s="118"/>
    </row>
    <row r="25" spans="2:9" ht="13.5">
      <c r="B25" s="116"/>
      <c r="C25" s="116"/>
      <c r="D25" s="117"/>
      <c r="E25" s="118"/>
      <c r="F25" s="119"/>
      <c r="G25" s="120"/>
      <c r="H25" s="118"/>
      <c r="I25" s="118"/>
    </row>
    <row r="26" spans="2:9" ht="13.5">
      <c r="B26" s="116"/>
      <c r="C26" s="116"/>
      <c r="D26" s="117"/>
      <c r="E26" s="118"/>
      <c r="F26" s="119"/>
      <c r="G26" s="120"/>
      <c r="H26" s="118"/>
      <c r="I26" s="118"/>
    </row>
    <row r="27" spans="2:9" ht="13.5">
      <c r="B27" s="116"/>
      <c r="C27" s="116"/>
      <c r="D27" s="117"/>
      <c r="E27" s="118"/>
      <c r="F27" s="119"/>
      <c r="G27" s="120"/>
      <c r="H27" s="118"/>
      <c r="I27" s="118"/>
    </row>
    <row r="28" spans="2:9" ht="13.5">
      <c r="B28" s="116"/>
      <c r="C28" s="116"/>
      <c r="D28" s="117"/>
      <c r="E28" s="118"/>
      <c r="F28" s="119"/>
      <c r="G28" s="120"/>
      <c r="H28" s="118"/>
      <c r="I28" s="118"/>
    </row>
    <row r="29" spans="2:9" ht="13.5">
      <c r="B29" s="116"/>
      <c r="C29" s="116"/>
      <c r="D29" s="117"/>
      <c r="E29" s="118"/>
      <c r="F29" s="119"/>
      <c r="G29" s="121"/>
      <c r="H29" s="118"/>
      <c r="I29" s="118"/>
    </row>
    <row r="30" spans="2:9" ht="13.5">
      <c r="B30" s="116"/>
      <c r="C30" s="116"/>
      <c r="D30" s="117"/>
      <c r="E30" s="118"/>
      <c r="F30" s="119"/>
      <c r="G30" s="120"/>
      <c r="H30" s="118"/>
      <c r="I30" s="118"/>
    </row>
    <row r="31" spans="2:9" ht="13.5">
      <c r="B31" s="116"/>
      <c r="C31" s="116"/>
      <c r="D31" s="117"/>
      <c r="E31" s="118"/>
      <c r="F31" s="119"/>
      <c r="G31" s="120"/>
      <c r="H31" s="118"/>
      <c r="I31" s="118"/>
    </row>
    <row r="32" spans="2:9" ht="13.5">
      <c r="B32" s="116"/>
      <c r="C32" s="116"/>
      <c r="D32" s="117"/>
      <c r="E32" s="118"/>
      <c r="F32" s="119"/>
      <c r="G32" s="120"/>
      <c r="H32" s="118"/>
      <c r="I32" s="118"/>
    </row>
    <row r="33" spans="2:9" ht="13.5">
      <c r="B33" s="116"/>
      <c r="C33" s="116"/>
      <c r="D33" s="117"/>
      <c r="E33" s="118"/>
      <c r="F33" s="119"/>
      <c r="G33" s="120"/>
      <c r="H33" s="118"/>
      <c r="I33" s="118"/>
    </row>
    <row r="34" spans="2:9" ht="12.75">
      <c r="B34" s="116"/>
      <c r="C34" s="116"/>
      <c r="D34" s="118"/>
      <c r="E34" s="118"/>
      <c r="F34" s="118"/>
      <c r="G34" s="118"/>
      <c r="H34" s="118"/>
      <c r="I34" s="118"/>
    </row>
  </sheetData>
  <sheetProtection/>
  <mergeCells count="12"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  <mergeCell ref="P1:Q1"/>
    <mergeCell ref="B3:B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O31"/>
  <sheetViews>
    <sheetView view="pageBreakPreview" zoomScale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7" sqref="F7"/>
    </sheetView>
  </sheetViews>
  <sheetFormatPr defaultColWidth="9.125" defaultRowHeight="12.75"/>
  <cols>
    <col min="1" max="1" width="4.50390625" style="28" customWidth="1"/>
    <col min="2" max="2" width="16.875" style="28" customWidth="1"/>
    <col min="3" max="3" width="31.125" style="28" customWidth="1"/>
    <col min="4" max="4" width="46.50390625" style="28" customWidth="1"/>
    <col min="5" max="5" width="10.875" style="28" customWidth="1"/>
    <col min="6" max="6" width="19.125" style="28" customWidth="1"/>
    <col min="7" max="7" width="20.00390625" style="28" customWidth="1"/>
    <col min="8" max="8" width="16.50390625" style="28" bestFit="1" customWidth="1"/>
    <col min="9" max="11" width="17.00390625" style="28" bestFit="1" customWidth="1"/>
    <col min="12" max="12" width="17.50390625" style="28" customWidth="1"/>
    <col min="13" max="15" width="16.50390625" style="28" bestFit="1" customWidth="1"/>
    <col min="16" max="16384" width="9.125" style="28" customWidth="1"/>
  </cols>
  <sheetData>
    <row r="2" spans="4:15" ht="38.25" customHeight="1">
      <c r="D2" s="29"/>
      <c r="E2" s="147" t="s">
        <v>101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8" customHeight="1">
      <c r="A3" s="32"/>
      <c r="B3" s="32"/>
      <c r="C3" s="32"/>
      <c r="D3" s="32"/>
      <c r="E3" s="32"/>
      <c r="F3" s="57">
        <v>1</v>
      </c>
      <c r="G3" s="57">
        <v>2</v>
      </c>
      <c r="H3" s="57">
        <v>3</v>
      </c>
      <c r="I3" s="57">
        <v>4</v>
      </c>
      <c r="J3" s="57">
        <v>5</v>
      </c>
      <c r="K3" s="57">
        <v>6</v>
      </c>
      <c r="L3" s="57">
        <v>7</v>
      </c>
      <c r="M3" s="57">
        <v>8</v>
      </c>
      <c r="N3" s="57">
        <v>9</v>
      </c>
      <c r="O3" s="57">
        <v>10</v>
      </c>
    </row>
    <row r="4" spans="1:15" s="12" customFormat="1" ht="56.25" customHeight="1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58" t="str">
        <f>'РАСЧЕТ ИНП '!B10</f>
        <v>Бадинское</v>
      </c>
      <c r="G4" s="58" t="str">
        <f>'РАСЧЕТ ИНП '!B11</f>
        <v>Закультинское</v>
      </c>
      <c r="H4" s="58" t="str">
        <f>'РАСЧЕТ ИНП '!B12</f>
        <v>Глинкинское</v>
      </c>
      <c r="I4" s="58" t="str">
        <f>'РАСЧЕТ ИНП '!B13</f>
        <v>Жипхегенское</v>
      </c>
      <c r="J4" s="58" t="str">
        <f>'РАСЧЕТ ИНП '!B14</f>
        <v>Л-Озерское</v>
      </c>
      <c r="K4" s="58" t="str">
        <f>'РАСЧЕТ ИНП '!B15</f>
        <v>Хушенгинское</v>
      </c>
      <c r="L4" s="58" t="str">
        <f>'РАСЧЕТ ИНП '!B16</f>
        <v>Харагунское</v>
      </c>
      <c r="M4" s="58" t="str">
        <f>'РАСЧЕТ ИНП '!B17</f>
        <v>Хилогосонское</v>
      </c>
      <c r="N4" s="58" t="str">
        <f>'РАСЧЕТ ИНП '!B18</f>
        <v>Укурикское</v>
      </c>
      <c r="O4" s="58" t="str">
        <f>'РАСЧЕТ ИНП '!B19</f>
        <v>Энгорокское</v>
      </c>
    </row>
    <row r="5" spans="1:15" s="12" customFormat="1" ht="33" customHeight="1">
      <c r="A5" s="14"/>
      <c r="B5" s="14"/>
      <c r="C5" s="14"/>
      <c r="D5" s="58" t="s">
        <v>104</v>
      </c>
      <c r="E5" s="13">
        <f>SUM(F5:O5)</f>
        <v>13555</v>
      </c>
      <c r="F5" s="59">
        <f>'РАСЧЕТ ИНП '!C10</f>
        <v>4079</v>
      </c>
      <c r="G5" s="59">
        <f>'РАСЧЕТ ИНП '!C11</f>
        <v>688</v>
      </c>
      <c r="H5" s="59">
        <f>'РАСЧЕТ ИНП '!C12</f>
        <v>241</v>
      </c>
      <c r="I5" s="59">
        <f>'РАСЧЕТ ИНП '!C13</f>
        <v>1129</v>
      </c>
      <c r="J5" s="59">
        <f>'РАСЧЕТ ИНП '!C14</f>
        <v>2662</v>
      </c>
      <c r="K5" s="59">
        <f>'РАСЧЕТ ИНП '!C15</f>
        <v>1649</v>
      </c>
      <c r="L5" s="59">
        <f>'РАСЧЕТ ИНП '!C16</f>
        <v>2643</v>
      </c>
      <c r="M5" s="59">
        <f>'РАСЧЕТ ИНП '!C17</f>
        <v>214</v>
      </c>
      <c r="N5" s="59">
        <f>'РАСЧЕТ ИНП '!C18</f>
        <v>111</v>
      </c>
      <c r="O5" s="59">
        <f>'РАСЧЕТ ИНП '!C19</f>
        <v>139</v>
      </c>
    </row>
    <row r="6" spans="1:15" s="12" customFormat="1" ht="58.5" customHeight="1">
      <c r="A6" s="145" t="s">
        <v>23</v>
      </c>
      <c r="B6" s="148" t="s">
        <v>22</v>
      </c>
      <c r="C6" s="150" t="s">
        <v>89</v>
      </c>
      <c r="D6" s="30" t="s">
        <v>43</v>
      </c>
      <c r="E6" s="13"/>
      <c r="F6" s="31">
        <f>1+F7</f>
        <v>2.25</v>
      </c>
      <c r="G6" s="31">
        <f>1+G7</f>
        <v>2.25</v>
      </c>
      <c r="H6" s="31">
        <f>1+H7</f>
        <v>2.25</v>
      </c>
      <c r="I6" s="31">
        <f aca="true" t="shared" si="0" ref="I6:O6">1+I7</f>
        <v>2.25</v>
      </c>
      <c r="J6" s="31">
        <f t="shared" si="0"/>
        <v>2.25</v>
      </c>
      <c r="K6" s="31">
        <f t="shared" si="0"/>
        <v>2.25</v>
      </c>
      <c r="L6" s="31">
        <f t="shared" si="0"/>
        <v>2.25</v>
      </c>
      <c r="M6" s="31">
        <f t="shared" si="0"/>
        <v>2.25</v>
      </c>
      <c r="N6" s="31">
        <f t="shared" si="0"/>
        <v>2.25</v>
      </c>
      <c r="O6" s="31">
        <f t="shared" si="0"/>
        <v>2.25</v>
      </c>
    </row>
    <row r="7" spans="1:15" s="12" customFormat="1" ht="66.75" customHeight="1">
      <c r="A7" s="146"/>
      <c r="B7" s="149"/>
      <c r="C7" s="151"/>
      <c r="D7" s="60" t="s">
        <v>42</v>
      </c>
      <c r="E7" s="33"/>
      <c r="F7" s="56">
        <v>1.25</v>
      </c>
      <c r="G7" s="56">
        <v>1.25</v>
      </c>
      <c r="H7" s="56">
        <v>1.25</v>
      </c>
      <c r="I7" s="56">
        <v>1.25</v>
      </c>
      <c r="J7" s="56">
        <v>1.25</v>
      </c>
      <c r="K7" s="56">
        <v>1.25</v>
      </c>
      <c r="L7" s="56">
        <v>1.25</v>
      </c>
      <c r="M7" s="56">
        <v>1.25</v>
      </c>
      <c r="N7" s="56">
        <v>1.25</v>
      </c>
      <c r="O7" s="56">
        <v>1.25</v>
      </c>
    </row>
    <row r="8" spans="1:15" ht="60" customHeight="1">
      <c r="A8" s="15"/>
      <c r="B8" s="142" t="s">
        <v>24</v>
      </c>
      <c r="C8" s="143" t="s">
        <v>77</v>
      </c>
      <c r="D8" s="30" t="s">
        <v>24</v>
      </c>
      <c r="E8" s="32"/>
      <c r="F8" s="90">
        <f>(F9*F12*F15*F18)/($E$9*$E$12*$E$15*$E$18)</f>
        <v>0.525</v>
      </c>
      <c r="G8" s="90">
        <f aca="true" t="shared" si="1" ref="G8:O8">(G9*G12*G15*G18)/($E$9*$E$12*$E$15*$E$18)</f>
        <v>4.272</v>
      </c>
      <c r="H8" s="90">
        <f t="shared" si="1"/>
        <v>3.049</v>
      </c>
      <c r="I8" s="90">
        <f t="shared" si="1"/>
        <v>0.348</v>
      </c>
      <c r="J8" s="90">
        <f t="shared" si="1"/>
        <v>0.32</v>
      </c>
      <c r="K8" s="90">
        <f t="shared" si="1"/>
        <v>0.405</v>
      </c>
      <c r="L8" s="90">
        <f t="shared" si="1"/>
        <v>0.548</v>
      </c>
      <c r="M8" s="90">
        <f t="shared" si="1"/>
        <v>3.067</v>
      </c>
      <c r="N8" s="90">
        <f t="shared" si="1"/>
        <v>5.866</v>
      </c>
      <c r="O8" s="90">
        <f t="shared" si="1"/>
        <v>4.163</v>
      </c>
    </row>
    <row r="9" spans="1:15" ht="60" customHeight="1">
      <c r="A9" s="15"/>
      <c r="B9" s="142"/>
      <c r="C9" s="144"/>
      <c r="D9" s="30" t="s">
        <v>44</v>
      </c>
      <c r="E9" s="91">
        <f>(SUM(F9:O9))/12</f>
        <v>0.839166666666667</v>
      </c>
      <c r="F9" s="97">
        <f>(0.6*F10+0.4*F11)/F10</f>
        <v>1.01</v>
      </c>
      <c r="G9" s="97">
        <f aca="true" t="shared" si="2" ref="G9:O9">(0.6*G10+0.4*G11)/G10</f>
        <v>1</v>
      </c>
      <c r="H9" s="97">
        <f t="shared" si="2"/>
        <v>1</v>
      </c>
      <c r="I9" s="97">
        <f t="shared" si="2"/>
        <v>1.01</v>
      </c>
      <c r="J9" s="97">
        <f t="shared" si="2"/>
        <v>1.01</v>
      </c>
      <c r="K9" s="97">
        <f t="shared" si="2"/>
        <v>1.01</v>
      </c>
      <c r="L9" s="97">
        <f t="shared" si="2"/>
        <v>1.01</v>
      </c>
      <c r="M9" s="97">
        <f t="shared" si="2"/>
        <v>1</v>
      </c>
      <c r="N9" s="97">
        <f t="shared" si="2"/>
        <v>1.02</v>
      </c>
      <c r="O9" s="97">
        <f t="shared" si="2"/>
        <v>1</v>
      </c>
    </row>
    <row r="10" spans="1:15" ht="60" customHeight="1">
      <c r="A10" s="15"/>
      <c r="B10" s="142"/>
      <c r="C10" s="144"/>
      <c r="D10" s="34" t="s">
        <v>45</v>
      </c>
      <c r="E10" s="107">
        <f>SUM(F10:O10)</f>
        <v>13555</v>
      </c>
      <c r="F10" s="98">
        <f>F5</f>
        <v>4079</v>
      </c>
      <c r="G10" s="98">
        <f aca="true" t="shared" si="3" ref="G10:O10">G5</f>
        <v>688</v>
      </c>
      <c r="H10" s="98">
        <f t="shared" si="3"/>
        <v>241</v>
      </c>
      <c r="I10" s="98">
        <f t="shared" si="3"/>
        <v>1129</v>
      </c>
      <c r="J10" s="98">
        <f t="shared" si="3"/>
        <v>2662</v>
      </c>
      <c r="K10" s="98">
        <f t="shared" si="3"/>
        <v>1649</v>
      </c>
      <c r="L10" s="98">
        <f t="shared" si="3"/>
        <v>2643</v>
      </c>
      <c r="M10" s="98">
        <f t="shared" si="3"/>
        <v>214</v>
      </c>
      <c r="N10" s="98">
        <f t="shared" si="3"/>
        <v>111</v>
      </c>
      <c r="O10" s="98">
        <f t="shared" si="3"/>
        <v>139</v>
      </c>
    </row>
    <row r="11" spans="1:15" ht="60" customHeight="1">
      <c r="A11" s="15"/>
      <c r="B11" s="142"/>
      <c r="C11" s="144"/>
      <c r="D11" s="34" t="s">
        <v>46</v>
      </c>
      <c r="E11" s="107">
        <f>SUM(F11:O11)</f>
        <v>13846</v>
      </c>
      <c r="F11" s="96">
        <v>4176</v>
      </c>
      <c r="G11" s="96">
        <v>696</v>
      </c>
      <c r="H11" s="96">
        <v>240</v>
      </c>
      <c r="I11" s="96">
        <v>1147</v>
      </c>
      <c r="J11" s="96">
        <v>2712</v>
      </c>
      <c r="K11" s="96">
        <v>1689</v>
      </c>
      <c r="L11" s="96">
        <v>2714</v>
      </c>
      <c r="M11" s="96">
        <v>216</v>
      </c>
      <c r="N11" s="96">
        <v>117</v>
      </c>
      <c r="O11" s="96">
        <v>139</v>
      </c>
    </row>
    <row r="12" spans="1:15" ht="60" customHeight="1">
      <c r="A12" s="15"/>
      <c r="B12" s="142"/>
      <c r="C12" s="144"/>
      <c r="D12" s="30" t="s">
        <v>47</v>
      </c>
      <c r="E12" s="91">
        <f>(SUM(F12:O12))/12</f>
        <v>3.77091666666667</v>
      </c>
      <c r="F12" s="90">
        <f>1+F13</f>
        <v>1.101</v>
      </c>
      <c r="G12" s="90">
        <f>7+G13</f>
        <v>8</v>
      </c>
      <c r="H12" s="90">
        <f>7+H13</f>
        <v>8</v>
      </c>
      <c r="I12" s="90">
        <f>1+I13</f>
        <v>1</v>
      </c>
      <c r="J12" s="90">
        <f>1+J13</f>
        <v>1</v>
      </c>
      <c r="K12" s="90">
        <f>1+K13</f>
        <v>1.079</v>
      </c>
      <c r="L12" s="90">
        <f>1+L13</f>
        <v>1.071</v>
      </c>
      <c r="M12" s="90">
        <f>7+M13</f>
        <v>8</v>
      </c>
      <c r="N12" s="90">
        <f>7+N13</f>
        <v>8</v>
      </c>
      <c r="O12" s="90">
        <f>7+O13</f>
        <v>8</v>
      </c>
    </row>
    <row r="13" spans="1:15" ht="102.75" customHeight="1">
      <c r="A13" s="15"/>
      <c r="B13" s="142"/>
      <c r="C13" s="144"/>
      <c r="D13" s="34" t="s">
        <v>48</v>
      </c>
      <c r="E13" s="32"/>
      <c r="F13" s="62">
        <f aca="true" t="shared" si="4" ref="F13:O13">F14/F5</f>
        <v>0.101495464574651</v>
      </c>
      <c r="G13" s="62">
        <f t="shared" si="4"/>
        <v>1</v>
      </c>
      <c r="H13" s="62">
        <f t="shared" si="4"/>
        <v>1</v>
      </c>
      <c r="I13" s="62">
        <f t="shared" si="4"/>
        <v>0</v>
      </c>
      <c r="J13" s="62">
        <f t="shared" si="4"/>
        <v>0</v>
      </c>
      <c r="K13" s="62">
        <f t="shared" si="4"/>
        <v>0.07883565797453</v>
      </c>
      <c r="L13" s="62">
        <f t="shared" si="4"/>
        <v>0.0711312902005297</v>
      </c>
      <c r="M13" s="62">
        <f t="shared" si="4"/>
        <v>1</v>
      </c>
      <c r="N13" s="62">
        <f t="shared" si="4"/>
        <v>1</v>
      </c>
      <c r="O13" s="62">
        <f t="shared" si="4"/>
        <v>1</v>
      </c>
    </row>
    <row r="14" spans="1:15" ht="100.5" customHeight="1">
      <c r="A14" s="15"/>
      <c r="B14" s="142"/>
      <c r="C14" s="144"/>
      <c r="D14" s="34" t="s">
        <v>49</v>
      </c>
      <c r="E14" s="32"/>
      <c r="F14" s="63">
        <v>414</v>
      </c>
      <c r="G14" s="63">
        <v>688</v>
      </c>
      <c r="H14" s="63">
        <v>241</v>
      </c>
      <c r="I14" s="63"/>
      <c r="J14" s="63"/>
      <c r="K14" s="63">
        <v>130</v>
      </c>
      <c r="L14" s="63">
        <v>188</v>
      </c>
      <c r="M14" s="63">
        <v>214</v>
      </c>
      <c r="N14" s="63">
        <v>111</v>
      </c>
      <c r="O14" s="63">
        <v>139</v>
      </c>
    </row>
    <row r="15" spans="1:15" ht="74.25" customHeight="1">
      <c r="A15" s="15"/>
      <c r="B15" s="142"/>
      <c r="C15" s="144"/>
      <c r="D15" s="30" t="s">
        <v>73</v>
      </c>
      <c r="E15" s="91">
        <f>(SUM(F15:O15))/12</f>
        <v>0.833333333333333</v>
      </c>
      <c r="F15" s="90">
        <f>1+F16</f>
        <v>1</v>
      </c>
      <c r="G15" s="90">
        <f aca="true" t="shared" si="5" ref="G15:O15">1+G16</f>
        <v>1</v>
      </c>
      <c r="H15" s="90">
        <f t="shared" si="5"/>
        <v>1</v>
      </c>
      <c r="I15" s="90">
        <f t="shared" si="5"/>
        <v>1</v>
      </c>
      <c r="J15" s="90">
        <f t="shared" si="5"/>
        <v>1</v>
      </c>
      <c r="K15" s="90">
        <f t="shared" si="5"/>
        <v>1</v>
      </c>
      <c r="L15" s="90">
        <f t="shared" si="5"/>
        <v>1</v>
      </c>
      <c r="M15" s="90">
        <f t="shared" si="5"/>
        <v>1</v>
      </c>
      <c r="N15" s="90">
        <f t="shared" si="5"/>
        <v>1</v>
      </c>
      <c r="O15" s="90">
        <f t="shared" si="5"/>
        <v>1</v>
      </c>
    </row>
    <row r="16" spans="1:15" ht="74.25" customHeight="1">
      <c r="A16" s="15"/>
      <c r="B16" s="142"/>
      <c r="C16" s="144"/>
      <c r="D16" s="34" t="s">
        <v>74</v>
      </c>
      <c r="E16" s="32"/>
      <c r="F16" s="62">
        <f aca="true" t="shared" si="6" ref="F16:O16">F17/F5</f>
        <v>0</v>
      </c>
      <c r="G16" s="62">
        <f t="shared" si="6"/>
        <v>0</v>
      </c>
      <c r="H16" s="62">
        <f t="shared" si="6"/>
        <v>0</v>
      </c>
      <c r="I16" s="62">
        <f t="shared" si="6"/>
        <v>0</v>
      </c>
      <c r="J16" s="62">
        <f t="shared" si="6"/>
        <v>0</v>
      </c>
      <c r="K16" s="62">
        <f t="shared" si="6"/>
        <v>0</v>
      </c>
      <c r="L16" s="62">
        <f t="shared" si="6"/>
        <v>0</v>
      </c>
      <c r="M16" s="62">
        <f t="shared" si="6"/>
        <v>0</v>
      </c>
      <c r="N16" s="62">
        <f t="shared" si="6"/>
        <v>0</v>
      </c>
      <c r="O16" s="62">
        <f t="shared" si="6"/>
        <v>0</v>
      </c>
    </row>
    <row r="17" spans="1:15" ht="74.25" customHeight="1">
      <c r="A17" s="15"/>
      <c r="B17" s="142"/>
      <c r="C17" s="144"/>
      <c r="D17" s="34" t="s">
        <v>75</v>
      </c>
      <c r="E17" s="32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00.5" customHeight="1">
      <c r="A18" s="15"/>
      <c r="B18" s="142"/>
      <c r="C18" s="144"/>
      <c r="D18" s="64" t="s">
        <v>51</v>
      </c>
      <c r="E18" s="89">
        <f>(SUM(F18:O18))/12</f>
        <v>1.66166666666667</v>
      </c>
      <c r="F18" s="97">
        <f>1+F19/$E$20+F21/$E$22</f>
        <v>2.07</v>
      </c>
      <c r="G18" s="97">
        <f aca="true" t="shared" si="7" ref="G18:O18">1+G19/$E$20+G21/$E$22</f>
        <v>2.34</v>
      </c>
      <c r="H18" s="97">
        <f t="shared" si="7"/>
        <v>1.67</v>
      </c>
      <c r="I18" s="97">
        <f t="shared" si="7"/>
        <v>1.51</v>
      </c>
      <c r="J18" s="97">
        <f t="shared" si="7"/>
        <v>1.39</v>
      </c>
      <c r="K18" s="97">
        <f t="shared" si="7"/>
        <v>1.63</v>
      </c>
      <c r="L18" s="97">
        <f t="shared" si="7"/>
        <v>2.22</v>
      </c>
      <c r="M18" s="97">
        <f t="shared" si="7"/>
        <v>1.68</v>
      </c>
      <c r="N18" s="97">
        <f t="shared" si="7"/>
        <v>3.15</v>
      </c>
      <c r="O18" s="97">
        <f t="shared" si="7"/>
        <v>2.28</v>
      </c>
    </row>
    <row r="19" spans="1:15" ht="100.5" customHeight="1">
      <c r="A19" s="15"/>
      <c r="B19" s="142"/>
      <c r="C19" s="144"/>
      <c r="D19" s="34" t="s">
        <v>50</v>
      </c>
      <c r="E19" s="32"/>
      <c r="F19" s="94">
        <v>60</v>
      </c>
      <c r="G19" s="63">
        <v>75</v>
      </c>
      <c r="H19" s="63">
        <v>40</v>
      </c>
      <c r="I19" s="63">
        <v>30</v>
      </c>
      <c r="J19" s="63">
        <v>20</v>
      </c>
      <c r="K19" s="63">
        <v>35</v>
      </c>
      <c r="L19" s="63">
        <v>65</v>
      </c>
      <c r="M19" s="63">
        <v>38</v>
      </c>
      <c r="N19" s="63">
        <v>133</v>
      </c>
      <c r="O19" s="63">
        <v>78</v>
      </c>
    </row>
    <row r="20" spans="1:15" ht="100.5" customHeight="1">
      <c r="A20" s="15"/>
      <c r="B20" s="142"/>
      <c r="C20" s="144"/>
      <c r="D20" s="34" t="s">
        <v>52</v>
      </c>
      <c r="E20" s="95">
        <v>63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50.25" customHeight="1">
      <c r="A21" s="15"/>
      <c r="B21" s="142"/>
      <c r="C21" s="144"/>
      <c r="D21" s="34" t="s">
        <v>76</v>
      </c>
      <c r="E21" s="32"/>
      <c r="F21" s="96">
        <v>3</v>
      </c>
      <c r="G21" s="96">
        <v>4</v>
      </c>
      <c r="H21" s="96">
        <v>1</v>
      </c>
      <c r="I21" s="96">
        <v>1</v>
      </c>
      <c r="J21" s="96">
        <v>2</v>
      </c>
      <c r="K21" s="96">
        <v>2</v>
      </c>
      <c r="L21" s="96">
        <v>5</v>
      </c>
      <c r="M21" s="96">
        <v>2</v>
      </c>
      <c r="N21" s="96">
        <v>1</v>
      </c>
      <c r="O21" s="96">
        <v>1</v>
      </c>
    </row>
    <row r="22" spans="1:15" ht="60.75" customHeight="1">
      <c r="A22" s="15"/>
      <c r="B22" s="142"/>
      <c r="C22" s="144"/>
      <c r="D22" s="34" t="s">
        <v>53</v>
      </c>
      <c r="E22" s="95">
        <v>26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4" spans="4:5" ht="39">
      <c r="D24" s="48" t="s">
        <v>40</v>
      </c>
      <c r="E24" s="56">
        <v>0.7</v>
      </c>
    </row>
    <row r="25" spans="4:5" ht="26.25">
      <c r="D25" s="48" t="s">
        <v>41</v>
      </c>
      <c r="E25" s="56">
        <v>0.3</v>
      </c>
    </row>
    <row r="26" spans="5:15" ht="12.75">
      <c r="E26" s="87" t="s">
        <v>25</v>
      </c>
      <c r="F26" s="86">
        <f aca="true" t="shared" si="8" ref="F26:O26">F6*$E$24+F8*$E$25</f>
        <v>1.733</v>
      </c>
      <c r="G26" s="86">
        <f t="shared" si="8"/>
        <v>2.857</v>
      </c>
      <c r="H26" s="86">
        <f t="shared" si="8"/>
        <v>2.49</v>
      </c>
      <c r="I26" s="86">
        <f t="shared" si="8"/>
        <v>1.679</v>
      </c>
      <c r="J26" s="86">
        <f t="shared" si="8"/>
        <v>1.671</v>
      </c>
      <c r="K26" s="86">
        <f t="shared" si="8"/>
        <v>1.697</v>
      </c>
      <c r="L26" s="86">
        <f t="shared" si="8"/>
        <v>1.739</v>
      </c>
      <c r="M26" s="86">
        <f t="shared" si="8"/>
        <v>2.495</v>
      </c>
      <c r="N26" s="86">
        <f t="shared" si="8"/>
        <v>3.335</v>
      </c>
      <c r="O26" s="86">
        <f t="shared" si="8"/>
        <v>2.824</v>
      </c>
    </row>
    <row r="27" spans="5:15" ht="12.75">
      <c r="E27" s="87" t="s">
        <v>14</v>
      </c>
      <c r="F27" s="86">
        <f>'РАСЧЕТ ИНП '!Q10</f>
        <v>1.243</v>
      </c>
      <c r="G27" s="86">
        <f>'РАСЧЕТ ИНП '!Q11</f>
        <v>0.392</v>
      </c>
      <c r="H27" s="86">
        <f>'РАСЧЕТ ИНП '!Q12</f>
        <v>0.501</v>
      </c>
      <c r="I27" s="86">
        <f>'РАСЧЕТ ИНП '!Q13</f>
        <v>1.323</v>
      </c>
      <c r="J27" s="86">
        <f>'РАСЧЕТ ИНП '!Q14</f>
        <v>1.277</v>
      </c>
      <c r="K27" s="86">
        <f>'РАСЧЕТ ИНП '!Q15</f>
        <v>0.678</v>
      </c>
      <c r="L27" s="86">
        <f>'РАСЧЕТ ИНП '!Q16</f>
        <v>0.699</v>
      </c>
      <c r="M27" s="86">
        <f>'РАСЧЕТ ИНП '!Q17</f>
        <v>0.496</v>
      </c>
      <c r="N27" s="86">
        <f>'РАСЧЕТ ИНП '!Q18</f>
        <v>0.609</v>
      </c>
      <c r="O27" s="86">
        <f>'РАСЧЕТ ИНП '!Q19</f>
        <v>0.432</v>
      </c>
    </row>
    <row r="28" spans="5:15" ht="12.75">
      <c r="E28" s="87" t="s">
        <v>26</v>
      </c>
      <c r="F28" s="86">
        <f>F27/F26</f>
        <v>0.717</v>
      </c>
      <c r="G28" s="86">
        <f aca="true" t="shared" si="9" ref="G28:O28">G27/G26</f>
        <v>0.137</v>
      </c>
      <c r="H28" s="86">
        <f t="shared" si="9"/>
        <v>0.201</v>
      </c>
      <c r="I28" s="86">
        <f t="shared" si="9"/>
        <v>0.788</v>
      </c>
      <c r="J28" s="86">
        <f t="shared" si="9"/>
        <v>0.764</v>
      </c>
      <c r="K28" s="86">
        <f t="shared" si="9"/>
        <v>0.4</v>
      </c>
      <c r="L28" s="86">
        <f t="shared" si="9"/>
        <v>0.402</v>
      </c>
      <c r="M28" s="86">
        <f t="shared" si="9"/>
        <v>0.199</v>
      </c>
      <c r="N28" s="86">
        <f t="shared" si="9"/>
        <v>0.183</v>
      </c>
      <c r="O28" s="86">
        <f t="shared" si="9"/>
        <v>0.153</v>
      </c>
    </row>
    <row r="29" spans="6:15" ht="12.75">
      <c r="F29" s="58">
        <v>1</v>
      </c>
      <c r="G29" s="58">
        <v>2</v>
      </c>
      <c r="H29" s="58">
        <v>3</v>
      </c>
      <c r="I29" s="58">
        <v>4</v>
      </c>
      <c r="J29" s="58">
        <v>5</v>
      </c>
      <c r="K29" s="58">
        <v>6</v>
      </c>
      <c r="L29" s="58">
        <v>7</v>
      </c>
      <c r="M29" s="58">
        <v>8</v>
      </c>
      <c r="N29" s="58">
        <v>9</v>
      </c>
      <c r="O29" s="58">
        <v>10</v>
      </c>
    </row>
    <row r="31" ht="20.25">
      <c r="C31" s="92" t="s">
        <v>78</v>
      </c>
    </row>
  </sheetData>
  <sheetProtection/>
  <mergeCells count="6">
    <mergeCell ref="B8:B22"/>
    <mergeCell ref="C8:C22"/>
    <mergeCell ref="A6:A7"/>
    <mergeCell ref="E2:O2"/>
    <mergeCell ref="B6:B7"/>
    <mergeCell ref="C6:C7"/>
  </mergeCells>
  <printOptions/>
  <pageMargins left="0.1968503937007874" right="0.2362204724409449" top="0.31496062992125984" bottom="0.1968503937007874" header="0.5118110236220472" footer="0.5118110236220472"/>
  <pageSetup fitToHeight="2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K29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4" sqref="E24"/>
    </sheetView>
  </sheetViews>
  <sheetFormatPr defaultColWidth="9.00390625" defaultRowHeight="12.75"/>
  <cols>
    <col min="2" max="2" width="32.625" style="0" customWidth="1"/>
    <col min="3" max="3" width="18.625" style="0" customWidth="1"/>
    <col min="4" max="4" width="15.50390625" style="0" customWidth="1"/>
    <col min="5" max="5" width="11.375" style="0" customWidth="1"/>
    <col min="6" max="6" width="11.50390625" style="0" customWidth="1"/>
    <col min="7" max="7" width="11.375" style="0" customWidth="1"/>
    <col min="8" max="8" width="15.125" style="0" customWidth="1"/>
    <col min="9" max="9" width="13.50390625" style="26" customWidth="1"/>
    <col min="10" max="10" width="14.50390625" style="0" customWidth="1"/>
    <col min="11" max="11" width="13.00390625" style="0" customWidth="1"/>
  </cols>
  <sheetData>
    <row r="2" spans="2:11" ht="17.25">
      <c r="B2" s="152" t="s">
        <v>102</v>
      </c>
      <c r="C2" s="152"/>
      <c r="D2" s="152"/>
      <c r="E2" s="152"/>
      <c r="F2" s="152"/>
      <c r="G2" s="152"/>
      <c r="H2" s="152"/>
      <c r="I2" s="152"/>
      <c r="J2" s="152"/>
      <c r="K2" s="152"/>
    </row>
    <row r="4" spans="1:11" ht="12.75" customHeight="1">
      <c r="A4" s="153" t="s">
        <v>13</v>
      </c>
      <c r="B4" s="153" t="s">
        <v>29</v>
      </c>
      <c r="C4" s="49"/>
      <c r="D4" s="154" t="s">
        <v>27</v>
      </c>
      <c r="E4" s="154"/>
      <c r="F4" s="154"/>
      <c r="G4" s="154"/>
      <c r="H4" s="154"/>
      <c r="I4" s="154"/>
      <c r="J4" s="70" t="s">
        <v>28</v>
      </c>
      <c r="K4" s="153" t="s">
        <v>63</v>
      </c>
    </row>
    <row r="5" spans="1:11" ht="12.75" customHeight="1">
      <c r="A5" s="153"/>
      <c r="B5" s="153"/>
      <c r="C5" s="153" t="s">
        <v>107</v>
      </c>
      <c r="D5" s="153" t="s">
        <v>15</v>
      </c>
      <c r="E5" s="153" t="s">
        <v>30</v>
      </c>
      <c r="F5" s="153" t="s">
        <v>31</v>
      </c>
      <c r="G5" s="153" t="s">
        <v>25</v>
      </c>
      <c r="H5" s="153" t="s">
        <v>32</v>
      </c>
      <c r="I5" s="153" t="s">
        <v>55</v>
      </c>
      <c r="J5" s="153" t="s">
        <v>56</v>
      </c>
      <c r="K5" s="153"/>
    </row>
    <row r="6" spans="1:11" ht="36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1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>
      <c r="A9" s="35">
        <v>1</v>
      </c>
      <c r="B9" s="35">
        <v>2</v>
      </c>
      <c r="C9" s="35">
        <v>2</v>
      </c>
      <c r="D9" s="35">
        <v>3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</row>
    <row r="10" spans="1:11" ht="12.75">
      <c r="A10" s="65">
        <v>1</v>
      </c>
      <c r="B10" s="66" t="str">
        <f>'РАСЧЕТ ИНП '!B10</f>
        <v>Бадинское</v>
      </c>
      <c r="C10" s="125">
        <v>3813</v>
      </c>
      <c r="D10" s="36">
        <f>'РАСЧЕТ ИНП '!C10</f>
        <v>4079</v>
      </c>
      <c r="E10" s="155">
        <v>1</v>
      </c>
      <c r="F10" s="67">
        <f>'РАСЧЕТ ИБР'!F28</f>
        <v>0.717</v>
      </c>
      <c r="G10" s="67">
        <f>'РАСЧЕТ ИБР'!F26</f>
        <v>1.733</v>
      </c>
      <c r="H10" s="36">
        <f>($C$20/$D$20)*($E$10-F10)*G10*D10</f>
        <v>1542.5</v>
      </c>
      <c r="I10" s="36">
        <f aca="true" t="shared" si="0" ref="I10:I19">$C$22*H10/$H$20</f>
        <v>3402.1</v>
      </c>
      <c r="J10" s="128">
        <f aca="true" t="shared" si="1" ref="J10:J19">$J$20/$D$20*D10</f>
        <v>599.7</v>
      </c>
      <c r="K10" s="88">
        <f>I10+J10</f>
        <v>4001.8</v>
      </c>
    </row>
    <row r="11" spans="1:11" ht="12.75">
      <c r="A11" s="65">
        <v>2</v>
      </c>
      <c r="B11" s="66" t="str">
        <f>'РАСЧЕТ ИНП '!B11</f>
        <v>Закультинское</v>
      </c>
      <c r="C11" s="125">
        <v>310.3</v>
      </c>
      <c r="D11" s="36">
        <f>'РАСЧЕТ ИНП '!C11</f>
        <v>688</v>
      </c>
      <c r="E11" s="155"/>
      <c r="F11" s="67">
        <f>'РАСЧЕТ ИБР'!G28</f>
        <v>0.137</v>
      </c>
      <c r="G11" s="67">
        <f>'РАСЧЕТ ИБР'!G26</f>
        <v>2.857</v>
      </c>
      <c r="H11" s="36">
        <f>($C$20/$D$20)*($E$10-F11)*G11*D11</f>
        <v>1308</v>
      </c>
      <c r="I11" s="36">
        <f t="shared" si="0"/>
        <v>2884.9</v>
      </c>
      <c r="J11" s="128">
        <f t="shared" si="1"/>
        <v>101.2</v>
      </c>
      <c r="K11" s="88">
        <f aca="true" t="shared" si="2" ref="K11:K19">I11+J11</f>
        <v>2986.1</v>
      </c>
    </row>
    <row r="12" spans="1:11" ht="12.75">
      <c r="A12" s="65">
        <v>3</v>
      </c>
      <c r="B12" s="66" t="str">
        <f>'РАСЧЕТ ИНП '!B12</f>
        <v>Глинкинское</v>
      </c>
      <c r="C12" s="125">
        <v>99</v>
      </c>
      <c r="D12" s="36">
        <f>'РАСЧЕТ ИНП '!C12</f>
        <v>241</v>
      </c>
      <c r="E12" s="155"/>
      <c r="F12" s="67">
        <f>'РАСЧЕТ ИБР'!H28</f>
        <v>0.201</v>
      </c>
      <c r="G12" s="67">
        <f>'РАСЧЕТ ИБР'!H26</f>
        <v>2.49</v>
      </c>
      <c r="H12" s="36">
        <f>($C$20/$D$20)*($E$10-F12)*G12*D12</f>
        <v>369.7</v>
      </c>
      <c r="I12" s="36">
        <f t="shared" si="0"/>
        <v>815.4</v>
      </c>
      <c r="J12" s="128">
        <f>$J$20/$D$20*D12</f>
        <v>35.4</v>
      </c>
      <c r="K12" s="88">
        <f t="shared" si="2"/>
        <v>850.8</v>
      </c>
    </row>
    <row r="13" spans="1:11" ht="12.75">
      <c r="A13" s="65">
        <v>4</v>
      </c>
      <c r="B13" s="66" t="str">
        <f>'РАСЧЕТ ИНП '!B13</f>
        <v>Жипхегенское</v>
      </c>
      <c r="C13" s="125">
        <v>1134.9</v>
      </c>
      <c r="D13" s="36">
        <f>'РАСЧЕТ ИНП '!C13</f>
        <v>1129</v>
      </c>
      <c r="E13" s="155"/>
      <c r="F13" s="67">
        <f>'РАСЧЕТ ИБР'!I28</f>
        <v>0.788</v>
      </c>
      <c r="G13" s="67">
        <f>'РАСЧЕТ ИБР'!I26</f>
        <v>1.679</v>
      </c>
      <c r="H13" s="36">
        <v>0</v>
      </c>
      <c r="I13" s="36">
        <f t="shared" si="0"/>
        <v>0</v>
      </c>
      <c r="J13" s="128">
        <f t="shared" si="1"/>
        <v>166</v>
      </c>
      <c r="K13" s="88">
        <f t="shared" si="2"/>
        <v>166</v>
      </c>
    </row>
    <row r="14" spans="1:11" ht="12.75">
      <c r="A14" s="65">
        <v>5</v>
      </c>
      <c r="B14" s="66" t="str">
        <f>'РАСЧЕТ ИНП '!B14</f>
        <v>Л-Озерское</v>
      </c>
      <c r="C14" s="125">
        <v>2489</v>
      </c>
      <c r="D14" s="36">
        <f>'РАСЧЕТ ИНП '!C14</f>
        <v>2662</v>
      </c>
      <c r="E14" s="155"/>
      <c r="F14" s="67">
        <f>'РАСЧЕТ ИБР'!J28</f>
        <v>0.764</v>
      </c>
      <c r="G14" s="67">
        <f>'РАСЧЕТ ИБР'!J26</f>
        <v>1.671</v>
      </c>
      <c r="H14" s="36">
        <f aca="true" t="shared" si="3" ref="H14:H19">($C$20/$D$20)*($E$10-F14)*G14*D14</f>
        <v>809.4</v>
      </c>
      <c r="I14" s="36">
        <f t="shared" si="0"/>
        <v>1785.2</v>
      </c>
      <c r="J14" s="128">
        <f t="shared" si="1"/>
        <v>391.4</v>
      </c>
      <c r="K14" s="88">
        <f t="shared" si="2"/>
        <v>2176.6</v>
      </c>
    </row>
    <row r="15" spans="1:11" ht="12.75">
      <c r="A15" s="65">
        <v>6</v>
      </c>
      <c r="B15" s="66" t="str">
        <f>'РАСЧЕТ ИНП '!B15</f>
        <v>Хушенгинское</v>
      </c>
      <c r="C15" s="125">
        <v>921.7</v>
      </c>
      <c r="D15" s="36">
        <f>'РАСЧЕТ ИНП '!C15</f>
        <v>1649</v>
      </c>
      <c r="E15" s="155"/>
      <c r="F15" s="67">
        <f>'РАСЧЕТ ИБР'!K28</f>
        <v>0.4</v>
      </c>
      <c r="G15" s="67">
        <f>'РАСЧЕТ ИБР'!K26</f>
        <v>1.697</v>
      </c>
      <c r="H15" s="36">
        <f t="shared" si="3"/>
        <v>1294.6</v>
      </c>
      <c r="I15" s="36">
        <f t="shared" si="0"/>
        <v>2855.3</v>
      </c>
      <c r="J15" s="128">
        <f t="shared" si="1"/>
        <v>242.4</v>
      </c>
      <c r="K15" s="88">
        <f t="shared" si="2"/>
        <v>3097.7</v>
      </c>
    </row>
    <row r="16" spans="1:11" ht="12.75">
      <c r="A16" s="65">
        <v>7</v>
      </c>
      <c r="B16" s="66" t="str">
        <f>'РАСЧЕТ ИНП '!B16</f>
        <v>Харагунское</v>
      </c>
      <c r="C16" s="125">
        <v>1437</v>
      </c>
      <c r="D16" s="36">
        <f>'РАСЧЕТ ИНП '!C16</f>
        <v>2643</v>
      </c>
      <c r="E16" s="155"/>
      <c r="F16" s="67">
        <f>'РАСЧЕТ ИБР'!L28</f>
        <v>0.402</v>
      </c>
      <c r="G16" s="67">
        <f>'РАСЧЕТ ИБР'!L26</f>
        <v>1.739</v>
      </c>
      <c r="H16" s="36">
        <f t="shared" si="3"/>
        <v>2119.2</v>
      </c>
      <c r="I16" s="36">
        <f t="shared" si="0"/>
        <v>4674</v>
      </c>
      <c r="J16" s="128">
        <f t="shared" si="1"/>
        <v>388.6</v>
      </c>
      <c r="K16" s="88">
        <f t="shared" si="2"/>
        <v>5062.6</v>
      </c>
    </row>
    <row r="17" spans="1:11" ht="12.75">
      <c r="A17" s="65">
        <v>8</v>
      </c>
      <c r="B17" s="66" t="str">
        <f>'РАСЧЕТ ИНП '!B17</f>
        <v>Хилогосонское</v>
      </c>
      <c r="C17" s="125">
        <v>91</v>
      </c>
      <c r="D17" s="36">
        <f>'РАСЧЕТ ИНП '!C17</f>
        <v>214</v>
      </c>
      <c r="E17" s="155"/>
      <c r="F17" s="67">
        <f>'РАСЧЕТ ИБР'!M28</f>
        <v>0.199</v>
      </c>
      <c r="G17" s="67">
        <f>'РАСЧЕТ ИБР'!M26</f>
        <v>2.495</v>
      </c>
      <c r="H17" s="36">
        <f t="shared" si="3"/>
        <v>329.8</v>
      </c>
      <c r="I17" s="36">
        <f t="shared" si="0"/>
        <v>727.4</v>
      </c>
      <c r="J17" s="128">
        <f t="shared" si="1"/>
        <v>31.5</v>
      </c>
      <c r="K17" s="88">
        <f t="shared" si="2"/>
        <v>758.9</v>
      </c>
    </row>
    <row r="18" spans="1:11" ht="12.75">
      <c r="A18" s="65">
        <v>9</v>
      </c>
      <c r="B18" s="66" t="str">
        <f>'РАСЧЕТ ИНП '!B18</f>
        <v>Укурикское</v>
      </c>
      <c r="C18" s="125">
        <v>49</v>
      </c>
      <c r="D18" s="36">
        <f>'РАСЧЕТ ИНП '!C18</f>
        <v>111</v>
      </c>
      <c r="E18" s="155"/>
      <c r="F18" s="67">
        <f>'РАСЧЕТ ИБР'!N28</f>
        <v>0.183</v>
      </c>
      <c r="G18" s="67">
        <f>'РАСЧЕТ ИБР'!N26</f>
        <v>3.335</v>
      </c>
      <c r="H18" s="36">
        <f t="shared" si="3"/>
        <v>233.2</v>
      </c>
      <c r="I18" s="36">
        <f t="shared" si="0"/>
        <v>514.3</v>
      </c>
      <c r="J18" s="128">
        <f t="shared" si="1"/>
        <v>16.3</v>
      </c>
      <c r="K18" s="88">
        <f t="shared" si="2"/>
        <v>530.6</v>
      </c>
    </row>
    <row r="19" spans="1:11" ht="12.75">
      <c r="A19" s="65">
        <v>10</v>
      </c>
      <c r="B19" s="66" t="str">
        <f>'РАСЧЕТ ИНП '!B19</f>
        <v>Энгорокское</v>
      </c>
      <c r="C19" s="125">
        <v>106.7</v>
      </c>
      <c r="D19" s="36">
        <f>'РАСЧЕТ ИНП '!C19</f>
        <v>139</v>
      </c>
      <c r="E19" s="155"/>
      <c r="F19" s="67">
        <f>'РАСЧЕТ ИБР'!O28</f>
        <v>0.153</v>
      </c>
      <c r="G19" s="67">
        <f>'РАСЧЕТ ИБР'!O26</f>
        <v>2.824</v>
      </c>
      <c r="H19" s="36">
        <f t="shared" si="3"/>
        <v>256.4</v>
      </c>
      <c r="I19" s="36">
        <f t="shared" si="0"/>
        <v>565.5</v>
      </c>
      <c r="J19" s="128">
        <f t="shared" si="1"/>
        <v>20.4</v>
      </c>
      <c r="K19" s="88">
        <f t="shared" si="2"/>
        <v>585.9</v>
      </c>
    </row>
    <row r="20" spans="1:11" ht="12.75">
      <c r="A20" s="65"/>
      <c r="B20" s="66" t="s">
        <v>54</v>
      </c>
      <c r="C20" s="123">
        <f>SUM(C10:C19)</f>
        <v>10451.6</v>
      </c>
      <c r="D20" s="66">
        <f>SUM(D10:D19)</f>
        <v>13555</v>
      </c>
      <c r="E20" s="155"/>
      <c r="F20" s="67"/>
      <c r="G20" s="67"/>
      <c r="H20" s="36">
        <f>SUM(H10:H19)</f>
        <v>8262.8</v>
      </c>
      <c r="I20" s="36">
        <f>SUM(I10:I19)</f>
        <v>18224.1</v>
      </c>
      <c r="J20" s="70">
        <f>C26</f>
        <v>1992.9</v>
      </c>
      <c r="K20" s="68">
        <f>C27</f>
        <v>20217</v>
      </c>
    </row>
    <row r="21" spans="1:6" ht="12.75">
      <c r="A21" t="s">
        <v>33</v>
      </c>
      <c r="F21" s="73"/>
    </row>
    <row r="22" spans="1:8" ht="21.75" customHeight="1">
      <c r="A22" s="159" t="s">
        <v>57</v>
      </c>
      <c r="B22" s="159"/>
      <c r="C22" s="18">
        <f>C23*C24-C25</f>
        <v>18224</v>
      </c>
      <c r="E22" s="72"/>
      <c r="F22" s="73"/>
      <c r="G22" s="71"/>
      <c r="H22" s="74"/>
    </row>
    <row r="23" spans="1:8" ht="31.5" customHeight="1">
      <c r="A23" s="158" t="s">
        <v>58</v>
      </c>
      <c r="B23" s="158"/>
      <c r="C23" s="122">
        <v>197767</v>
      </c>
      <c r="D23" s="156" t="s">
        <v>99</v>
      </c>
      <c r="E23" s="157"/>
      <c r="F23" s="157"/>
      <c r="G23" s="157"/>
      <c r="H23" s="74"/>
    </row>
    <row r="24" spans="1:8" ht="45" customHeight="1">
      <c r="A24" s="158" t="s">
        <v>59</v>
      </c>
      <c r="B24" s="158"/>
      <c r="C24" s="184">
        <v>0.145</v>
      </c>
      <c r="E24" s="71"/>
      <c r="F24" s="73"/>
      <c r="G24" s="71"/>
      <c r="H24" s="74"/>
    </row>
    <row r="25" spans="1:8" ht="50.25" customHeight="1">
      <c r="A25" s="158" t="s">
        <v>60</v>
      </c>
      <c r="B25" s="158"/>
      <c r="C25" s="68">
        <f>C20</f>
        <v>10452</v>
      </c>
      <c r="E25" s="45"/>
      <c r="H25" s="37">
        <f>H24+H23+H22</f>
        <v>0</v>
      </c>
    </row>
    <row r="26" spans="1:5" ht="12.75">
      <c r="A26" s="162" t="s">
        <v>61</v>
      </c>
      <c r="B26" s="162"/>
      <c r="C26" s="185">
        <v>1992.9</v>
      </c>
      <c r="E26" s="45"/>
    </row>
    <row r="27" spans="1:3" ht="12.75">
      <c r="A27" s="160" t="s">
        <v>62</v>
      </c>
      <c r="B27" s="161"/>
      <c r="C27" s="69">
        <f>C26+C22</f>
        <v>20217</v>
      </c>
    </row>
    <row r="29" ht="20.25">
      <c r="B29" s="92" t="s">
        <v>78</v>
      </c>
    </row>
  </sheetData>
  <sheetProtection/>
  <mergeCells count="21">
    <mergeCell ref="A27:B27"/>
    <mergeCell ref="D5:D8"/>
    <mergeCell ref="A26:B26"/>
    <mergeCell ref="G5:G8"/>
    <mergeCell ref="A25:B25"/>
    <mergeCell ref="D23:G23"/>
    <mergeCell ref="A4:A8"/>
    <mergeCell ref="A24:B24"/>
    <mergeCell ref="A22:B22"/>
    <mergeCell ref="A23:B23"/>
    <mergeCell ref="B4:B8"/>
    <mergeCell ref="E5:E8"/>
    <mergeCell ref="B2:K2"/>
    <mergeCell ref="I5:I8"/>
    <mergeCell ref="D4:I4"/>
    <mergeCell ref="E10:E20"/>
    <mergeCell ref="K4:K8"/>
    <mergeCell ref="F5:F8"/>
    <mergeCell ref="J5:J8"/>
    <mergeCell ref="C5:C8"/>
    <mergeCell ref="H5:H8"/>
  </mergeCells>
  <printOptions/>
  <pageMargins left="0.31" right="0.19" top="0.48" bottom="0.36" header="0.5" footer="0.5"/>
  <pageSetup fitToWidth="2" horizontalDpi="600" verticalDpi="600" orientation="landscape" paperSize="9" scale="6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40"/>
  <sheetViews>
    <sheetView view="pageBreakPreview" zoomScaleSheetLayoutView="100" zoomScalePageLayoutView="0" workbookViewId="0" topLeftCell="A1">
      <selection activeCell="G27" sqref="G27"/>
    </sheetView>
  </sheetViews>
  <sheetFormatPr defaultColWidth="9.125" defaultRowHeight="12.75"/>
  <cols>
    <col min="1" max="1" width="6.875" style="75" customWidth="1"/>
    <col min="2" max="2" width="18.375" style="75" customWidth="1"/>
    <col min="3" max="5" width="15.625" style="75" customWidth="1"/>
    <col min="6" max="6" width="16.875" style="75" customWidth="1"/>
    <col min="7" max="7" width="14.00390625" style="75" customWidth="1"/>
    <col min="8" max="8" width="12.00390625" style="0" customWidth="1"/>
    <col min="9" max="9" width="11.875" style="75" customWidth="1"/>
    <col min="10" max="10" width="14.875" style="75" customWidth="1"/>
    <col min="11" max="16384" width="9.125" style="75" customWidth="1"/>
  </cols>
  <sheetData>
    <row r="1" spans="1:10" ht="44.25" customHeight="1">
      <c r="A1" s="182" t="s">
        <v>108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7" ht="15">
      <c r="A2" s="76"/>
      <c r="B2" s="83">
        <v>2021</v>
      </c>
      <c r="C2" s="76"/>
      <c r="D2" s="76"/>
      <c r="E2" s="76"/>
      <c r="F2" s="76"/>
      <c r="G2" s="76"/>
    </row>
    <row r="3" spans="1:9" ht="12.75">
      <c r="A3" s="76"/>
      <c r="B3" s="76"/>
      <c r="C3" s="76"/>
      <c r="D3" s="166"/>
      <c r="E3" s="166"/>
      <c r="F3" s="166"/>
      <c r="G3" s="76"/>
      <c r="H3" s="167"/>
      <c r="I3" s="167"/>
    </row>
    <row r="4" spans="1:10" ht="12.75" customHeight="1">
      <c r="A4" s="171" t="s">
        <v>7</v>
      </c>
      <c r="B4" s="163" t="s">
        <v>64</v>
      </c>
      <c r="C4" s="177" t="s">
        <v>95</v>
      </c>
      <c r="D4" s="180" t="s">
        <v>65</v>
      </c>
      <c r="E4" s="181"/>
      <c r="F4" s="177" t="s">
        <v>92</v>
      </c>
      <c r="G4" s="168" t="s">
        <v>96</v>
      </c>
      <c r="H4" s="174" t="s">
        <v>93</v>
      </c>
      <c r="I4" s="174" t="s">
        <v>94</v>
      </c>
      <c r="J4" s="174" t="s">
        <v>66</v>
      </c>
    </row>
    <row r="5" spans="1:10" ht="23.25" customHeight="1">
      <c r="A5" s="172"/>
      <c r="B5" s="164"/>
      <c r="C5" s="178"/>
      <c r="D5" s="168" t="s">
        <v>68</v>
      </c>
      <c r="E5" s="168" t="s">
        <v>69</v>
      </c>
      <c r="F5" s="178"/>
      <c r="G5" s="168"/>
      <c r="H5" s="175"/>
      <c r="I5" s="175"/>
      <c r="J5" s="175"/>
    </row>
    <row r="6" spans="1:10" s="77" customFormat="1" ht="39" customHeight="1">
      <c r="A6" s="173"/>
      <c r="B6" s="165"/>
      <c r="C6" s="179"/>
      <c r="D6" s="168"/>
      <c r="E6" s="168"/>
      <c r="F6" s="179"/>
      <c r="G6" s="168"/>
      <c r="H6" s="176"/>
      <c r="I6" s="176"/>
      <c r="J6" s="176"/>
    </row>
    <row r="7" spans="1:10" s="77" customFormat="1" ht="12.75">
      <c r="A7" s="84"/>
      <c r="C7" s="81">
        <v>1</v>
      </c>
      <c r="D7" s="81" t="s">
        <v>35</v>
      </c>
      <c r="E7" s="81" t="s">
        <v>70</v>
      </c>
      <c r="F7" s="80">
        <v>2</v>
      </c>
      <c r="G7" s="80" t="s">
        <v>71</v>
      </c>
      <c r="H7" s="82">
        <v>4</v>
      </c>
      <c r="I7" s="82">
        <v>5</v>
      </c>
      <c r="J7" s="82" t="s">
        <v>72</v>
      </c>
    </row>
    <row r="8" spans="1:10" ht="18">
      <c r="A8" s="85">
        <f>'[1]Данные'!A5</f>
        <v>1</v>
      </c>
      <c r="B8" s="99" t="str">
        <f>'РАСЧЕТ ИНП '!B10</f>
        <v>Бадинское</v>
      </c>
      <c r="C8" s="100">
        <f>D8+E8</f>
        <v>4216</v>
      </c>
      <c r="D8" s="109">
        <v>3607</v>
      </c>
      <c r="E8" s="109">
        <v>609</v>
      </c>
      <c r="F8" s="109">
        <v>4083</v>
      </c>
      <c r="G8" s="100">
        <f>C8+F8</f>
        <v>8299</v>
      </c>
      <c r="H8" s="130">
        <v>10891</v>
      </c>
      <c r="I8" s="131">
        <v>1623</v>
      </c>
      <c r="J8" s="101">
        <f>G8-H8-I8</f>
        <v>-4215</v>
      </c>
    </row>
    <row r="9" spans="1:10" ht="18">
      <c r="A9" s="85">
        <f>'[1]Данные'!A6</f>
        <v>2</v>
      </c>
      <c r="B9" s="99" t="str">
        <f>'РАСЧЕТ ИНП '!B11</f>
        <v>Закультинское</v>
      </c>
      <c r="C9" s="100">
        <f aca="true" t="shared" si="0" ref="C9:C17">D9+E9</f>
        <v>2798</v>
      </c>
      <c r="D9" s="109">
        <v>2697</v>
      </c>
      <c r="E9" s="109">
        <v>101</v>
      </c>
      <c r="F9" s="109">
        <v>291</v>
      </c>
      <c r="G9" s="100">
        <f aca="true" t="shared" si="1" ref="G9:G17">C9+F9</f>
        <v>3089</v>
      </c>
      <c r="H9" s="130">
        <f>5879.1+2289.2</f>
        <v>8168</v>
      </c>
      <c r="I9" s="131">
        <v>981</v>
      </c>
      <c r="J9" s="101">
        <f aca="true" t="shared" si="2" ref="J9:J17">G9-H9-I9</f>
        <v>-6060</v>
      </c>
    </row>
    <row r="10" spans="1:10" ht="18">
      <c r="A10" s="85">
        <f>'[1]Данные'!A7</f>
        <v>3</v>
      </c>
      <c r="B10" s="99" t="str">
        <f>'РАСЧЕТ ИНП '!B12</f>
        <v>Глинкинское</v>
      </c>
      <c r="C10" s="100">
        <f t="shared" si="0"/>
        <v>809</v>
      </c>
      <c r="D10" s="109">
        <v>774</v>
      </c>
      <c r="E10" s="109">
        <v>35</v>
      </c>
      <c r="F10" s="109">
        <v>167</v>
      </c>
      <c r="G10" s="100">
        <f t="shared" si="1"/>
        <v>976</v>
      </c>
      <c r="H10" s="130">
        <v>2382</v>
      </c>
      <c r="I10" s="131">
        <v>149</v>
      </c>
      <c r="J10" s="101">
        <f t="shared" si="2"/>
        <v>-1555</v>
      </c>
    </row>
    <row r="11" spans="1:10" ht="18">
      <c r="A11" s="85">
        <f>'[1]Данные'!A8</f>
        <v>4</v>
      </c>
      <c r="B11" s="99" t="str">
        <f>'РАСЧЕТ ИНП '!B13</f>
        <v>Жипхегенское</v>
      </c>
      <c r="C11" s="100">
        <f t="shared" si="0"/>
        <v>167</v>
      </c>
      <c r="D11" s="109">
        <v>0</v>
      </c>
      <c r="E11" s="109">
        <v>167</v>
      </c>
      <c r="F11" s="109">
        <v>992</v>
      </c>
      <c r="G11" s="100">
        <f t="shared" si="1"/>
        <v>1159</v>
      </c>
      <c r="H11" s="130">
        <f>3201.2+960.1+863.2+284.8</f>
        <v>5309</v>
      </c>
      <c r="I11" s="131">
        <f>571.5+549.5</f>
        <v>1121</v>
      </c>
      <c r="J11" s="101">
        <f t="shared" si="2"/>
        <v>-5271</v>
      </c>
    </row>
    <row r="12" spans="1:10" ht="18">
      <c r="A12" s="85">
        <f>'[1]Данные'!A9</f>
        <v>5</v>
      </c>
      <c r="B12" s="99" t="str">
        <f>'РАСЧЕТ ИНП '!B14</f>
        <v>Л-Озерское</v>
      </c>
      <c r="C12" s="100">
        <f t="shared" si="0"/>
        <v>1480</v>
      </c>
      <c r="D12" s="109">
        <v>1084</v>
      </c>
      <c r="E12" s="109">
        <v>396</v>
      </c>
      <c r="F12" s="109">
        <v>2368</v>
      </c>
      <c r="G12" s="100">
        <f t="shared" si="1"/>
        <v>3848</v>
      </c>
      <c r="H12" s="130">
        <f>7551.7+2294.1</f>
        <v>9846</v>
      </c>
      <c r="I12" s="131">
        <v>86</v>
      </c>
      <c r="J12" s="101">
        <f t="shared" si="2"/>
        <v>-6084</v>
      </c>
    </row>
    <row r="13" spans="1:10" ht="18">
      <c r="A13" s="85">
        <f>'[1]Данные'!A10</f>
        <v>6</v>
      </c>
      <c r="B13" s="99" t="str">
        <f>'РАСЧЕТ ИНП '!B15</f>
        <v>Хушенгинское</v>
      </c>
      <c r="C13" s="100">
        <f t="shared" si="0"/>
        <v>2947</v>
      </c>
      <c r="D13" s="109">
        <v>2701</v>
      </c>
      <c r="E13" s="109">
        <v>246</v>
      </c>
      <c r="F13" s="109">
        <v>1165</v>
      </c>
      <c r="G13" s="100">
        <f t="shared" si="1"/>
        <v>4112</v>
      </c>
      <c r="H13" s="130">
        <v>7620</v>
      </c>
      <c r="I13" s="131">
        <v>425</v>
      </c>
      <c r="J13" s="101">
        <f t="shared" si="2"/>
        <v>-3933</v>
      </c>
    </row>
    <row r="14" spans="1:10" ht="18">
      <c r="A14" s="85">
        <f>'[1]Данные'!A11</f>
        <v>7</v>
      </c>
      <c r="B14" s="99" t="str">
        <f>'РАСЧЕТ ИНП '!B16</f>
        <v>Харагунское</v>
      </c>
      <c r="C14" s="100">
        <f t="shared" si="0"/>
        <v>4754</v>
      </c>
      <c r="D14" s="109">
        <v>4359</v>
      </c>
      <c r="E14" s="109">
        <v>395</v>
      </c>
      <c r="F14" s="109">
        <v>1373</v>
      </c>
      <c r="G14" s="100">
        <f t="shared" si="1"/>
        <v>6127</v>
      </c>
      <c r="H14" s="130">
        <v>8094</v>
      </c>
      <c r="I14" s="131">
        <v>224</v>
      </c>
      <c r="J14" s="101">
        <f t="shared" si="2"/>
        <v>-2191</v>
      </c>
    </row>
    <row r="15" spans="1:10" ht="18">
      <c r="A15" s="85">
        <f>'[1]Данные'!A12</f>
        <v>8</v>
      </c>
      <c r="B15" s="99" t="str">
        <f>'РАСЧЕТ ИНП '!B17</f>
        <v>Хилогосонское</v>
      </c>
      <c r="C15" s="100">
        <f t="shared" si="0"/>
        <v>723</v>
      </c>
      <c r="D15" s="109">
        <v>692</v>
      </c>
      <c r="E15" s="109">
        <v>31</v>
      </c>
      <c r="F15" s="109">
        <v>87</v>
      </c>
      <c r="G15" s="100">
        <f t="shared" si="1"/>
        <v>810</v>
      </c>
      <c r="H15" s="130">
        <v>4140</v>
      </c>
      <c r="I15" s="131">
        <v>93</v>
      </c>
      <c r="J15" s="101">
        <f t="shared" si="2"/>
        <v>-3423</v>
      </c>
    </row>
    <row r="16" spans="1:10" ht="18">
      <c r="A16" s="85">
        <f>'[1]Данные'!A13</f>
        <v>9</v>
      </c>
      <c r="B16" s="99" t="str">
        <f>'РАСЧЕТ ИНП '!B18</f>
        <v>Укурикское</v>
      </c>
      <c r="C16" s="100">
        <f t="shared" si="0"/>
        <v>554</v>
      </c>
      <c r="D16" s="109">
        <v>537</v>
      </c>
      <c r="E16" s="109">
        <v>17</v>
      </c>
      <c r="F16" s="109">
        <v>41</v>
      </c>
      <c r="G16" s="100">
        <f t="shared" si="1"/>
        <v>595</v>
      </c>
      <c r="H16" s="130">
        <v>1084</v>
      </c>
      <c r="I16" s="131">
        <v>14</v>
      </c>
      <c r="J16" s="101">
        <f t="shared" si="2"/>
        <v>-503</v>
      </c>
    </row>
    <row r="17" spans="1:10" ht="18">
      <c r="A17" s="85">
        <v>10</v>
      </c>
      <c r="B17" s="99" t="str">
        <f>'РАСЧЕТ ИНП '!B19</f>
        <v>Энгорокское</v>
      </c>
      <c r="C17" s="100">
        <f t="shared" si="0"/>
        <v>561</v>
      </c>
      <c r="D17" s="109">
        <v>540</v>
      </c>
      <c r="E17" s="109">
        <v>21</v>
      </c>
      <c r="F17" s="109">
        <v>141</v>
      </c>
      <c r="G17" s="100">
        <f t="shared" si="1"/>
        <v>702</v>
      </c>
      <c r="H17" s="130">
        <f>2433+714.2</f>
        <v>3147</v>
      </c>
      <c r="I17" s="131">
        <v>121</v>
      </c>
      <c r="J17" s="101">
        <f t="shared" si="2"/>
        <v>-2566</v>
      </c>
    </row>
    <row r="18" spans="1:10" ht="18">
      <c r="A18" s="85"/>
      <c r="B18" s="102" t="s">
        <v>67</v>
      </c>
      <c r="C18" s="100">
        <f aca="true" t="shared" si="3" ref="C18:J18">SUM(C8:C17)</f>
        <v>19009</v>
      </c>
      <c r="D18" s="108">
        <f t="shared" si="3"/>
        <v>16991</v>
      </c>
      <c r="E18" s="108">
        <f t="shared" si="3"/>
        <v>2018</v>
      </c>
      <c r="F18" s="108">
        <f>SUM(F8:F17)</f>
        <v>10708</v>
      </c>
      <c r="G18" s="100">
        <f t="shared" si="3"/>
        <v>29717</v>
      </c>
      <c r="H18" s="111">
        <f t="shared" si="3"/>
        <v>60681</v>
      </c>
      <c r="I18" s="108">
        <f t="shared" si="3"/>
        <v>4837</v>
      </c>
      <c r="J18" s="100">
        <f t="shared" si="3"/>
        <v>-35801</v>
      </c>
    </row>
    <row r="21" spans="1:10" ht="15">
      <c r="A21" s="169"/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8" ht="15">
      <c r="A22" s="76"/>
      <c r="B22" s="83">
        <v>2022</v>
      </c>
      <c r="C22" s="76"/>
      <c r="D22" s="76"/>
      <c r="E22" s="76"/>
      <c r="F22" s="76"/>
      <c r="H22" s="76"/>
    </row>
    <row r="23" spans="1:10" ht="12.75">
      <c r="A23" s="76"/>
      <c r="B23" s="76"/>
      <c r="C23" s="76"/>
      <c r="D23" s="167"/>
      <c r="E23" s="167"/>
      <c r="F23" s="76"/>
      <c r="G23" s="76"/>
      <c r="I23" s="110"/>
      <c r="J23" s="110"/>
    </row>
    <row r="24" spans="1:10" ht="12.75">
      <c r="A24" s="171" t="s">
        <v>7</v>
      </c>
      <c r="B24" s="163" t="s">
        <v>64</v>
      </c>
      <c r="C24" s="177" t="s">
        <v>103</v>
      </c>
      <c r="D24" s="180" t="s">
        <v>65</v>
      </c>
      <c r="E24" s="181"/>
      <c r="F24" s="177" t="s">
        <v>105</v>
      </c>
      <c r="G24" s="168" t="s">
        <v>106</v>
      </c>
      <c r="H24" s="174" t="s">
        <v>97</v>
      </c>
      <c r="I24" s="174" t="s">
        <v>98</v>
      </c>
      <c r="J24" s="174" t="s">
        <v>66</v>
      </c>
    </row>
    <row r="25" spans="1:10" ht="12.75">
      <c r="A25" s="172"/>
      <c r="B25" s="164"/>
      <c r="C25" s="178"/>
      <c r="D25" s="168" t="s">
        <v>91</v>
      </c>
      <c r="E25" s="168" t="s">
        <v>69</v>
      </c>
      <c r="F25" s="178"/>
      <c r="G25" s="168"/>
      <c r="H25" s="175"/>
      <c r="I25" s="175"/>
      <c r="J25" s="175"/>
    </row>
    <row r="26" spans="1:10" ht="42.75" customHeight="1">
      <c r="A26" s="173"/>
      <c r="B26" s="165"/>
      <c r="C26" s="179"/>
      <c r="D26" s="168"/>
      <c r="E26" s="168"/>
      <c r="F26" s="179"/>
      <c r="G26" s="168"/>
      <c r="H26" s="176"/>
      <c r="I26" s="176"/>
      <c r="J26" s="176"/>
    </row>
    <row r="27" spans="1:10" ht="12.75">
      <c r="A27" s="78"/>
      <c r="B27" s="77"/>
      <c r="C27" s="81">
        <v>1</v>
      </c>
      <c r="D27" s="81" t="s">
        <v>35</v>
      </c>
      <c r="E27" s="81" t="s">
        <v>70</v>
      </c>
      <c r="F27" s="80">
        <v>2</v>
      </c>
      <c r="G27" s="80" t="s">
        <v>71</v>
      </c>
      <c r="H27" s="82">
        <v>4</v>
      </c>
      <c r="I27" s="82">
        <v>5</v>
      </c>
      <c r="J27" s="82" t="s">
        <v>72</v>
      </c>
    </row>
    <row r="28" spans="1:10" ht="18">
      <c r="A28" s="85">
        <v>1</v>
      </c>
      <c r="B28" s="103" t="str">
        <f aca="true" t="shared" si="4" ref="B28:B37">B8</f>
        <v>Бадинское</v>
      </c>
      <c r="C28" s="100">
        <f>D28+E28</f>
        <v>4002</v>
      </c>
      <c r="D28" s="109">
        <f>'РАСЧЕТ ДОТАЦИИ'!I10</f>
        <v>3402</v>
      </c>
      <c r="E28" s="109">
        <f>'РАСЧЕТ ДОТАЦИИ'!J10</f>
        <v>600</v>
      </c>
      <c r="F28" s="126">
        <v>3813</v>
      </c>
      <c r="G28" s="100">
        <f>C28+F28</f>
        <v>7815</v>
      </c>
      <c r="H28" s="127">
        <f>8430.5+2800.1</f>
        <v>11231</v>
      </c>
      <c r="I28" s="129">
        <f>1651+148</f>
        <v>1799</v>
      </c>
      <c r="J28" s="101">
        <f>G28-H28-I28</f>
        <v>-5215</v>
      </c>
    </row>
    <row r="29" spans="1:10" ht="18">
      <c r="A29" s="85">
        <v>2</v>
      </c>
      <c r="B29" s="103" t="str">
        <f t="shared" si="4"/>
        <v>Закультинское</v>
      </c>
      <c r="C29" s="100">
        <f aca="true" t="shared" si="5" ref="C29:C37">D29+E29</f>
        <v>2986</v>
      </c>
      <c r="D29" s="109">
        <f>'РАСЧЕТ ДОТАЦИИ'!I11</f>
        <v>2885</v>
      </c>
      <c r="E29" s="109">
        <f>'РАСЧЕТ ДОТАЦИИ'!J11</f>
        <v>101</v>
      </c>
      <c r="F29" s="126">
        <v>310</v>
      </c>
      <c r="G29" s="100">
        <f aca="true" t="shared" si="6" ref="G29:G37">C29+F29</f>
        <v>3296</v>
      </c>
      <c r="H29" s="127">
        <f>6223.7+2026.2+180.8</f>
        <v>8431</v>
      </c>
      <c r="I29" s="129">
        <v>904</v>
      </c>
      <c r="J29" s="101">
        <f aca="true" t="shared" si="7" ref="J29:J37">G29-H29-I29</f>
        <v>-6039</v>
      </c>
    </row>
    <row r="30" spans="1:10" ht="18">
      <c r="A30" s="85">
        <v>3</v>
      </c>
      <c r="B30" s="103" t="str">
        <f t="shared" si="4"/>
        <v>Глинкинское</v>
      </c>
      <c r="C30" s="100">
        <f t="shared" si="5"/>
        <v>850</v>
      </c>
      <c r="D30" s="109">
        <f>'РАСЧЕТ ДОТАЦИИ'!I12</f>
        <v>815</v>
      </c>
      <c r="E30" s="109">
        <f>'РАСЧЕТ ДОТАЦИИ'!J12</f>
        <v>35</v>
      </c>
      <c r="F30" s="126">
        <v>99</v>
      </c>
      <c r="G30" s="100">
        <f t="shared" si="6"/>
        <v>949</v>
      </c>
      <c r="H30" s="127">
        <f>2368.3+0</f>
        <v>2368</v>
      </c>
      <c r="I30" s="129">
        <v>240</v>
      </c>
      <c r="J30" s="101">
        <f t="shared" si="7"/>
        <v>-1659</v>
      </c>
    </row>
    <row r="31" spans="1:10" ht="18">
      <c r="A31" s="85">
        <v>4</v>
      </c>
      <c r="B31" s="103" t="str">
        <f t="shared" si="4"/>
        <v>Жипхегенское</v>
      </c>
      <c r="C31" s="100">
        <f t="shared" si="5"/>
        <v>166</v>
      </c>
      <c r="D31" s="109">
        <f>'РАСЧЕТ ДОТАЦИИ'!I13</f>
        <v>0</v>
      </c>
      <c r="E31" s="109">
        <f>'РАСЧЕТ ДОТАЦИИ'!J13</f>
        <v>166</v>
      </c>
      <c r="F31" s="126">
        <v>1135</v>
      </c>
      <c r="G31" s="100">
        <f t="shared" si="6"/>
        <v>1301</v>
      </c>
      <c r="H31" s="127">
        <f>4294.4+1182.8</f>
        <v>5477</v>
      </c>
      <c r="I31" s="129">
        <v>785</v>
      </c>
      <c r="J31" s="101">
        <f t="shared" si="7"/>
        <v>-4961</v>
      </c>
    </row>
    <row r="32" spans="1:10" ht="18">
      <c r="A32" s="85">
        <v>5</v>
      </c>
      <c r="B32" s="103" t="str">
        <f t="shared" si="4"/>
        <v>Л-Озерское</v>
      </c>
      <c r="C32" s="100">
        <f t="shared" si="5"/>
        <v>2176</v>
      </c>
      <c r="D32" s="109">
        <f>'РАСЧЕТ ДОТАЦИИ'!I14</f>
        <v>1785</v>
      </c>
      <c r="E32" s="109">
        <f>'РАСЧЕТ ДОТАЦИИ'!J14</f>
        <v>391</v>
      </c>
      <c r="F32" s="126">
        <v>2489</v>
      </c>
      <c r="G32" s="100">
        <f t="shared" si="6"/>
        <v>4665</v>
      </c>
      <c r="H32" s="127">
        <f>8559.9+361.7+1412.1</f>
        <v>10334</v>
      </c>
      <c r="I32" s="129">
        <v>4164</v>
      </c>
      <c r="J32" s="101">
        <f t="shared" si="7"/>
        <v>-9833</v>
      </c>
    </row>
    <row r="33" spans="1:10" ht="18">
      <c r="A33" s="85">
        <v>6</v>
      </c>
      <c r="B33" s="103" t="str">
        <f t="shared" si="4"/>
        <v>Хушенгинское</v>
      </c>
      <c r="C33" s="100">
        <f t="shared" si="5"/>
        <v>3097</v>
      </c>
      <c r="D33" s="109">
        <f>'РАСЧЕТ ДОТАЦИИ'!I15</f>
        <v>2855</v>
      </c>
      <c r="E33" s="109">
        <f>'РАСЧЕТ ДОТАЦИИ'!J15</f>
        <v>242</v>
      </c>
      <c r="F33" s="126">
        <v>922</v>
      </c>
      <c r="G33" s="100">
        <f t="shared" si="6"/>
        <v>4019</v>
      </c>
      <c r="H33" s="127">
        <f>6364.6+1852.5</f>
        <v>8217</v>
      </c>
      <c r="I33" s="129">
        <v>527</v>
      </c>
      <c r="J33" s="101">
        <f t="shared" si="7"/>
        <v>-4725</v>
      </c>
    </row>
    <row r="34" spans="1:10" ht="18">
      <c r="A34" s="85">
        <v>7</v>
      </c>
      <c r="B34" s="103" t="str">
        <f t="shared" si="4"/>
        <v>Харагунское</v>
      </c>
      <c r="C34" s="100">
        <f t="shared" si="5"/>
        <v>5063</v>
      </c>
      <c r="D34" s="109">
        <f>'РАСЧЕТ ДОТАЦИИ'!I16</f>
        <v>4674</v>
      </c>
      <c r="E34" s="109">
        <f>'РАСЧЕТ ДОТАЦИИ'!J16</f>
        <v>389</v>
      </c>
      <c r="F34" s="126">
        <v>1437</v>
      </c>
      <c r="G34" s="100">
        <f t="shared" si="6"/>
        <v>6500</v>
      </c>
      <c r="H34" s="127">
        <f>7931.8+1015.7</f>
        <v>8948</v>
      </c>
      <c r="I34" s="129">
        <f>258.2+110+427.8+19.6</f>
        <v>816</v>
      </c>
      <c r="J34" s="101">
        <f t="shared" si="7"/>
        <v>-3264</v>
      </c>
    </row>
    <row r="35" spans="1:10" ht="18">
      <c r="A35" s="85">
        <v>8</v>
      </c>
      <c r="B35" s="103" t="str">
        <f t="shared" si="4"/>
        <v>Хилогосонское</v>
      </c>
      <c r="C35" s="100">
        <f t="shared" si="5"/>
        <v>759</v>
      </c>
      <c r="D35" s="109">
        <f>'РАСЧЕТ ДОТАЦИИ'!I17</f>
        <v>727</v>
      </c>
      <c r="E35" s="109">
        <f>'РАСЧЕТ ДОТАЦИИ'!J17</f>
        <v>32</v>
      </c>
      <c r="F35" s="126">
        <v>91</v>
      </c>
      <c r="G35" s="100">
        <f t="shared" si="6"/>
        <v>850</v>
      </c>
      <c r="H35" s="127">
        <f>3169.8+1374.4</f>
        <v>4544</v>
      </c>
      <c r="I35" s="129">
        <v>117</v>
      </c>
      <c r="J35" s="101">
        <f t="shared" si="7"/>
        <v>-3811</v>
      </c>
    </row>
    <row r="36" spans="1:10" ht="18">
      <c r="A36" s="85">
        <v>9</v>
      </c>
      <c r="B36" s="103" t="str">
        <f t="shared" si="4"/>
        <v>Укурикское</v>
      </c>
      <c r="C36" s="100">
        <f t="shared" si="5"/>
        <v>530</v>
      </c>
      <c r="D36" s="109">
        <f>'РАСЧЕТ ДОТАЦИИ'!I18</f>
        <v>514</v>
      </c>
      <c r="E36" s="109">
        <f>'РАСЧЕТ ДОТАЦИИ'!J18</f>
        <v>16</v>
      </c>
      <c r="F36" s="126">
        <v>49</v>
      </c>
      <c r="G36" s="100">
        <f t="shared" si="6"/>
        <v>579</v>
      </c>
      <c r="H36" s="127">
        <f>1102.2+0</f>
        <v>1102</v>
      </c>
      <c r="I36" s="129">
        <v>16</v>
      </c>
      <c r="J36" s="101">
        <f t="shared" si="7"/>
        <v>-539</v>
      </c>
    </row>
    <row r="37" spans="1:10" ht="18">
      <c r="A37" s="85">
        <v>10</v>
      </c>
      <c r="B37" s="103" t="str">
        <f t="shared" si="4"/>
        <v>Энгорокское</v>
      </c>
      <c r="C37" s="100">
        <f t="shared" si="5"/>
        <v>587</v>
      </c>
      <c r="D37" s="109">
        <f>'РАСЧЕТ ДОТАЦИИ'!I19</f>
        <v>566</v>
      </c>
      <c r="E37" s="109">
        <v>21</v>
      </c>
      <c r="F37" s="126">
        <v>107</v>
      </c>
      <c r="G37" s="100">
        <f t="shared" si="6"/>
        <v>694</v>
      </c>
      <c r="H37" s="127">
        <f>3101.5+0</f>
        <v>3102</v>
      </c>
      <c r="I37" s="129">
        <v>69</v>
      </c>
      <c r="J37" s="101">
        <f t="shared" si="7"/>
        <v>-2477</v>
      </c>
    </row>
    <row r="38" spans="1:10" ht="18">
      <c r="A38" s="79"/>
      <c r="B38" s="102" t="s">
        <v>67</v>
      </c>
      <c r="C38" s="100">
        <f aca="true" t="shared" si="8" ref="C38:J38">SUM(C28:C37)</f>
        <v>20216</v>
      </c>
      <c r="D38" s="108">
        <f t="shared" si="8"/>
        <v>18223</v>
      </c>
      <c r="E38" s="108">
        <f t="shared" si="8"/>
        <v>1993</v>
      </c>
      <c r="F38" s="108">
        <f t="shared" si="8"/>
        <v>10452</v>
      </c>
      <c r="G38" s="100">
        <f t="shared" si="8"/>
        <v>30668</v>
      </c>
      <c r="H38" s="108">
        <f t="shared" si="8"/>
        <v>63754</v>
      </c>
      <c r="I38" s="108">
        <f t="shared" si="8"/>
        <v>9437</v>
      </c>
      <c r="J38" s="100">
        <f t="shared" si="8"/>
        <v>-42523</v>
      </c>
    </row>
    <row r="40" ht="20.25">
      <c r="B40" s="92" t="s">
        <v>78</v>
      </c>
    </row>
  </sheetData>
  <sheetProtection/>
  <mergeCells count="27">
    <mergeCell ref="A1:J1"/>
    <mergeCell ref="A4:A6"/>
    <mergeCell ref="B4:B6"/>
    <mergeCell ref="C4:C6"/>
    <mergeCell ref="F4:F6"/>
    <mergeCell ref="I4:I6"/>
    <mergeCell ref="J4:J6"/>
    <mergeCell ref="H4:H6"/>
    <mergeCell ref="D4:E4"/>
    <mergeCell ref="G4:G6"/>
    <mergeCell ref="E25:E26"/>
    <mergeCell ref="H24:H26"/>
    <mergeCell ref="C24:C26"/>
    <mergeCell ref="I24:I26"/>
    <mergeCell ref="D24:E24"/>
    <mergeCell ref="G24:G26"/>
    <mergeCell ref="F24:F26"/>
    <mergeCell ref="B24:B26"/>
    <mergeCell ref="D3:F3"/>
    <mergeCell ref="H3:I3"/>
    <mergeCell ref="D23:E23"/>
    <mergeCell ref="D5:D6"/>
    <mergeCell ref="E5:E6"/>
    <mergeCell ref="A21:J21"/>
    <mergeCell ref="A24:A26"/>
    <mergeCell ref="J24:J26"/>
    <mergeCell ref="D25:D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Никитенко Татьяна</cp:lastModifiedBy>
  <cp:lastPrinted>2021-11-11T07:48:27Z</cp:lastPrinted>
  <dcterms:created xsi:type="dcterms:W3CDTF">2005-08-24T23:16:42Z</dcterms:created>
  <dcterms:modified xsi:type="dcterms:W3CDTF">2022-02-17T13:50:41Z</dcterms:modified>
  <cp:category/>
  <cp:version/>
  <cp:contentType/>
  <cp:contentStatus/>
</cp:coreProperties>
</file>