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895" firstSheet="1" activeTab="1"/>
  </bookViews>
  <sheets>
    <sheet name="Лист1" sheetId="1" state="hidden" r:id="rId1"/>
    <sheet name="оценка" sheetId="2" r:id="rId2"/>
    <sheet name="степень" sheetId="3" r:id="rId3"/>
  </sheets>
  <definedNames>
    <definedName name="_xlnm.Print_Titles" localSheetId="1">оценка!$B:$B</definedName>
  </definedNames>
  <calcPr calcId="145621"/>
</workbook>
</file>

<file path=xl/calcChain.xml><?xml version="1.0" encoding="utf-8"?>
<calcChain xmlns="http://schemas.openxmlformats.org/spreadsheetml/2006/main">
  <c r="AM20" i="2" l="1"/>
  <c r="AC25" i="2" l="1"/>
  <c r="K18" i="2" l="1"/>
  <c r="K12" i="2"/>
  <c r="BB24" i="2" l="1"/>
  <c r="BB23" i="2"/>
  <c r="BB21" i="2"/>
  <c r="BB20" i="2"/>
  <c r="BB19" i="2"/>
  <c r="BB18" i="2"/>
  <c r="BB17" i="2"/>
  <c r="BB16" i="2"/>
  <c r="BB15" i="2"/>
  <c r="BB14" i="2"/>
  <c r="BB13" i="2"/>
  <c r="BB12" i="2"/>
  <c r="AE20" i="2" l="1"/>
  <c r="AZ24" i="2" l="1"/>
  <c r="AZ23" i="2"/>
  <c r="AZ21" i="2"/>
  <c r="AZ20" i="2"/>
  <c r="AZ19" i="2"/>
  <c r="AZ18" i="2"/>
  <c r="AZ17" i="2"/>
  <c r="AZ16" i="2"/>
  <c r="AZ15" i="2"/>
  <c r="AZ14" i="2"/>
  <c r="AZ13" i="2"/>
  <c r="AZ12" i="2"/>
  <c r="AM24" i="2" l="1"/>
  <c r="AM23" i="2"/>
  <c r="AM13" i="2"/>
  <c r="AM14" i="2"/>
  <c r="AM15" i="2"/>
  <c r="AN15" i="2" s="1"/>
  <c r="AM16" i="2"/>
  <c r="AM17" i="2"/>
  <c r="AN17" i="2" s="1"/>
  <c r="AM18" i="2"/>
  <c r="AN18" i="2" s="1"/>
  <c r="AM19" i="2"/>
  <c r="AM21" i="2"/>
  <c r="AM12" i="2"/>
  <c r="AN12" i="2" s="1"/>
  <c r="AI24" i="2"/>
  <c r="AI23" i="2"/>
  <c r="AJ23" i="2" s="1"/>
  <c r="AI14" i="2"/>
  <c r="AJ14" i="2" s="1"/>
  <c r="AI15" i="2"/>
  <c r="AJ15" i="2" s="1"/>
  <c r="AI16" i="2"/>
  <c r="AJ16" i="2" s="1"/>
  <c r="AI17" i="2"/>
  <c r="AI18" i="2"/>
  <c r="AI19" i="2"/>
  <c r="AJ19" i="2" s="1"/>
  <c r="AI21" i="2"/>
  <c r="AJ21" i="2" s="1"/>
  <c r="AI12" i="2"/>
  <c r="AJ12" i="2" s="1"/>
  <c r="AE24" i="2"/>
  <c r="AF24" i="2" s="1"/>
  <c r="AE23" i="2"/>
  <c r="AE13" i="2"/>
  <c r="AE14" i="2"/>
  <c r="AE15" i="2"/>
  <c r="AE16" i="2"/>
  <c r="AE17" i="2"/>
  <c r="AE18" i="2"/>
  <c r="AE19" i="2"/>
  <c r="AE21" i="2"/>
  <c r="AE12" i="2"/>
  <c r="W24" i="2"/>
  <c r="W23" i="2"/>
  <c r="W13" i="2"/>
  <c r="W14" i="2"/>
  <c r="W15" i="2"/>
  <c r="W16" i="2"/>
  <c r="W17" i="2"/>
  <c r="W18" i="2"/>
  <c r="W19" i="2"/>
  <c r="W21" i="2"/>
  <c r="W12" i="2"/>
  <c r="AJ24" i="2" l="1"/>
  <c r="AJ13" i="2"/>
  <c r="AJ20" i="2"/>
  <c r="AJ18" i="2"/>
  <c r="AN23" i="2"/>
  <c r="AN21" i="2"/>
  <c r="AN19" i="2"/>
  <c r="AN16" i="2"/>
  <c r="AN14" i="2"/>
  <c r="AN13" i="2"/>
  <c r="AN20" i="2"/>
  <c r="AF19" i="2"/>
  <c r="AF17" i="2"/>
  <c r="AF18" i="2"/>
  <c r="AF13" i="2"/>
  <c r="AF12" i="2"/>
  <c r="AF16" i="2"/>
  <c r="AF14" i="2"/>
  <c r="AF15" i="2"/>
  <c r="AF23" i="2"/>
  <c r="AF21" i="2"/>
  <c r="AF20" i="2"/>
  <c r="AJ17" i="2"/>
  <c r="AN24" i="2"/>
  <c r="S13" i="2"/>
  <c r="S14" i="2"/>
  <c r="S15" i="2"/>
  <c r="S16" i="2"/>
  <c r="S17" i="2"/>
  <c r="S18" i="2"/>
  <c r="S19" i="2"/>
  <c r="S20" i="2"/>
  <c r="S21" i="2"/>
  <c r="S12" i="2"/>
  <c r="O23" i="2"/>
  <c r="K24" i="2" l="1"/>
  <c r="K23" i="2"/>
  <c r="K13" i="2"/>
  <c r="K14" i="2"/>
  <c r="K15" i="2"/>
  <c r="K16" i="2"/>
  <c r="K17" i="2"/>
  <c r="K19" i="2"/>
  <c r="K20" i="2"/>
  <c r="K21" i="2"/>
  <c r="G24" i="2"/>
  <c r="G23" i="2"/>
  <c r="G14" i="2"/>
  <c r="G15" i="2"/>
  <c r="G16" i="2"/>
  <c r="G17" i="2"/>
  <c r="G18" i="2"/>
  <c r="G19" i="2"/>
  <c r="G20" i="2"/>
  <c r="G21" i="2"/>
  <c r="G13" i="2"/>
  <c r="G12" i="2"/>
  <c r="L24" i="2" l="1"/>
  <c r="L14" i="2"/>
  <c r="L13" i="2"/>
  <c r="L21" i="2"/>
  <c r="L17" i="2"/>
  <c r="L15" i="2"/>
  <c r="L23" i="2"/>
  <c r="L20" i="2"/>
  <c r="L12" i="2"/>
  <c r="L18" i="2"/>
  <c r="L16" i="2"/>
  <c r="H21" i="2"/>
  <c r="H20" i="2"/>
  <c r="H17" i="2"/>
  <c r="H24" i="2"/>
  <c r="H16" i="2"/>
  <c r="AX16" i="2" s="1"/>
  <c r="H14" i="2"/>
  <c r="H13" i="2"/>
  <c r="H23" i="2"/>
  <c r="H19" i="2"/>
  <c r="AX19" i="2" s="1"/>
  <c r="H18" i="2"/>
  <c r="AX18" i="2" s="1"/>
  <c r="H15" i="2"/>
  <c r="H12" i="2"/>
  <c r="AX12" i="2" s="1"/>
  <c r="L19" i="2"/>
  <c r="AX14" i="2"/>
  <c r="AX20" i="2" l="1"/>
  <c r="AX15" i="2"/>
  <c r="AX17" i="2"/>
  <c r="AX13" i="2"/>
  <c r="AX21" i="2"/>
  <c r="AX24" i="2"/>
  <c r="O24" i="2" l="1"/>
  <c r="AX23" i="2"/>
  <c r="O21" i="2"/>
  <c r="O20" i="2"/>
  <c r="O19" i="2"/>
  <c r="O18" i="2"/>
  <c r="O17" i="2"/>
  <c r="P17" i="2" s="1"/>
  <c r="O16" i="2"/>
  <c r="P16" i="2" s="1"/>
  <c r="O15" i="2"/>
  <c r="O14" i="2"/>
  <c r="O13" i="2"/>
  <c r="O12" i="2"/>
  <c r="P20" i="2" l="1"/>
  <c r="P19" i="2"/>
  <c r="P21" i="2"/>
  <c r="P23" i="2"/>
  <c r="P18" i="2"/>
  <c r="P13" i="2"/>
  <c r="AY13" i="2" s="1"/>
  <c r="BA13" i="2" s="1"/>
  <c r="C8" i="3" s="1"/>
  <c r="P12" i="2"/>
  <c r="AY12" i="2" s="1"/>
  <c r="BA12" i="2" s="1"/>
  <c r="C7" i="3" s="1"/>
  <c r="P14" i="2"/>
  <c r="AY14" i="2" s="1"/>
  <c r="BA14" i="2" s="1"/>
  <c r="C9" i="3" s="1"/>
  <c r="P15" i="2"/>
  <c r="P24" i="2"/>
  <c r="AY17" i="2"/>
  <c r="BA17" i="2" s="1"/>
  <c r="C12" i="3" s="1"/>
  <c r="AY21" i="2"/>
  <c r="BA21" i="2" s="1"/>
  <c r="AY18" i="2"/>
  <c r="AY15" i="2"/>
  <c r="BA15" i="2" s="1"/>
  <c r="C10" i="3" s="1"/>
  <c r="AY19" i="2"/>
  <c r="AY16" i="2"/>
  <c r="BA16" i="2" s="1"/>
  <c r="C11" i="3" s="1"/>
  <c r="AY20" i="2"/>
  <c r="S24" i="2"/>
  <c r="S23" i="2"/>
  <c r="AC27" i="1"/>
  <c r="AC28" i="1" s="1"/>
  <c r="Z27" i="1"/>
  <c r="Z28" i="1" s="1"/>
  <c r="Y27" i="1"/>
  <c r="V27" i="1"/>
  <c r="U27" i="1"/>
  <c r="P27" i="1"/>
  <c r="Q27" i="1" s="1"/>
  <c r="R27" i="1" s="1"/>
  <c r="H27" i="1"/>
  <c r="H28" i="1" s="1"/>
  <c r="G27" i="1"/>
  <c r="D27" i="1"/>
  <c r="AA26" i="1"/>
  <c r="AB26" i="1" s="1"/>
  <c r="W26" i="1"/>
  <c r="X26" i="1" s="1"/>
  <c r="Q26" i="1"/>
  <c r="R26" i="1" s="1"/>
  <c r="L26" i="1"/>
  <c r="K26" i="1"/>
  <c r="I26" i="1"/>
  <c r="J26" i="1" s="1"/>
  <c r="C26" i="1"/>
  <c r="E26" i="1" s="1"/>
  <c r="F26" i="1" s="1"/>
  <c r="AA25" i="1"/>
  <c r="AB25" i="1" s="1"/>
  <c r="W25" i="1"/>
  <c r="X25" i="1" s="1"/>
  <c r="Q25" i="1"/>
  <c r="R25" i="1" s="1"/>
  <c r="L25" i="1"/>
  <c r="K25" i="1"/>
  <c r="I25" i="1"/>
  <c r="J25" i="1" s="1"/>
  <c r="C25" i="1"/>
  <c r="AF23" i="1"/>
  <c r="Y23" i="1"/>
  <c r="Y28" i="1" s="1"/>
  <c r="V23" i="1"/>
  <c r="V28" i="1" s="1"/>
  <c r="U23" i="1"/>
  <c r="U28" i="1" s="1"/>
  <c r="P23" i="1"/>
  <c r="O23" i="1"/>
  <c r="O28" i="1" s="1"/>
  <c r="N23" i="1"/>
  <c r="G23" i="1"/>
  <c r="D23" i="1"/>
  <c r="AA22" i="1"/>
  <c r="AB22" i="1" s="1"/>
  <c r="W22" i="1"/>
  <c r="X22" i="1" s="1"/>
  <c r="Q22" i="1"/>
  <c r="R22" i="1" s="1"/>
  <c r="L22" i="1"/>
  <c r="K22" i="1"/>
  <c r="I22" i="1"/>
  <c r="J22" i="1" s="1"/>
  <c r="E22" i="1"/>
  <c r="F22" i="1" s="1"/>
  <c r="AA21" i="1"/>
  <c r="AB21" i="1" s="1"/>
  <c r="W21" i="1"/>
  <c r="X21" i="1" s="1"/>
  <c r="Q21" i="1"/>
  <c r="R21" i="1" s="1"/>
  <c r="N21" i="1"/>
  <c r="K21" i="1"/>
  <c r="I21" i="1"/>
  <c r="J21" i="1" s="1"/>
  <c r="E21" i="1"/>
  <c r="F21" i="1" s="1"/>
  <c r="AA20" i="1"/>
  <c r="AB20" i="1" s="1"/>
  <c r="W20" i="1"/>
  <c r="X20" i="1" s="1"/>
  <c r="Q20" i="1"/>
  <c r="R20" i="1" s="1"/>
  <c r="L20" i="1"/>
  <c r="K20" i="1"/>
  <c r="I20" i="1"/>
  <c r="J20" i="1" s="1"/>
  <c r="E20" i="1"/>
  <c r="F20" i="1" s="1"/>
  <c r="AA19" i="1"/>
  <c r="AB19" i="1" s="1"/>
  <c r="W19" i="1"/>
  <c r="X19" i="1" s="1"/>
  <c r="Q19" i="1"/>
  <c r="R19" i="1" s="1"/>
  <c r="L19" i="1"/>
  <c r="K19" i="1"/>
  <c r="I19" i="1"/>
  <c r="J19" i="1" s="1"/>
  <c r="C19" i="1"/>
  <c r="E19" i="1" s="1"/>
  <c r="F19" i="1" s="1"/>
  <c r="AA18" i="1"/>
  <c r="AB18" i="1" s="1"/>
  <c r="W18" i="1"/>
  <c r="X18" i="1" s="1"/>
  <c r="Q18" i="1"/>
  <c r="R18" i="1" s="1"/>
  <c r="L18" i="1"/>
  <c r="K18" i="1"/>
  <c r="I18" i="1"/>
  <c r="J18" i="1" s="1"/>
  <c r="E18" i="1"/>
  <c r="F18" i="1" s="1"/>
  <c r="AA17" i="1"/>
  <c r="AB17" i="1" s="1"/>
  <c r="W17" i="1"/>
  <c r="X17" i="1" s="1"/>
  <c r="Q17" i="1"/>
  <c r="R17" i="1" s="1"/>
  <c r="L17" i="1"/>
  <c r="K17" i="1"/>
  <c r="I17" i="1"/>
  <c r="J17" i="1" s="1"/>
  <c r="C17" i="1"/>
  <c r="E17" i="1" s="1"/>
  <c r="F17" i="1" s="1"/>
  <c r="AA16" i="1"/>
  <c r="AB16" i="1" s="1"/>
  <c r="W16" i="1"/>
  <c r="X16" i="1" s="1"/>
  <c r="Q16" i="1"/>
  <c r="R16" i="1" s="1"/>
  <c r="L16" i="1"/>
  <c r="K16" i="1"/>
  <c r="I16" i="1"/>
  <c r="J16" i="1" s="1"/>
  <c r="C16" i="1"/>
  <c r="E16" i="1" s="1"/>
  <c r="F16" i="1" s="1"/>
  <c r="AA15" i="1"/>
  <c r="AB15" i="1" s="1"/>
  <c r="W15" i="1"/>
  <c r="X15" i="1" s="1"/>
  <c r="Q15" i="1"/>
  <c r="R15" i="1" s="1"/>
  <c r="L15" i="1"/>
  <c r="K15" i="1"/>
  <c r="I15" i="1"/>
  <c r="J15" i="1" s="1"/>
  <c r="E15" i="1"/>
  <c r="F15" i="1" s="1"/>
  <c r="AA14" i="1"/>
  <c r="AB14" i="1" s="1"/>
  <c r="W14" i="1"/>
  <c r="X14" i="1" s="1"/>
  <c r="Q14" i="1"/>
  <c r="R14" i="1" s="1"/>
  <c r="L14" i="1"/>
  <c r="K14" i="1"/>
  <c r="I14" i="1"/>
  <c r="J14" i="1" s="1"/>
  <c r="E14" i="1"/>
  <c r="F14" i="1" s="1"/>
  <c r="AA13" i="1"/>
  <c r="AB13" i="1" s="1"/>
  <c r="W13" i="1"/>
  <c r="X13" i="1" s="1"/>
  <c r="Q13" i="1"/>
  <c r="R13" i="1" s="1"/>
  <c r="L13" i="1"/>
  <c r="K13" i="1"/>
  <c r="I13" i="1"/>
  <c r="J13" i="1" s="1"/>
  <c r="C13" i="1"/>
  <c r="P28" i="1" l="1"/>
  <c r="L23" i="1"/>
  <c r="M14" i="1"/>
  <c r="N14" i="1" s="1"/>
  <c r="AL14" i="1" s="1"/>
  <c r="M16" i="1"/>
  <c r="N16" i="1" s="1"/>
  <c r="AL16" i="1" s="1"/>
  <c r="M18" i="1"/>
  <c r="N18" i="1" s="1"/>
  <c r="AL18" i="1" s="1"/>
  <c r="M20" i="1"/>
  <c r="N20" i="1" s="1"/>
  <c r="AL20" i="1" s="1"/>
  <c r="M22" i="1"/>
  <c r="N22" i="1" s="1"/>
  <c r="AL22" i="1" s="1"/>
  <c r="G28" i="1"/>
  <c r="I28" i="1" s="1"/>
  <c r="J28" i="1" s="1"/>
  <c r="Q28" i="1"/>
  <c r="R28" i="1" s="1"/>
  <c r="W28" i="1"/>
  <c r="X28" i="1" s="1"/>
  <c r="AA28" i="1"/>
  <c r="AB28" i="1" s="1"/>
  <c r="C27" i="1"/>
  <c r="K27" i="1"/>
  <c r="W27" i="1"/>
  <c r="X27" i="1" s="1"/>
  <c r="AA27" i="1"/>
  <c r="AB27" i="1" s="1"/>
  <c r="AY24" i="2"/>
  <c r="C16" i="3"/>
  <c r="BA20" i="2"/>
  <c r="C15" i="3" s="1"/>
  <c r="AY23" i="2"/>
  <c r="BA19" i="2"/>
  <c r="C14" i="3" s="1"/>
  <c r="BA18" i="2"/>
  <c r="C13" i="3" s="1"/>
  <c r="C23" i="1"/>
  <c r="C28" i="1" s="1"/>
  <c r="K23" i="1"/>
  <c r="M15" i="1"/>
  <c r="N15" i="1" s="1"/>
  <c r="AL15" i="1" s="1"/>
  <c r="M17" i="1"/>
  <c r="N17" i="1" s="1"/>
  <c r="AL17" i="1" s="1"/>
  <c r="M19" i="1"/>
  <c r="N19" i="1" s="1"/>
  <c r="AL19" i="1" s="1"/>
  <c r="AL21" i="1"/>
  <c r="AN21" i="1" s="1"/>
  <c r="D28" i="1"/>
  <c r="L27" i="1"/>
  <c r="M26" i="1"/>
  <c r="N26" i="1" s="1"/>
  <c r="AL26" i="1" s="1"/>
  <c r="AN26" i="1" s="1"/>
  <c r="I27" i="1"/>
  <c r="J27" i="1" s="1"/>
  <c r="E27" i="1"/>
  <c r="F27" i="1" s="1"/>
  <c r="E13" i="1"/>
  <c r="F13" i="1" s="1"/>
  <c r="M13" i="1"/>
  <c r="N13" i="1" s="1"/>
  <c r="I23" i="1"/>
  <c r="J23" i="1" s="1"/>
  <c r="Q23" i="1"/>
  <c r="R23" i="1" s="1"/>
  <c r="W23" i="1"/>
  <c r="X23" i="1" s="1"/>
  <c r="AA23" i="1"/>
  <c r="AB23" i="1" s="1"/>
  <c r="E25" i="1"/>
  <c r="F25" i="1" s="1"/>
  <c r="M25" i="1"/>
  <c r="N25" i="1" s="1"/>
  <c r="M27" i="1" l="1"/>
  <c r="N27" i="1" s="1"/>
  <c r="E28" i="1"/>
  <c r="F28" i="1" s="1"/>
  <c r="AM21" i="1"/>
  <c r="AN20" i="1"/>
  <c r="AM20" i="1"/>
  <c r="AN16" i="1"/>
  <c r="AM16" i="1"/>
  <c r="AN22" i="1"/>
  <c r="AM22" i="1"/>
  <c r="AN18" i="1"/>
  <c r="AM18" i="1"/>
  <c r="AN14" i="1"/>
  <c r="AM14" i="1"/>
  <c r="E23" i="1"/>
  <c r="F23" i="1" s="1"/>
  <c r="AM26" i="1"/>
  <c r="L28" i="1"/>
  <c r="M28" i="1" s="1"/>
  <c r="N28" i="1" s="1"/>
  <c r="K28" i="1"/>
  <c r="BA23" i="2"/>
  <c r="C17" i="3" s="1"/>
  <c r="BA24" i="2"/>
  <c r="C18" i="3" s="1"/>
  <c r="AN17" i="1"/>
  <c r="AM17" i="1"/>
  <c r="AN19" i="1"/>
  <c r="AM19" i="1"/>
  <c r="AN15" i="1"/>
  <c r="AM15" i="1"/>
  <c r="AL25" i="1"/>
  <c r="AL13" i="1"/>
  <c r="F16" i="3" l="1"/>
  <c r="F7" i="3"/>
  <c r="F18" i="3"/>
  <c r="F10" i="3"/>
  <c r="F13" i="3"/>
  <c r="F15" i="3"/>
  <c r="F17" i="3"/>
  <c r="E8" i="3"/>
  <c r="E7" i="3"/>
  <c r="E10" i="3"/>
  <c r="E12" i="3"/>
  <c r="E14" i="3"/>
  <c r="E16" i="3"/>
  <c r="E18" i="3"/>
  <c r="F8" i="3"/>
  <c r="F9" i="3"/>
  <c r="F12" i="3"/>
  <c r="F14" i="3"/>
  <c r="F11" i="3"/>
  <c r="E9" i="3"/>
  <c r="E11" i="3"/>
  <c r="E13" i="3"/>
  <c r="E15" i="3"/>
  <c r="E17" i="3"/>
  <c r="AN13" i="1"/>
  <c r="AM13" i="1"/>
  <c r="AN25" i="1"/>
  <c r="AM25" i="1"/>
</calcChain>
</file>

<file path=xl/sharedStrings.xml><?xml version="1.0" encoding="utf-8"?>
<sst xmlns="http://schemas.openxmlformats.org/spreadsheetml/2006/main" count="350" uniqueCount="132">
  <si>
    <t>№ п/п</t>
  </si>
  <si>
    <t>Наименование муниципальных образований</t>
  </si>
  <si>
    <t>Качество финансового планирования</t>
  </si>
  <si>
    <t>Качество исполнения бюджета</t>
  </si>
  <si>
    <t>Степень прозрачности бюджетного процесса</t>
  </si>
  <si>
    <t>Доходы</t>
  </si>
  <si>
    <t>расходы</t>
  </si>
  <si>
    <t>Бюджет</t>
  </si>
  <si>
    <t>отчет</t>
  </si>
  <si>
    <t>сайт</t>
  </si>
  <si>
    <t xml:space="preserve">публичные слушания </t>
  </si>
  <si>
    <t xml:space="preserve">изучение мнения населения     </t>
  </si>
  <si>
    <t>среднеарифметическое значение оценки качества</t>
  </si>
  <si>
    <t>Максимальное значение оценки качества</t>
  </si>
  <si>
    <t>Минимальное значение оценки качества</t>
  </si>
  <si>
    <t>Степень качества управления муниципальными финансами</t>
  </si>
  <si>
    <t>первоначально утвержденный план по доходам  (без учета безв.)</t>
  </si>
  <si>
    <t>Уточненный объем доходов (без учета беззвозмездных)</t>
  </si>
  <si>
    <t>Отношение доходов бюджета поселения, без учета безвозмездных к первоначально утвержденным доходам бюджета поселения, без учета безвозмездных (удельный вес)</t>
  </si>
  <si>
    <t xml:space="preserve">Оценка </t>
  </si>
  <si>
    <t>Фактическое исполнение по неналоговым доходам за отчетный год 2014 г.</t>
  </si>
  <si>
    <t>Фактическое исполнение по неналоговым доходам за год, предшествующий отчетному году 2013 г</t>
  </si>
  <si>
    <t>Темп роста неналоговых доходов бюджета поселения</t>
  </si>
  <si>
    <t>Оценка</t>
  </si>
  <si>
    <t>Общий объем доходов от поступления местных налогов в i-м поселении в отчетном финансовом году</t>
  </si>
  <si>
    <t>Отношение недоимки по местным налогам к сумме налоговых доходов бюджета поселенияот местных налогов</t>
  </si>
  <si>
    <t xml:space="preserve">Уточненные бюджетные назначения по расходам (без учета субвенций из краевого и федерального бюджетов) за отчетный период </t>
  </si>
  <si>
    <t xml:space="preserve">Кассовые расходы (без учета субвенций из краевого и федерального бюджетов) </t>
  </si>
  <si>
    <t>Исполнение бюджета поселения по расходам (без учета субвенций из краевого и федерального бюджетов) к уточненным бюджетным назначениям</t>
  </si>
  <si>
    <t>Утверждение бюджета на очередной финансовый год и плановый период</t>
  </si>
  <si>
    <t>Объем фактически полученных за отчетный период межбюджетных трансфертов из других бюджетов бюджетной системы, рассчитываемый в соответствии п. 4 ст. 136 БК РФ бюджета i-го поселения</t>
  </si>
  <si>
    <t>Объем фактически полученных собственных доходов (без учета субвенций) бюджета i-го поселения</t>
  </si>
  <si>
    <t>Доля межбюджетных трансфертов из других бюджетов бюджетной системы, определяемая в соответствии с пунктом 4 статьи 136 Бюджетного кодекса Российской Федерации</t>
  </si>
  <si>
    <t>Фактические поступления по налоговым и неналоговым доходам в отчетном финансовом году в бюджет i-го поселения</t>
  </si>
  <si>
    <t>Фактические поступления по налоговым и неналоговым доходам в году предшествующем отчетному финансовому году в бюджет i-го поселения</t>
  </si>
  <si>
    <t>Динамика поступлений по налоговым и неналоговым доходам поселения</t>
  </si>
  <si>
    <t xml:space="preserve"> количество месяцев в отч. фин. году, за которые бюджетная отчетность представленна позже установленного срока</t>
  </si>
  <si>
    <t>Своевременность и качество предоставления бюджетной отчетности в Комитет по финансам</t>
  </si>
  <si>
    <t xml:space="preserve">Размещение нормативных правовых актов на офиц. сайте     </t>
  </si>
  <si>
    <t xml:space="preserve"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           </t>
  </si>
  <si>
    <t>Проведение внешней проверки годового отчета об исполнении местного бюджета уполномоченныморганом</t>
  </si>
  <si>
    <t>Объем недоимки по местным налогам на конец года</t>
  </si>
  <si>
    <t>5=4/3</t>
  </si>
  <si>
    <t>9=7/8</t>
  </si>
  <si>
    <t>17=(15-16)/15</t>
  </si>
  <si>
    <t>23=21/22</t>
  </si>
  <si>
    <t>30=1-(29/12)</t>
  </si>
  <si>
    <t>Сельское поселения</t>
  </si>
  <si>
    <t>13=11/12</t>
  </si>
  <si>
    <t>сельское поселение "Бадинское"</t>
  </si>
  <si>
    <t>да</t>
  </si>
  <si>
    <t>0</t>
  </si>
  <si>
    <t>1</t>
  </si>
  <si>
    <t>размещено</t>
  </si>
  <si>
    <t>сельское поселение "Глинкинское"</t>
  </si>
  <si>
    <t>сельское поселение "Закультинское"</t>
  </si>
  <si>
    <t>сельское поселение "Жипхегенское"</t>
  </si>
  <si>
    <t>сельское поселение "Линево Озерское"</t>
  </si>
  <si>
    <t>сельское поселение "Хушенгинское"</t>
  </si>
  <si>
    <t>сельское поселение "Харагунское"</t>
  </si>
  <si>
    <t>сельское поселение "Энгорокское"</t>
  </si>
  <si>
    <t>сельское поселение "Укурикское"</t>
  </si>
  <si>
    <t>нет</t>
  </si>
  <si>
    <t>сельское поселение "Хилогосонское"</t>
  </si>
  <si>
    <t>Итого сельские</t>
  </si>
  <si>
    <t>Городские поселения</t>
  </si>
  <si>
    <t>Городское поселение "Могзонское"</t>
  </si>
  <si>
    <t>Городское поселение "Хилокское"</t>
  </si>
  <si>
    <t>итого городские</t>
  </si>
  <si>
    <t>Всего по муниципальным образованиям</t>
  </si>
  <si>
    <t>Оценка качества управления муниципальными финансами муниципальными образованиями  Хилокского района за 2015 год</t>
  </si>
  <si>
    <t>Сельские поселения</t>
  </si>
  <si>
    <t>Фактическое исполнение по налоговым и неналоговым доходам в отчетном году</t>
  </si>
  <si>
    <t>Фактическое исполнение по налоговым и неналоговым доходам в прешествующем году</t>
  </si>
  <si>
    <t>Качество бюджетного планирования</t>
  </si>
  <si>
    <t>Изменение бюджета МО по налоговым и неналоговым доходам к первоначально утвержденному уровню</t>
  </si>
  <si>
    <t>6=(5-4)/5</t>
  </si>
  <si>
    <t>Объём первоначально утвержденных налоговых и неналоговых доходов бюджетов поселений</t>
  </si>
  <si>
    <t>Уточненный объём расходов бюджетов поселений, за исключением расходов, осуществляемых за счет МБТ на отчетный год</t>
  </si>
  <si>
    <t>Первоначально утвержденный объём расходов бюджетов поселений, за исключением расходов, осуществляемых за счет МБТ на отчетный год</t>
  </si>
  <si>
    <t>Отклонение уточненного объёма расходов бюджетов поселений за счет средств местного бюджета к первоначально утвержденному объему расходов</t>
  </si>
  <si>
    <t>Динамика поступлений по налоговым и неналоговым доходам в бюджеты поселений</t>
  </si>
  <si>
    <t>14=12/13</t>
  </si>
  <si>
    <t>Объем недоимки по местным налогам на начало года</t>
  </si>
  <si>
    <t>Динамика недоимки по платежам в бюджет поселений</t>
  </si>
  <si>
    <t>18=17-16</t>
  </si>
  <si>
    <t>Объем просроченной кредиторской задолженности бюджетов поселений по вопросам местного значения</t>
  </si>
  <si>
    <t>Объем расходов бюджетов поселений, осуществляемых за счет средств местных бюджетов</t>
  </si>
  <si>
    <t>Доля просроченной кредиторской задолженности бюджетов поселений по вопросам местного значения в объеме расходов бюджетов поселений, осуществляемых за счет средств местных бюджетов</t>
  </si>
  <si>
    <t>Объем просроченной кредиторской задолженности бюджетов поселений по выплате заработной платы и начислений на оплату труда</t>
  </si>
  <si>
    <t>Объем расходов бюджетов поселений, осуществляемых за счет средств местных бюджетов по оплате коммунальных услуг</t>
  </si>
  <si>
    <t>Объем расходов бюджетов поселений, осуществляемых за счет средств местных бюджетов по налогам</t>
  </si>
  <si>
    <t>30=28/29</t>
  </si>
  <si>
    <t>Уровень финансовой зависимости бюджета поселения</t>
  </si>
  <si>
    <t>Объем доходов бюджетных учреждений от приносящей доход деятельности за отчетный финансовый год бюджета поселения</t>
  </si>
  <si>
    <t>Объем доходов бюджетных учреждений от приносящей доход деятельности за год, предшествующий отчетному финансовому году, бюджета поселения</t>
  </si>
  <si>
    <t>Прирост объема доходов бюджетных учреждений от приносящей доход детельности</t>
  </si>
  <si>
    <t>34=32/33</t>
  </si>
  <si>
    <t>Среднедушевые расходы бюджета поселения на содержание органов местного самоуправления за отчетный финансовый год</t>
  </si>
  <si>
    <t>Среднедушевые расходы бюджета поселения на содержание органов местного самоуправления за год, предшествующий отчетному финансовому году</t>
  </si>
  <si>
    <t>Темп роста среднедушевых расходов бюджета поселения на содержание органов местного самоуправления</t>
  </si>
  <si>
    <t>38=36/37</t>
  </si>
  <si>
    <t>Размещение на официальном сайте органа местного самоуправления поселения решений о бюджете, об исполнении бюджета, ежеквартальных сведений о ходе исполнения бюджета</t>
  </si>
  <si>
    <t>не выполняется</t>
  </si>
  <si>
    <t>выполняется</t>
  </si>
  <si>
    <t>Количество месяцев в отчетном финансовом году, за которые бюджетная отчетность представлена позже установленного срока</t>
  </si>
  <si>
    <t>44=1-(В/12)</t>
  </si>
  <si>
    <t>Оценка качества 1 направления</t>
  </si>
  <si>
    <t>Оценка качества 2 направления</t>
  </si>
  <si>
    <t>Оценка качества 3 направления</t>
  </si>
  <si>
    <t>осуществляется</t>
  </si>
  <si>
    <t>Комплексная оценка качества для поселений</t>
  </si>
  <si>
    <t>Проведение внешней проверки годового отчета об исполнении местного бюджета уполномоченным органом</t>
  </si>
  <si>
    <t>Объём уточненных налоговых и неналоговых доходов бюджетов поселений</t>
  </si>
  <si>
    <t>Степень качества управления  муниципальными финансами</t>
  </si>
  <si>
    <t>Мониторинг качества управления муниципальными финансами в муниципальном районе "Хилокский район"</t>
  </si>
  <si>
    <t xml:space="preserve"> </t>
  </si>
  <si>
    <t>старая</t>
  </si>
  <si>
    <t>п/п</t>
  </si>
  <si>
    <t>Наименование муниципального образования</t>
  </si>
  <si>
    <t>Комплексная оценка качества управления муниципальными финансами - из программы</t>
  </si>
  <si>
    <t>Интервальная оценка - из программы</t>
  </si>
  <si>
    <t>Интервальная оценка 2/3</t>
  </si>
  <si>
    <t>3/4</t>
  </si>
  <si>
    <t xml:space="preserve">Среднее значение </t>
  </si>
  <si>
    <t>X</t>
  </si>
  <si>
    <t xml:space="preserve"> не выполняется</t>
  </si>
  <si>
    <t xml:space="preserve"> выполняется</t>
  </si>
  <si>
    <t xml:space="preserve"> осуществляется</t>
  </si>
  <si>
    <t>не осуществляется</t>
  </si>
  <si>
    <t>Отчётный период: 2023 год</t>
  </si>
  <si>
    <t>Оценка качества управления муниципальными финансами муниципальными образованиями  Хилокского района за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</si>
</sst>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0"/>
    <numFmt numFmtId="167" formatCode="0.000"/>
    <numFmt numFmtId="168" formatCode="0.000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23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6" xfId="0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7" fillId="0" borderId="6" xfId="0" applyFont="1" applyBorder="1"/>
    <xf numFmtId="0" fontId="3" fillId="0" borderId="6" xfId="0" applyFont="1" applyBorder="1"/>
    <xf numFmtId="0" fontId="7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4" borderId="6" xfId="0" applyFont="1" applyFill="1" applyBorder="1"/>
    <xf numFmtId="164" fontId="7" fillId="2" borderId="6" xfId="0" applyNumberFormat="1" applyFont="1" applyFill="1" applyBorder="1"/>
    <xf numFmtId="0" fontId="7" fillId="0" borderId="0" xfId="0" applyFont="1"/>
    <xf numFmtId="0" fontId="0" fillId="5" borderId="6" xfId="0" applyFill="1" applyBorder="1"/>
    <xf numFmtId="0" fontId="3" fillId="5" borderId="6" xfId="0" applyFont="1" applyFill="1" applyBorder="1"/>
    <xf numFmtId="0" fontId="0" fillId="5" borderId="6" xfId="0" applyFill="1" applyBorder="1" applyAlignment="1">
      <alignment horizontal="center"/>
    </xf>
    <xf numFmtId="49" fontId="0" fillId="5" borderId="6" xfId="0" applyNumberFormat="1" applyFill="1" applyBorder="1"/>
    <xf numFmtId="164" fontId="0" fillId="5" borderId="6" xfId="0" applyNumberFormat="1" applyFill="1" applyBorder="1"/>
    <xf numFmtId="165" fontId="0" fillId="0" borderId="6" xfId="0" applyNumberFormat="1" applyBorder="1"/>
    <xf numFmtId="166" fontId="0" fillId="3" borderId="6" xfId="0" applyNumberFormat="1" applyFill="1" applyBorder="1"/>
    <xf numFmtId="165" fontId="0" fillId="4" borderId="6" xfId="0" applyNumberFormat="1" applyFill="1" applyBorder="1"/>
    <xf numFmtId="167" fontId="8" fillId="3" borderId="6" xfId="0" applyNumberFormat="1" applyFont="1" applyFill="1" applyBorder="1" applyProtection="1">
      <protection hidden="1"/>
    </xf>
    <xf numFmtId="164" fontId="8" fillId="4" borderId="6" xfId="0" applyNumberFormat="1" applyFont="1" applyFill="1" applyBorder="1" applyProtection="1">
      <protection hidden="1"/>
    </xf>
    <xf numFmtId="2" fontId="8" fillId="4" borderId="6" xfId="0" applyNumberFormat="1" applyFont="1" applyFill="1" applyBorder="1" applyProtection="1">
      <protection hidden="1"/>
    </xf>
    <xf numFmtId="166" fontId="0" fillId="0" borderId="6" xfId="0" applyNumberFormat="1" applyBorder="1"/>
    <xf numFmtId="165" fontId="0" fillId="3" borderId="6" xfId="0" applyNumberFormat="1" applyFill="1" applyBorder="1"/>
    <xf numFmtId="164" fontId="0" fillId="3" borderId="6" xfId="0" applyNumberFormat="1" applyFill="1" applyBorder="1" applyAlignment="1">
      <alignment horizontal="right" wrapText="1"/>
    </xf>
    <xf numFmtId="49" fontId="0" fillId="0" borderId="6" xfId="0" applyNumberFormat="1" applyBorder="1" applyAlignment="1">
      <alignment horizontal="right"/>
    </xf>
    <xf numFmtId="49" fontId="0" fillId="4" borderId="6" xfId="0" applyNumberFormat="1" applyFill="1" applyBorder="1" applyAlignment="1">
      <alignment horizontal="right"/>
    </xf>
    <xf numFmtId="49" fontId="0" fillId="3" borderId="6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2" fontId="0" fillId="0" borderId="6" xfId="0" applyNumberFormat="1" applyBorder="1"/>
    <xf numFmtId="165" fontId="0" fillId="5" borderId="6" xfId="0" applyNumberFormat="1" applyFill="1" applyBorder="1"/>
    <xf numFmtId="166" fontId="0" fillId="5" borderId="6" xfId="0" applyNumberFormat="1" applyFill="1" applyBorder="1"/>
    <xf numFmtId="167" fontId="8" fillId="5" borderId="6" xfId="0" applyNumberFormat="1" applyFont="1" applyFill="1" applyBorder="1" applyProtection="1">
      <protection hidden="1"/>
    </xf>
    <xf numFmtId="164" fontId="8" fillId="5" borderId="6" xfId="0" applyNumberFormat="1" applyFont="1" applyFill="1" applyBorder="1" applyProtection="1">
      <protection hidden="1"/>
    </xf>
    <xf numFmtId="2" fontId="8" fillId="5" borderId="6" xfId="0" applyNumberFormat="1" applyFont="1" applyFill="1" applyBorder="1" applyProtection="1">
      <protection hidden="1"/>
    </xf>
    <xf numFmtId="49" fontId="0" fillId="5" borderId="6" xfId="0" applyNumberFormat="1" applyFill="1" applyBorder="1" applyAlignment="1">
      <alignment horizontal="right"/>
    </xf>
    <xf numFmtId="165" fontId="0" fillId="5" borderId="6" xfId="0" applyNumberFormat="1" applyFill="1" applyBorder="1" applyAlignment="1">
      <alignment horizontal="right"/>
    </xf>
    <xf numFmtId="3" fontId="0" fillId="5" borderId="6" xfId="0" applyNumberForma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167" fontId="8" fillId="4" borderId="6" xfId="0" applyNumberFormat="1" applyFont="1" applyFill="1" applyBorder="1" applyProtection="1">
      <protection hidden="1"/>
    </xf>
    <xf numFmtId="0" fontId="0" fillId="3" borderId="6" xfId="0" applyFill="1" applyBorder="1"/>
    <xf numFmtId="164" fontId="0" fillId="2" borderId="6" xfId="0" applyNumberFormat="1" applyFill="1" applyBorder="1"/>
    <xf numFmtId="0" fontId="3" fillId="0" borderId="0" xfId="0" applyFont="1"/>
    <xf numFmtId="165" fontId="0" fillId="0" borderId="0" xfId="0" applyNumberFormat="1"/>
    <xf numFmtId="0" fontId="0" fillId="0" borderId="6" xfId="0" applyBorder="1"/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6" fontId="0" fillId="4" borderId="6" xfId="0" applyNumberFormat="1" applyFill="1" applyBorder="1"/>
    <xf numFmtId="165" fontId="9" fillId="5" borderId="6" xfId="0" applyNumberFormat="1" applyFont="1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3" fillId="6" borderId="6" xfId="0" applyFont="1" applyFill="1" applyBorder="1"/>
    <xf numFmtId="165" fontId="0" fillId="4" borderId="0" xfId="0" applyNumberFormat="1" applyFill="1"/>
    <xf numFmtId="0" fontId="0" fillId="0" borderId="6" xfId="0" applyBorder="1" applyAlignment="1">
      <alignment horizontal="center"/>
    </xf>
    <xf numFmtId="0" fontId="2" fillId="0" borderId="1" xfId="0" applyFont="1" applyBorder="1" applyAlignment="1"/>
    <xf numFmtId="0" fontId="10" fillId="0" borderId="0" xfId="0" applyFont="1" applyAlignment="1">
      <alignment vertical="center"/>
    </xf>
    <xf numFmtId="164" fontId="0" fillId="4" borderId="6" xfId="0" applyNumberForma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6" fontId="0" fillId="0" borderId="6" xfId="0" applyNumberFormat="1" applyFill="1" applyBorder="1"/>
    <xf numFmtId="0" fontId="5" fillId="3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165" fontId="0" fillId="0" borderId="6" xfId="0" applyNumberFormat="1" applyFill="1" applyBorder="1"/>
    <xf numFmtId="2" fontId="13" fillId="4" borderId="6" xfId="0" applyNumberFormat="1" applyFont="1" applyFill="1" applyBorder="1" applyProtection="1">
      <protection hidden="1"/>
    </xf>
    <xf numFmtId="0" fontId="2" fillId="0" borderId="0" xfId="0" applyFont="1" applyBorder="1" applyAlignment="1"/>
    <xf numFmtId="166" fontId="9" fillId="5" borderId="6" xfId="0" applyNumberFormat="1" applyFont="1" applyFill="1" applyBorder="1"/>
    <xf numFmtId="0" fontId="15" fillId="7" borderId="0" xfId="0" applyFont="1" applyFill="1"/>
    <xf numFmtId="0" fontId="5" fillId="0" borderId="6" xfId="0" applyFont="1" applyBorder="1" applyAlignment="1">
      <alignment vertical="center"/>
    </xf>
    <xf numFmtId="3" fontId="0" fillId="3" borderId="6" xfId="0" applyNumberFormat="1" applyFill="1" applyBorder="1"/>
    <xf numFmtId="3" fontId="9" fillId="5" borderId="6" xfId="0" applyNumberFormat="1" applyFont="1" applyFill="1" applyBorder="1"/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1" fontId="7" fillId="0" borderId="6" xfId="0" applyNumberFormat="1" applyFont="1" applyFill="1" applyBorder="1"/>
    <xf numFmtId="0" fontId="7" fillId="0" borderId="0" xfId="0" applyFont="1" applyFill="1"/>
    <xf numFmtId="165" fontId="0" fillId="0" borderId="0" xfId="0" applyNumberFormat="1" applyFill="1"/>
    <xf numFmtId="164" fontId="0" fillId="6" borderId="6" xfId="0" applyNumberFormat="1" applyFill="1" applyBorder="1"/>
    <xf numFmtId="0" fontId="1" fillId="0" borderId="6" xfId="0" applyFont="1" applyBorder="1"/>
    <xf numFmtId="0" fontId="16" fillId="0" borderId="6" xfId="0" applyFont="1" applyFill="1" applyBorder="1"/>
    <xf numFmtId="0" fontId="1" fillId="6" borderId="6" xfId="0" applyFont="1" applyFill="1" applyBorder="1"/>
    <xf numFmtId="0" fontId="1" fillId="5" borderId="6" xfId="0" applyFont="1" applyFill="1" applyBorder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18" fillId="0" borderId="0" xfId="0" applyFont="1" applyFill="1" applyAlignment="1" applyProtection="1">
      <alignment wrapText="1"/>
    </xf>
    <xf numFmtId="0" fontId="19" fillId="4" borderId="0" xfId="0" applyFont="1" applyFill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 wrapText="1"/>
    </xf>
    <xf numFmtId="0" fontId="20" fillId="4" borderId="10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22" fillId="4" borderId="11" xfId="0" applyFont="1" applyFill="1" applyBorder="1" applyAlignment="1" applyProtection="1">
      <alignment horizontal="center"/>
    </xf>
    <xf numFmtId="0" fontId="22" fillId="4" borderId="10" xfId="0" applyFont="1" applyFill="1" applyBorder="1" applyAlignment="1" applyProtection="1">
      <alignment horizontal="center"/>
    </xf>
    <xf numFmtId="0" fontId="23" fillId="0" borderId="6" xfId="0" applyFont="1" applyFill="1" applyBorder="1" applyAlignment="1" applyProtection="1">
      <alignment horizontal="center"/>
    </xf>
    <xf numFmtId="0" fontId="23" fillId="0" borderId="0" xfId="0" applyFont="1" applyFill="1" applyAlignment="1" applyProtection="1">
      <alignment horizontal="center"/>
    </xf>
    <xf numFmtId="0" fontId="21" fillId="0" borderId="9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1" fillId="0" borderId="9" xfId="0" applyFont="1" applyFill="1" applyBorder="1" applyAlignment="1" applyProtection="1">
      <alignment wrapText="1"/>
    </xf>
    <xf numFmtId="0" fontId="25" fillId="0" borderId="13" xfId="0" applyFont="1" applyFill="1" applyBorder="1" applyAlignment="1" applyProtection="1">
      <alignment horizontal="center"/>
    </xf>
    <xf numFmtId="0" fontId="20" fillId="4" borderId="10" xfId="0" applyFont="1" applyFill="1" applyBorder="1" applyAlignment="1" applyProtection="1">
      <alignment horizontal="center"/>
    </xf>
    <xf numFmtId="2" fontId="19" fillId="4" borderId="0" xfId="0" applyNumberFormat="1" applyFont="1" applyFill="1" applyAlignment="1" applyProtection="1">
      <alignment horizontal="center"/>
    </xf>
    <xf numFmtId="0" fontId="22" fillId="0" borderId="13" xfId="0" applyFont="1" applyFill="1" applyBorder="1" applyAlignment="1" applyProtection="1">
      <alignment horizontal="center"/>
    </xf>
    <xf numFmtId="0" fontId="20" fillId="4" borderId="14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wrapText="1"/>
    </xf>
    <xf numFmtId="4" fontId="0" fillId="5" borderId="6" xfId="0" applyNumberFormat="1" applyFill="1" applyBorder="1"/>
    <xf numFmtId="168" fontId="24" fillId="0" borderId="6" xfId="0" applyNumberFormat="1" applyFont="1" applyFill="1" applyBorder="1" applyAlignment="1">
      <alignment horizontal="right" vertical="center" wrapText="1"/>
    </xf>
    <xf numFmtId="4" fontId="0" fillId="4" borderId="6" xfId="0" applyNumberFormat="1" applyFill="1" applyBorder="1"/>
    <xf numFmtId="166" fontId="9" fillId="4" borderId="6" xfId="0" applyNumberFormat="1" applyFont="1" applyFill="1" applyBorder="1"/>
    <xf numFmtId="165" fontId="1" fillId="4" borderId="6" xfId="0" applyNumberFormat="1" applyFont="1" applyFill="1" applyBorder="1"/>
    <xf numFmtId="165" fontId="1" fillId="5" borderId="6" xfId="0" applyNumberFormat="1" applyFont="1" applyFill="1" applyBorder="1"/>
    <xf numFmtId="165" fontId="1" fillId="0" borderId="6" xfId="0" applyNumberFormat="1" applyFont="1" applyFill="1" applyBorder="1"/>
    <xf numFmtId="166" fontId="1" fillId="3" borderId="6" xfId="0" applyNumberFormat="1" applyFont="1" applyFill="1" applyBorder="1"/>
    <xf numFmtId="167" fontId="19" fillId="3" borderId="6" xfId="0" applyNumberFormat="1" applyFont="1" applyFill="1" applyBorder="1" applyProtection="1">
      <protection hidden="1"/>
    </xf>
    <xf numFmtId="167" fontId="27" fillId="3" borderId="6" xfId="0" applyNumberFormat="1" applyFont="1" applyFill="1" applyBorder="1" applyProtection="1">
      <protection hidden="1"/>
    </xf>
    <xf numFmtId="164" fontId="19" fillId="4" borderId="6" xfId="0" applyNumberFormat="1" applyFont="1" applyFill="1" applyBorder="1" applyProtection="1">
      <protection hidden="1"/>
    </xf>
    <xf numFmtId="164" fontId="27" fillId="4" borderId="6" xfId="0" applyNumberFormat="1" applyFont="1" applyFill="1" applyBorder="1" applyProtection="1">
      <protection hidden="1"/>
    </xf>
    <xf numFmtId="2" fontId="27" fillId="5" borderId="6" xfId="0" applyNumberFormat="1" applyFont="1" applyFill="1" applyBorder="1" applyProtection="1">
      <protection hidden="1"/>
    </xf>
    <xf numFmtId="0" fontId="3" fillId="2" borderId="6" xfId="0" applyFont="1" applyFill="1" applyBorder="1"/>
    <xf numFmtId="0" fontId="7" fillId="0" borderId="6" xfId="0" applyFont="1" applyFill="1" applyBorder="1" applyAlignment="1">
      <alignment horizontal="center" wrapText="1"/>
    </xf>
    <xf numFmtId="164" fontId="0" fillId="0" borderId="6" xfId="0" applyNumberFormat="1" applyFill="1" applyBorder="1"/>
    <xf numFmtId="166" fontId="9" fillId="0" borderId="6" xfId="0" applyNumberFormat="1" applyFont="1" applyFill="1" applyBorder="1"/>
    <xf numFmtId="166" fontId="26" fillId="0" borderId="6" xfId="0" applyNumberFormat="1" applyFont="1" applyFill="1" applyBorder="1"/>
    <xf numFmtId="4" fontId="0" fillId="0" borderId="6" xfId="0" applyNumberFormat="1" applyFill="1" applyBorder="1"/>
    <xf numFmtId="165" fontId="0" fillId="0" borderId="6" xfId="0" applyNumberForma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wrapText="1"/>
      <protection hidden="1"/>
    </xf>
    <xf numFmtId="0" fontId="6" fillId="4" borderId="7" xfId="0" applyFont="1" applyFill="1" applyBorder="1" applyAlignment="1" applyProtection="1">
      <alignment horizontal="center" wrapText="1"/>
      <protection hidden="1"/>
    </xf>
    <xf numFmtId="0" fontId="6" fillId="4" borderId="8" xfId="0" applyFont="1" applyFill="1" applyBorder="1" applyAlignment="1" applyProtection="1">
      <alignment horizontal="center" wrapText="1"/>
      <protection hidden="1"/>
    </xf>
    <xf numFmtId="0" fontId="0" fillId="0" borderId="6" xfId="0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7" xfId="0" applyFont="1" applyFill="1" applyBorder="1" applyAlignment="1" applyProtection="1">
      <alignment horizontal="center" vertical="center" wrapText="1"/>
      <protection hidden="1"/>
    </xf>
    <xf numFmtId="0" fontId="14" fillId="7" borderId="8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7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opLeftCell="B1" workbookViewId="0">
      <selection activeCell="B3" sqref="A1:XFD1048576"/>
    </sheetView>
  </sheetViews>
  <sheetFormatPr defaultRowHeight="15" x14ac:dyDescent="0.25"/>
  <cols>
    <col min="1" max="1" width="0" hidden="1" customWidth="1"/>
    <col min="2" max="2" width="36" style="61" customWidth="1"/>
    <col min="3" max="3" width="13.28515625" customWidth="1"/>
    <col min="4" max="4" width="11.28515625" customWidth="1"/>
    <col min="5" max="14" width="13.28515625" customWidth="1"/>
    <col min="15" max="15" width="14" customWidth="1"/>
    <col min="16" max="17" width="13.140625" customWidth="1"/>
    <col min="18" max="18" width="11.140625" customWidth="1"/>
    <col min="19" max="19" width="16.5703125" customWidth="1"/>
    <col min="20" max="20" width="10.28515625" customWidth="1"/>
    <col min="21" max="21" width="16.140625" customWidth="1"/>
    <col min="22" max="22" width="13.28515625" customWidth="1"/>
    <col min="23" max="23" width="15.5703125" customWidth="1"/>
    <col min="25" max="25" width="10.85546875" customWidth="1"/>
    <col min="27" max="27" width="9.5703125" customWidth="1"/>
    <col min="28" max="28" width="11.5703125" bestFit="1" customWidth="1"/>
    <col min="29" max="29" width="18.140625" customWidth="1"/>
    <col min="30" max="30" width="13.140625" customWidth="1"/>
    <col min="31" max="31" width="9.5703125" customWidth="1"/>
    <col min="32" max="32" width="13.140625" customWidth="1"/>
    <col min="33" max="33" width="12" customWidth="1"/>
    <col min="34" max="35" width="16.5703125" customWidth="1"/>
    <col min="36" max="36" width="18" customWidth="1"/>
    <col min="37" max="37" width="13.28515625" customWidth="1"/>
    <col min="38" max="38" width="13.7109375" style="1" customWidth="1"/>
    <col min="39" max="39" width="10.5703125" bestFit="1" customWidth="1"/>
    <col min="40" max="40" width="9.5703125" bestFit="1" customWidth="1"/>
  </cols>
  <sheetData>
    <row r="1" spans="1:41" x14ac:dyDescent="0.25">
      <c r="B1" s="193" t="s">
        <v>70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41" s="2" customFormat="1" x14ac:dyDescent="0.25"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AL2" s="3"/>
    </row>
    <row r="3" spans="1:41" ht="15" customHeight="1" x14ac:dyDescent="0.25">
      <c r="A3" s="149" t="s">
        <v>0</v>
      </c>
      <c r="B3" s="152" t="s">
        <v>1</v>
      </c>
      <c r="C3" s="155" t="s">
        <v>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  <c r="O3" s="155" t="s">
        <v>3</v>
      </c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8" t="s">
        <v>4</v>
      </c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4"/>
      <c r="AO3" s="4"/>
    </row>
    <row r="4" spans="1:41" ht="33" customHeight="1" x14ac:dyDescent="0.25">
      <c r="A4" s="150"/>
      <c r="B4" s="153"/>
      <c r="C4" s="159" t="s">
        <v>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58" t="s">
        <v>6</v>
      </c>
      <c r="P4" s="158"/>
      <c r="Q4" s="158"/>
      <c r="R4" s="158"/>
      <c r="S4" s="162" t="s">
        <v>7</v>
      </c>
      <c r="T4" s="162"/>
      <c r="U4" s="158"/>
      <c r="V4" s="158"/>
      <c r="W4" s="158"/>
      <c r="X4" s="158"/>
      <c r="Y4" s="5"/>
      <c r="Z4" s="5"/>
      <c r="AA4" s="5"/>
      <c r="AB4" s="5"/>
      <c r="AC4" s="158" t="s">
        <v>8</v>
      </c>
      <c r="AD4" s="158"/>
      <c r="AE4" s="5"/>
      <c r="AF4" s="158" t="s">
        <v>9</v>
      </c>
      <c r="AG4" s="158"/>
      <c r="AH4" s="158" t="s">
        <v>10</v>
      </c>
      <c r="AI4" s="158"/>
      <c r="AJ4" s="158" t="s">
        <v>11</v>
      </c>
      <c r="AK4" s="158"/>
      <c r="AL4" s="187" t="s">
        <v>12</v>
      </c>
      <c r="AM4" s="168" t="s">
        <v>13</v>
      </c>
      <c r="AN4" s="168" t="s">
        <v>14</v>
      </c>
      <c r="AO4" s="168" t="s">
        <v>15</v>
      </c>
    </row>
    <row r="5" spans="1:41" ht="15.75" customHeight="1" x14ac:dyDescent="0.25">
      <c r="A5" s="150"/>
      <c r="B5" s="153"/>
      <c r="C5" s="205" t="s">
        <v>16</v>
      </c>
      <c r="D5" s="170" t="s">
        <v>17</v>
      </c>
      <c r="E5" s="201" t="s">
        <v>18</v>
      </c>
      <c r="F5" s="186" t="s">
        <v>19</v>
      </c>
      <c r="G5" s="181" t="s">
        <v>20</v>
      </c>
      <c r="H5" s="181" t="s">
        <v>21</v>
      </c>
      <c r="I5" s="181" t="s">
        <v>22</v>
      </c>
      <c r="J5" s="184" t="s">
        <v>23</v>
      </c>
      <c r="K5" s="6"/>
      <c r="L5" s="204" t="s">
        <v>24</v>
      </c>
      <c r="M5" s="171" t="s">
        <v>25</v>
      </c>
      <c r="N5" s="7"/>
      <c r="O5" s="168" t="s">
        <v>26</v>
      </c>
      <c r="P5" s="168" t="s">
        <v>27</v>
      </c>
      <c r="Q5" s="174" t="s">
        <v>28</v>
      </c>
      <c r="R5" s="175" t="s">
        <v>23</v>
      </c>
      <c r="S5" s="200" t="s">
        <v>29</v>
      </c>
      <c r="T5" s="175" t="s">
        <v>23</v>
      </c>
      <c r="U5" s="174" t="s">
        <v>30</v>
      </c>
      <c r="V5" s="168" t="s">
        <v>31</v>
      </c>
      <c r="W5" s="203" t="s">
        <v>32</v>
      </c>
      <c r="X5" s="175" t="s">
        <v>23</v>
      </c>
      <c r="Y5" s="197" t="s">
        <v>33</v>
      </c>
      <c r="Z5" s="197" t="s">
        <v>34</v>
      </c>
      <c r="AA5" s="197" t="s">
        <v>35</v>
      </c>
      <c r="AB5" s="175" t="s">
        <v>23</v>
      </c>
      <c r="AC5" s="178" t="s">
        <v>36</v>
      </c>
      <c r="AD5" s="168" t="s">
        <v>37</v>
      </c>
      <c r="AE5" s="8"/>
      <c r="AF5" s="163" t="s">
        <v>38</v>
      </c>
      <c r="AG5" s="166" t="s">
        <v>23</v>
      </c>
      <c r="AH5" s="167" t="s">
        <v>39</v>
      </c>
      <c r="AI5" s="166" t="s">
        <v>23</v>
      </c>
      <c r="AJ5" s="163" t="s">
        <v>40</v>
      </c>
      <c r="AK5" s="190" t="s">
        <v>23</v>
      </c>
      <c r="AL5" s="188"/>
      <c r="AM5" s="169"/>
      <c r="AN5" s="169"/>
      <c r="AO5" s="169"/>
    </row>
    <row r="6" spans="1:41" ht="15.75" customHeight="1" x14ac:dyDescent="0.25">
      <c r="A6" s="150"/>
      <c r="B6" s="153"/>
      <c r="C6" s="205"/>
      <c r="D6" s="207"/>
      <c r="E6" s="201"/>
      <c r="F6" s="208"/>
      <c r="G6" s="182"/>
      <c r="H6" s="182"/>
      <c r="I6" s="182"/>
      <c r="J6" s="185"/>
      <c r="K6" s="195" t="s">
        <v>41</v>
      </c>
      <c r="L6" s="195"/>
      <c r="M6" s="172"/>
      <c r="N6" s="9"/>
      <c r="O6" s="169"/>
      <c r="P6" s="169"/>
      <c r="Q6" s="174"/>
      <c r="R6" s="176"/>
      <c r="S6" s="201"/>
      <c r="T6" s="176"/>
      <c r="U6" s="174"/>
      <c r="V6" s="169"/>
      <c r="W6" s="188"/>
      <c r="X6" s="176"/>
      <c r="Y6" s="198"/>
      <c r="Z6" s="198"/>
      <c r="AA6" s="198"/>
      <c r="AB6" s="176"/>
      <c r="AC6" s="179"/>
      <c r="AD6" s="169"/>
      <c r="AE6" s="10"/>
      <c r="AF6" s="164"/>
      <c r="AG6" s="166"/>
      <c r="AH6" s="167"/>
      <c r="AI6" s="166"/>
      <c r="AJ6" s="164"/>
      <c r="AK6" s="191"/>
      <c r="AL6" s="188"/>
      <c r="AM6" s="169"/>
      <c r="AN6" s="169"/>
      <c r="AO6" s="169"/>
    </row>
    <row r="7" spans="1:41" ht="15" customHeight="1" x14ac:dyDescent="0.25">
      <c r="A7" s="150"/>
      <c r="B7" s="153"/>
      <c r="C7" s="205"/>
      <c r="D7" s="207"/>
      <c r="E7" s="201"/>
      <c r="F7" s="208"/>
      <c r="G7" s="182"/>
      <c r="H7" s="182"/>
      <c r="I7" s="182"/>
      <c r="J7" s="185"/>
      <c r="K7" s="195"/>
      <c r="L7" s="195"/>
      <c r="M7" s="172"/>
      <c r="N7" s="9"/>
      <c r="O7" s="169"/>
      <c r="P7" s="169"/>
      <c r="Q7" s="174"/>
      <c r="R7" s="176"/>
      <c r="S7" s="201"/>
      <c r="T7" s="176"/>
      <c r="U7" s="174"/>
      <c r="V7" s="169"/>
      <c r="W7" s="188"/>
      <c r="X7" s="176"/>
      <c r="Y7" s="198"/>
      <c r="Z7" s="198"/>
      <c r="AA7" s="198"/>
      <c r="AB7" s="176"/>
      <c r="AC7" s="179"/>
      <c r="AD7" s="169"/>
      <c r="AE7" s="10"/>
      <c r="AF7" s="164"/>
      <c r="AG7" s="166"/>
      <c r="AH7" s="167"/>
      <c r="AI7" s="166"/>
      <c r="AJ7" s="164"/>
      <c r="AK7" s="191"/>
      <c r="AL7" s="188"/>
      <c r="AM7" s="169"/>
      <c r="AN7" s="169"/>
      <c r="AO7" s="169"/>
    </row>
    <row r="8" spans="1:41" ht="248.25" customHeight="1" x14ac:dyDescent="0.25">
      <c r="A8" s="150"/>
      <c r="B8" s="153"/>
      <c r="C8" s="205"/>
      <c r="D8" s="207"/>
      <c r="E8" s="201"/>
      <c r="F8" s="208"/>
      <c r="G8" s="182"/>
      <c r="H8" s="182"/>
      <c r="I8" s="182"/>
      <c r="J8" s="185"/>
      <c r="K8" s="195"/>
      <c r="L8" s="195"/>
      <c r="M8" s="172"/>
      <c r="N8" s="9" t="s">
        <v>23</v>
      </c>
      <c r="O8" s="169"/>
      <c r="P8" s="169"/>
      <c r="Q8" s="174"/>
      <c r="R8" s="176"/>
      <c r="S8" s="201"/>
      <c r="T8" s="176"/>
      <c r="U8" s="174"/>
      <c r="V8" s="169"/>
      <c r="W8" s="189"/>
      <c r="X8" s="176"/>
      <c r="Y8" s="199"/>
      <c r="Z8" s="199"/>
      <c r="AA8" s="199"/>
      <c r="AB8" s="177"/>
      <c r="AC8" s="179"/>
      <c r="AD8" s="169"/>
      <c r="AE8" s="10" t="s">
        <v>23</v>
      </c>
      <c r="AF8" s="164"/>
      <c r="AG8" s="166"/>
      <c r="AH8" s="167"/>
      <c r="AI8" s="166"/>
      <c r="AJ8" s="164"/>
      <c r="AK8" s="191"/>
      <c r="AL8" s="188"/>
      <c r="AM8" s="169"/>
      <c r="AN8" s="170"/>
      <c r="AO8" s="170"/>
    </row>
    <row r="9" spans="1:41" ht="6.75" hidden="1" customHeight="1" x14ac:dyDescent="0.25">
      <c r="A9" s="150"/>
      <c r="B9" s="153"/>
      <c r="C9" s="205"/>
      <c r="D9" s="207"/>
      <c r="E9" s="201"/>
      <c r="F9" s="208"/>
      <c r="G9" s="182"/>
      <c r="H9" s="182"/>
      <c r="I9" s="182"/>
      <c r="J9" s="185"/>
      <c r="K9" s="195"/>
      <c r="L9" s="195"/>
      <c r="M9" s="172"/>
      <c r="N9" s="9"/>
      <c r="O9" s="169"/>
      <c r="P9" s="169"/>
      <c r="Q9" s="174"/>
      <c r="R9" s="176"/>
      <c r="S9" s="201"/>
      <c r="T9" s="176"/>
      <c r="U9" s="174"/>
      <c r="V9" s="169"/>
      <c r="W9" s="11"/>
      <c r="X9" s="176"/>
      <c r="Y9" s="12"/>
      <c r="Z9" s="12"/>
      <c r="AA9" s="12"/>
      <c r="AB9" s="13"/>
      <c r="AC9" s="179"/>
      <c r="AE9" s="10"/>
      <c r="AF9" s="164"/>
      <c r="AG9" s="166"/>
      <c r="AH9" s="167"/>
      <c r="AI9" s="166"/>
      <c r="AJ9" s="164"/>
      <c r="AK9" s="191"/>
      <c r="AL9" s="188"/>
      <c r="AM9" s="169"/>
      <c r="AN9" s="14"/>
      <c r="AO9" s="14"/>
    </row>
    <row r="10" spans="1:41" ht="10.5" hidden="1" customHeight="1" x14ac:dyDescent="0.25">
      <c r="A10" s="151"/>
      <c r="B10" s="154"/>
      <c r="C10" s="206"/>
      <c r="D10" s="207"/>
      <c r="E10" s="202"/>
      <c r="F10" s="208"/>
      <c r="G10" s="183"/>
      <c r="H10" s="183"/>
      <c r="I10" s="183"/>
      <c r="J10" s="186"/>
      <c r="K10" s="196"/>
      <c r="L10" s="196"/>
      <c r="M10" s="173"/>
      <c r="N10" s="15"/>
      <c r="O10" s="170"/>
      <c r="P10" s="170"/>
      <c r="Q10" s="174"/>
      <c r="R10" s="177"/>
      <c r="S10" s="202"/>
      <c r="T10" s="177"/>
      <c r="U10" s="174"/>
      <c r="V10" s="170"/>
      <c r="W10" s="11"/>
      <c r="X10" s="177"/>
      <c r="Y10" s="12"/>
      <c r="Z10" s="12"/>
      <c r="AA10" s="12"/>
      <c r="AB10" s="13"/>
      <c r="AC10" s="180"/>
      <c r="AE10" s="16"/>
      <c r="AF10" s="165"/>
      <c r="AG10" s="166"/>
      <c r="AH10" s="167"/>
      <c r="AI10" s="166"/>
      <c r="AJ10" s="165"/>
      <c r="AK10" s="192"/>
      <c r="AL10" s="189"/>
      <c r="AM10" s="170"/>
      <c r="AN10" s="14"/>
      <c r="AO10" s="14"/>
    </row>
    <row r="11" spans="1:41" s="26" customFormat="1" ht="24.75" customHeight="1" x14ac:dyDescent="0.25">
      <c r="A11" s="17">
        <v>1</v>
      </c>
      <c r="B11" s="18">
        <v>2</v>
      </c>
      <c r="C11" s="17">
        <v>3</v>
      </c>
      <c r="D11" s="17">
        <v>4</v>
      </c>
      <c r="E11" s="19" t="s">
        <v>42</v>
      </c>
      <c r="F11" s="20">
        <v>6</v>
      </c>
      <c r="G11" s="21">
        <v>7</v>
      </c>
      <c r="H11" s="21">
        <v>8</v>
      </c>
      <c r="I11" s="21" t="s">
        <v>43</v>
      </c>
      <c r="J11" s="22">
        <v>10</v>
      </c>
      <c r="K11" s="21">
        <v>11</v>
      </c>
      <c r="L11" s="21">
        <v>12</v>
      </c>
      <c r="M11" s="21">
        <v>13</v>
      </c>
      <c r="N11" s="22">
        <v>14</v>
      </c>
      <c r="O11" s="17">
        <v>15</v>
      </c>
      <c r="P11" s="17">
        <v>16</v>
      </c>
      <c r="Q11" s="17" t="s">
        <v>44</v>
      </c>
      <c r="R11" s="23">
        <v>18</v>
      </c>
      <c r="S11" s="17">
        <v>19</v>
      </c>
      <c r="T11" s="23">
        <v>20</v>
      </c>
      <c r="U11" s="17">
        <v>21</v>
      </c>
      <c r="V11" s="17">
        <v>22</v>
      </c>
      <c r="W11" s="17" t="s">
        <v>45</v>
      </c>
      <c r="X11" s="23">
        <v>24</v>
      </c>
      <c r="Y11" s="24">
        <v>25</v>
      </c>
      <c r="Z11" s="24">
        <v>26</v>
      </c>
      <c r="AA11" s="24">
        <v>27</v>
      </c>
      <c r="AB11" s="13">
        <v>28</v>
      </c>
      <c r="AC11" s="17">
        <v>29</v>
      </c>
      <c r="AD11" s="24" t="s">
        <v>46</v>
      </c>
      <c r="AE11" s="23">
        <v>31</v>
      </c>
      <c r="AF11" s="17">
        <v>32</v>
      </c>
      <c r="AG11" s="23">
        <v>33</v>
      </c>
      <c r="AH11" s="17">
        <v>34</v>
      </c>
      <c r="AI11" s="23">
        <v>35</v>
      </c>
      <c r="AJ11" s="17">
        <v>36</v>
      </c>
      <c r="AK11" s="23">
        <v>37</v>
      </c>
      <c r="AL11" s="25">
        <v>38</v>
      </c>
      <c r="AM11" s="17">
        <v>39</v>
      </c>
      <c r="AN11" s="17">
        <v>40</v>
      </c>
      <c r="AO11" s="17">
        <v>41</v>
      </c>
    </row>
    <row r="12" spans="1:41" ht="15" customHeight="1" x14ac:dyDescent="0.25">
      <c r="A12" s="27"/>
      <c r="B12" s="28" t="s">
        <v>47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 t="s">
        <v>48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30"/>
      <c r="AD12" s="30"/>
      <c r="AE12" s="30"/>
      <c r="AF12" s="27"/>
      <c r="AG12" s="27"/>
      <c r="AH12" s="27"/>
      <c r="AI12" s="27"/>
      <c r="AJ12" s="27"/>
      <c r="AK12" s="27"/>
      <c r="AL12" s="31"/>
      <c r="AM12" s="31"/>
      <c r="AN12" s="31"/>
      <c r="AO12" s="31"/>
    </row>
    <row r="13" spans="1:41" ht="15" customHeight="1" x14ac:dyDescent="0.25">
      <c r="A13" s="4"/>
      <c r="B13" s="18" t="s">
        <v>49</v>
      </c>
      <c r="C13" s="32">
        <f>7028.9-250</f>
        <v>6778.9</v>
      </c>
      <c r="D13" s="32">
        <v>7062.9</v>
      </c>
      <c r="E13" s="32">
        <f>D13/C13</f>
        <v>1.041894702680376</v>
      </c>
      <c r="F13" s="33">
        <f>(E13-1)/(1.7-1)</f>
        <v>5.9849575257679984E-2</v>
      </c>
      <c r="G13" s="34">
        <v>634.70000000000005</v>
      </c>
      <c r="H13" s="34">
        <v>739.1</v>
      </c>
      <c r="I13" s="34">
        <f>G13/H13</f>
        <v>0.85874712488161276</v>
      </c>
      <c r="J13" s="35">
        <f>(I13-0.1)/(10.4-0.1)</f>
        <v>7.3664769405981823E-2</v>
      </c>
      <c r="K13" s="36">
        <f>613.8+227.9</f>
        <v>841.69999999999993</v>
      </c>
      <c r="L13" s="36">
        <f>277.6+1099.3</f>
        <v>1376.9</v>
      </c>
      <c r="M13" s="37">
        <f>K13/L13</f>
        <v>0.61130074805722989</v>
      </c>
      <c r="N13" s="35">
        <f>(5.51-M13)/(5.51-0.06)</f>
        <v>0.89884389943904019</v>
      </c>
      <c r="O13" s="32">
        <v>13764.9</v>
      </c>
      <c r="P13" s="32">
        <v>12243.2</v>
      </c>
      <c r="Q13" s="38">
        <f>(O13-P13)/O13</f>
        <v>0.11054929567232591</v>
      </c>
      <c r="R13" s="39">
        <f>(0.846-Q13)/(0.846-0.111)</f>
        <v>1.0006132031669035</v>
      </c>
      <c r="S13" s="32" t="s">
        <v>50</v>
      </c>
      <c r="T13" s="39">
        <v>1</v>
      </c>
      <c r="U13" s="32">
        <v>5378.2</v>
      </c>
      <c r="V13" s="32">
        <v>6965.4</v>
      </c>
      <c r="W13" s="32">
        <f>U13/V13</f>
        <v>0.77213081804347206</v>
      </c>
      <c r="X13" s="39">
        <f>(9.4-W13)/(9.4-0.6)</f>
        <v>0.98043967976778723</v>
      </c>
      <c r="Y13" s="34">
        <v>5646.3</v>
      </c>
      <c r="Z13" s="34">
        <v>5103.1000000000004</v>
      </c>
      <c r="AA13" s="34">
        <f>Y13/Z13</f>
        <v>1.1064451019968253</v>
      </c>
      <c r="AB13" s="40">
        <f>(AA13-0.8)/(2.5-0.8)</f>
        <v>0.18026182470401489</v>
      </c>
      <c r="AC13" s="41" t="s">
        <v>51</v>
      </c>
      <c r="AD13" s="42" t="s">
        <v>52</v>
      </c>
      <c r="AE13" s="43" t="s">
        <v>52</v>
      </c>
      <c r="AF13" s="44" t="s">
        <v>53</v>
      </c>
      <c r="AG13" s="45">
        <v>1</v>
      </c>
      <c r="AH13" s="44" t="s">
        <v>50</v>
      </c>
      <c r="AI13" s="45">
        <v>1</v>
      </c>
      <c r="AJ13" s="44" t="s">
        <v>50</v>
      </c>
      <c r="AK13" s="46">
        <v>1</v>
      </c>
      <c r="AL13" s="47">
        <f>F13+J13+N13+R13+T13+X13+AB13+AE13+AG13+AI13+AK13/11</f>
        <v>7.2845820426504986</v>
      </c>
      <c r="AM13" s="48">
        <f>AL13/100*30+AL13</f>
        <v>9.4699566554456478</v>
      </c>
      <c r="AN13" s="48">
        <f>AL13-AL13/100*30</f>
        <v>5.0992074298553494</v>
      </c>
      <c r="AO13" s="4">
        <v>1</v>
      </c>
    </row>
    <row r="14" spans="1:41" ht="15" customHeight="1" x14ac:dyDescent="0.25">
      <c r="A14" s="4"/>
      <c r="B14" s="18" t="s">
        <v>54</v>
      </c>
      <c r="C14" s="32">
        <v>445</v>
      </c>
      <c r="D14" s="32">
        <v>445</v>
      </c>
      <c r="E14" s="32">
        <f t="shared" ref="E14:E28" si="0">D14/C14</f>
        <v>1</v>
      </c>
      <c r="F14" s="33">
        <f t="shared" ref="F14:F23" si="1">(E14-1)/(1.7-1)</f>
        <v>0</v>
      </c>
      <c r="G14" s="34">
        <v>19</v>
      </c>
      <c r="H14" s="34">
        <v>64.599999999999994</v>
      </c>
      <c r="I14" s="34">
        <f t="shared" ref="I14:I28" si="2">G14/H14</f>
        <v>0.29411764705882354</v>
      </c>
      <c r="J14" s="35">
        <f t="shared" ref="J14:J23" si="3">(I14-0.1)/(10.4-0.1)</f>
        <v>1.8846373500856651E-2</v>
      </c>
      <c r="K14" s="36">
        <f>1.9+3.8</f>
        <v>5.6999999999999993</v>
      </c>
      <c r="L14" s="36">
        <f>3.2+65</f>
        <v>68.2</v>
      </c>
      <c r="M14" s="37">
        <f t="shared" ref="M14:M22" si="4">K14/L14</f>
        <v>8.3577712609970656E-2</v>
      </c>
      <c r="N14" s="35">
        <f t="shared" ref="N14:N28" si="5">(5.51-M14)/(5.51-0.06)</f>
        <v>0.99567381420000522</v>
      </c>
      <c r="O14" s="32">
        <v>2335.6999999999998</v>
      </c>
      <c r="P14" s="32">
        <v>2057.1999999999998</v>
      </c>
      <c r="Q14" s="38">
        <f t="shared" ref="Q14:Q28" si="6">(O14-P14)/O14</f>
        <v>0.11923620327953077</v>
      </c>
      <c r="R14" s="39">
        <f t="shared" ref="R14:R28" si="7">(0.846-Q14)/(0.846-0.111)</f>
        <v>0.98879428125233904</v>
      </c>
      <c r="S14" s="32" t="s">
        <v>50</v>
      </c>
      <c r="T14" s="39">
        <v>1</v>
      </c>
      <c r="U14" s="32">
        <v>1659.8</v>
      </c>
      <c r="V14" s="32">
        <v>452.5</v>
      </c>
      <c r="W14" s="32">
        <f t="shared" ref="W14:W23" si="8">U14/V14</f>
        <v>3.6680662983425414</v>
      </c>
      <c r="X14" s="39">
        <f t="shared" ref="X14:X28" si="9">(9.4-W14)/(9.4-0.6)</f>
        <v>0.65135610246107478</v>
      </c>
      <c r="Y14" s="34">
        <v>261.2</v>
      </c>
      <c r="Z14" s="34">
        <v>215.5</v>
      </c>
      <c r="AA14" s="34">
        <f t="shared" ref="AA14:AA22" si="10">Y14/Z14</f>
        <v>1.2120649651972157</v>
      </c>
      <c r="AB14" s="40">
        <f t="shared" ref="AB14:AB28" si="11">(AA14-0.8)/(2.5-0.8)</f>
        <v>0.24239115599836217</v>
      </c>
      <c r="AC14" s="41" t="s">
        <v>51</v>
      </c>
      <c r="AD14" s="42" t="s">
        <v>52</v>
      </c>
      <c r="AE14" s="43" t="s">
        <v>52</v>
      </c>
      <c r="AF14" s="44" t="s">
        <v>53</v>
      </c>
      <c r="AG14" s="45">
        <v>1</v>
      </c>
      <c r="AH14" s="44" t="s">
        <v>50</v>
      </c>
      <c r="AI14" s="45">
        <v>1</v>
      </c>
      <c r="AJ14" s="44" t="s">
        <v>50</v>
      </c>
      <c r="AK14" s="46">
        <v>1</v>
      </c>
      <c r="AL14" s="47">
        <f t="shared" ref="AL14:AL22" si="12">F14+J14+N14+R14+T14+X14+AB14+AE14+AG14+AI14+AK14/11</f>
        <v>6.9879708183217284</v>
      </c>
      <c r="AM14" s="48">
        <f t="shared" ref="AM14:AM26" si="13">AL14/100*30+AL14</f>
        <v>9.0843620638182472</v>
      </c>
      <c r="AN14" s="48">
        <f t="shared" ref="AN14:AN26" si="14">AL14-AL14/100*30</f>
        <v>4.8915795728252096</v>
      </c>
      <c r="AO14" s="4">
        <v>1</v>
      </c>
    </row>
    <row r="15" spans="1:41" ht="15" customHeight="1" x14ac:dyDescent="0.25">
      <c r="A15" s="4"/>
      <c r="B15" s="18" t="s">
        <v>55</v>
      </c>
      <c r="C15" s="32">
        <v>937.7</v>
      </c>
      <c r="D15" s="32">
        <v>956</v>
      </c>
      <c r="E15" s="32">
        <f t="shared" si="0"/>
        <v>1.0195158366215207</v>
      </c>
      <c r="F15" s="33">
        <f t="shared" si="1"/>
        <v>2.7879766602172399E-2</v>
      </c>
      <c r="G15" s="34">
        <v>171.5</v>
      </c>
      <c r="H15" s="34">
        <v>171.5</v>
      </c>
      <c r="I15" s="34">
        <f t="shared" si="2"/>
        <v>1</v>
      </c>
      <c r="J15" s="35">
        <f t="shared" si="3"/>
        <v>8.7378640776699032E-2</v>
      </c>
      <c r="K15" s="36">
        <f>10.2+21.1</f>
        <v>31.3</v>
      </c>
      <c r="L15" s="36">
        <f>20.3+75.5</f>
        <v>95.8</v>
      </c>
      <c r="M15" s="37">
        <f t="shared" si="4"/>
        <v>0.3267223382045929</v>
      </c>
      <c r="N15" s="35">
        <f t="shared" si="5"/>
        <v>0.9510601214303499</v>
      </c>
      <c r="O15" s="32">
        <v>6132.4</v>
      </c>
      <c r="P15" s="32">
        <v>5305.9</v>
      </c>
      <c r="Q15" s="38">
        <f t="shared" si="6"/>
        <v>0.13477594416541649</v>
      </c>
      <c r="R15" s="39">
        <f t="shared" si="7"/>
        <v>0.9676517766456918</v>
      </c>
      <c r="S15" s="32" t="s">
        <v>50</v>
      </c>
      <c r="T15" s="39">
        <v>1</v>
      </c>
      <c r="U15" s="32">
        <v>4621.5</v>
      </c>
      <c r="V15" s="32">
        <v>799.2</v>
      </c>
      <c r="W15" s="32">
        <f t="shared" si="8"/>
        <v>5.7826576576576576</v>
      </c>
      <c r="X15" s="39">
        <f t="shared" si="9"/>
        <v>0.4110616298116298</v>
      </c>
      <c r="Y15" s="34">
        <v>448</v>
      </c>
      <c r="Z15" s="34">
        <v>440.9</v>
      </c>
      <c r="AA15" s="34">
        <f t="shared" si="10"/>
        <v>1.0161034248128828</v>
      </c>
      <c r="AB15" s="40">
        <f t="shared" si="11"/>
        <v>0.12711966165463695</v>
      </c>
      <c r="AC15" s="41" t="s">
        <v>51</v>
      </c>
      <c r="AD15" s="42" t="s">
        <v>52</v>
      </c>
      <c r="AE15" s="43" t="s">
        <v>52</v>
      </c>
      <c r="AF15" s="44" t="s">
        <v>53</v>
      </c>
      <c r="AG15" s="45">
        <v>1</v>
      </c>
      <c r="AH15" s="44" t="s">
        <v>50</v>
      </c>
      <c r="AI15" s="45">
        <v>1</v>
      </c>
      <c r="AJ15" s="44" t="s">
        <v>50</v>
      </c>
      <c r="AK15" s="46">
        <v>1</v>
      </c>
      <c r="AL15" s="47">
        <f t="shared" si="12"/>
        <v>6.6630606878302698</v>
      </c>
      <c r="AM15" s="48">
        <f t="shared" si="13"/>
        <v>8.6619788941793505</v>
      </c>
      <c r="AN15" s="48">
        <f t="shared" si="14"/>
        <v>4.6641424814811892</v>
      </c>
      <c r="AO15" s="4">
        <v>2</v>
      </c>
    </row>
    <row r="16" spans="1:41" ht="15" customHeight="1" x14ac:dyDescent="0.25">
      <c r="A16" s="4"/>
      <c r="B16" s="18" t="s">
        <v>56</v>
      </c>
      <c r="C16" s="32">
        <f>3943.7-150</f>
        <v>3793.7</v>
      </c>
      <c r="D16" s="32">
        <v>3833.7</v>
      </c>
      <c r="E16" s="32">
        <f t="shared" si="0"/>
        <v>1.0105437962938557</v>
      </c>
      <c r="F16" s="33">
        <f t="shared" si="1"/>
        <v>1.5062566134079589E-2</v>
      </c>
      <c r="G16" s="34">
        <v>254.4</v>
      </c>
      <c r="H16" s="34">
        <v>265.10000000000002</v>
      </c>
      <c r="I16" s="34">
        <f t="shared" si="2"/>
        <v>0.95963787250094301</v>
      </c>
      <c r="J16" s="35">
        <f t="shared" si="3"/>
        <v>8.3459987621450779E-2</v>
      </c>
      <c r="K16" s="36">
        <f>43+17.1</f>
        <v>60.1</v>
      </c>
      <c r="L16" s="36">
        <f>42.6+1026.5</f>
        <v>1069.0999999999999</v>
      </c>
      <c r="M16" s="37">
        <f t="shared" si="4"/>
        <v>5.6215508371527459E-2</v>
      </c>
      <c r="N16" s="35">
        <f t="shared" si="5"/>
        <v>1.0006944021336646</v>
      </c>
      <c r="O16" s="32">
        <v>6506.3</v>
      </c>
      <c r="P16" s="32">
        <v>5190.2</v>
      </c>
      <c r="Q16" s="38">
        <f t="shared" si="6"/>
        <v>0.20228086623733924</v>
      </c>
      <c r="R16" s="39">
        <f t="shared" si="7"/>
        <v>0.87580834525532081</v>
      </c>
      <c r="S16" s="32" t="s">
        <v>50</v>
      </c>
      <c r="T16" s="39">
        <v>1</v>
      </c>
      <c r="U16" s="32">
        <v>2145.6999999999998</v>
      </c>
      <c r="V16" s="32">
        <v>3074.4</v>
      </c>
      <c r="W16" s="32">
        <f t="shared" si="8"/>
        <v>0.69792479833463428</v>
      </c>
      <c r="X16" s="39">
        <f t="shared" si="9"/>
        <v>0.98887218200742788</v>
      </c>
      <c r="Y16" s="34">
        <v>2783.2</v>
      </c>
      <c r="Z16" s="34">
        <v>3227.8</v>
      </c>
      <c r="AA16" s="34">
        <f t="shared" si="10"/>
        <v>0.86225912386145354</v>
      </c>
      <c r="AB16" s="40">
        <f t="shared" si="11"/>
        <v>3.6623014036149114E-2</v>
      </c>
      <c r="AC16" s="41" t="s">
        <v>51</v>
      </c>
      <c r="AD16" s="42" t="s">
        <v>52</v>
      </c>
      <c r="AE16" s="43" t="s">
        <v>52</v>
      </c>
      <c r="AF16" s="44" t="s">
        <v>53</v>
      </c>
      <c r="AG16" s="45">
        <v>1</v>
      </c>
      <c r="AH16" s="44" t="s">
        <v>50</v>
      </c>
      <c r="AI16" s="45">
        <v>1</v>
      </c>
      <c r="AJ16" s="44" t="s">
        <v>50</v>
      </c>
      <c r="AK16" s="46">
        <v>1</v>
      </c>
      <c r="AL16" s="47">
        <f t="shared" si="12"/>
        <v>7.0914295880971832</v>
      </c>
      <c r="AM16" s="48">
        <f t="shared" si="13"/>
        <v>9.2188584645263383</v>
      </c>
      <c r="AN16" s="48">
        <f t="shared" si="14"/>
        <v>4.964000711668028</v>
      </c>
      <c r="AO16" s="4">
        <v>1</v>
      </c>
    </row>
    <row r="17" spans="1:41" ht="15" customHeight="1" x14ac:dyDescent="0.25">
      <c r="A17" s="4"/>
      <c r="B17" s="18" t="s">
        <v>57</v>
      </c>
      <c r="C17" s="32">
        <f>4811-50</f>
        <v>4761</v>
      </c>
      <c r="D17" s="32">
        <v>4731</v>
      </c>
      <c r="E17" s="32">
        <f t="shared" si="0"/>
        <v>0.99369880277252676</v>
      </c>
      <c r="F17" s="33">
        <f t="shared" si="1"/>
        <v>-9.0017103249617758E-3</v>
      </c>
      <c r="G17" s="34">
        <v>144.5</v>
      </c>
      <c r="H17" s="34">
        <v>88.4</v>
      </c>
      <c r="I17" s="34">
        <f t="shared" si="2"/>
        <v>1.6346153846153846</v>
      </c>
      <c r="J17" s="35">
        <f t="shared" si="3"/>
        <v>0.14899178491411499</v>
      </c>
      <c r="K17" s="36">
        <f>91.5+71.4</f>
        <v>162.9</v>
      </c>
      <c r="L17" s="36">
        <f>80.3+737.5</f>
        <v>817.8</v>
      </c>
      <c r="M17" s="37">
        <f t="shared" si="4"/>
        <v>0.19919295671313281</v>
      </c>
      <c r="N17" s="35">
        <f t="shared" si="5"/>
        <v>0.97446000794254439</v>
      </c>
      <c r="O17" s="32">
        <v>8791.4</v>
      </c>
      <c r="P17" s="32">
        <v>7288.9</v>
      </c>
      <c r="Q17" s="38">
        <f t="shared" si="6"/>
        <v>0.17090565780194281</v>
      </c>
      <c r="R17" s="39">
        <f t="shared" si="7"/>
        <v>0.91849570367082611</v>
      </c>
      <c r="S17" s="32" t="s">
        <v>50</v>
      </c>
      <c r="T17" s="39">
        <v>1</v>
      </c>
      <c r="U17" s="32">
        <v>3678.7</v>
      </c>
      <c r="V17" s="32">
        <v>4002.2</v>
      </c>
      <c r="W17" s="32">
        <f t="shared" si="8"/>
        <v>0.91916945679876072</v>
      </c>
      <c r="X17" s="39">
        <f t="shared" si="9"/>
        <v>0.96373074354559529</v>
      </c>
      <c r="Y17" s="34">
        <v>2197.6999999999998</v>
      </c>
      <c r="Z17" s="34">
        <v>1945.8</v>
      </c>
      <c r="AA17" s="34">
        <f t="shared" si="10"/>
        <v>1.1294583204851474</v>
      </c>
      <c r="AB17" s="40">
        <f t="shared" si="11"/>
        <v>0.19379901205008668</v>
      </c>
      <c r="AC17" s="41" t="s">
        <v>51</v>
      </c>
      <c r="AD17" s="42" t="s">
        <v>52</v>
      </c>
      <c r="AE17" s="43" t="s">
        <v>52</v>
      </c>
      <c r="AF17" s="44" t="s">
        <v>53</v>
      </c>
      <c r="AG17" s="45">
        <v>1</v>
      </c>
      <c r="AH17" s="44" t="s">
        <v>50</v>
      </c>
      <c r="AI17" s="45">
        <v>1</v>
      </c>
      <c r="AJ17" s="44" t="s">
        <v>50</v>
      </c>
      <c r="AK17" s="46">
        <v>1</v>
      </c>
      <c r="AL17" s="47">
        <f t="shared" si="12"/>
        <v>7.2813846327072964</v>
      </c>
      <c r="AM17" s="48">
        <f t="shared" si="13"/>
        <v>9.4658000225194847</v>
      </c>
      <c r="AN17" s="48">
        <f t="shared" si="14"/>
        <v>5.0969692428951072</v>
      </c>
      <c r="AO17" s="4">
        <v>1</v>
      </c>
    </row>
    <row r="18" spans="1:41" ht="15" customHeight="1" x14ac:dyDescent="0.25">
      <c r="A18" s="4"/>
      <c r="B18" s="18" t="s">
        <v>58</v>
      </c>
      <c r="C18" s="32">
        <v>3184.8</v>
      </c>
      <c r="D18" s="32">
        <v>3184.8</v>
      </c>
      <c r="E18" s="32">
        <f t="shared" si="0"/>
        <v>1</v>
      </c>
      <c r="F18" s="33">
        <f t="shared" si="1"/>
        <v>0</v>
      </c>
      <c r="G18" s="34">
        <v>117.6</v>
      </c>
      <c r="H18" s="34">
        <v>313.7</v>
      </c>
      <c r="I18" s="34">
        <f t="shared" si="2"/>
        <v>0.37488045903729678</v>
      </c>
      <c r="J18" s="35">
        <f t="shared" si="3"/>
        <v>2.6687423207504536E-2</v>
      </c>
      <c r="K18" s="36">
        <f>401.6+42.6</f>
        <v>444.20000000000005</v>
      </c>
      <c r="L18" s="36">
        <f>24.6+56</f>
        <v>80.599999999999994</v>
      </c>
      <c r="M18" s="37">
        <f t="shared" si="4"/>
        <v>5.511166253101738</v>
      </c>
      <c r="N18" s="35">
        <f t="shared" si="5"/>
        <v>-2.1399139481435503E-4</v>
      </c>
      <c r="O18" s="32">
        <v>9237.2000000000007</v>
      </c>
      <c r="P18" s="32">
        <v>7117.7</v>
      </c>
      <c r="Q18" s="38">
        <f t="shared" si="6"/>
        <v>0.22945264798856804</v>
      </c>
      <c r="R18" s="39">
        <f t="shared" si="7"/>
        <v>0.8388399347094313</v>
      </c>
      <c r="S18" s="32" t="s">
        <v>50</v>
      </c>
      <c r="T18" s="39">
        <v>1</v>
      </c>
      <c r="U18" s="32">
        <v>5153.8</v>
      </c>
      <c r="V18" s="32">
        <v>2129.6999999999998</v>
      </c>
      <c r="W18" s="32">
        <f t="shared" si="8"/>
        <v>2.4199652533220646</v>
      </c>
      <c r="X18" s="39">
        <f t="shared" si="9"/>
        <v>0.79318576666794716</v>
      </c>
      <c r="Y18" s="34">
        <v>1318.8</v>
      </c>
      <c r="Z18" s="34">
        <v>1632.6</v>
      </c>
      <c r="AA18" s="34">
        <f t="shared" si="10"/>
        <v>0.80779125321572953</v>
      </c>
      <c r="AB18" s="40">
        <f t="shared" si="11"/>
        <v>4.5830901268996988E-3</v>
      </c>
      <c r="AC18" s="41" t="s">
        <v>51</v>
      </c>
      <c r="AD18" s="42" t="s">
        <v>52</v>
      </c>
      <c r="AE18" s="43" t="s">
        <v>52</v>
      </c>
      <c r="AF18" s="44" t="s">
        <v>53</v>
      </c>
      <c r="AG18" s="45">
        <v>1</v>
      </c>
      <c r="AH18" s="44" t="s">
        <v>50</v>
      </c>
      <c r="AI18" s="45">
        <v>1</v>
      </c>
      <c r="AJ18" s="44" t="s">
        <v>50</v>
      </c>
      <c r="AK18" s="46">
        <v>1</v>
      </c>
      <c r="AL18" s="47">
        <f t="shared" si="12"/>
        <v>5.7539913142260586</v>
      </c>
      <c r="AM18" s="48">
        <f t="shared" si="13"/>
        <v>7.4801887084938761</v>
      </c>
      <c r="AN18" s="48">
        <f t="shared" si="14"/>
        <v>4.0277939199582411</v>
      </c>
      <c r="AO18" s="4">
        <v>3</v>
      </c>
    </row>
    <row r="19" spans="1:41" ht="15" customHeight="1" x14ac:dyDescent="0.25">
      <c r="A19" s="4"/>
      <c r="B19" s="18" t="s">
        <v>59</v>
      </c>
      <c r="C19" s="32">
        <f>3377.9-182.1</f>
        <v>3195.8</v>
      </c>
      <c r="D19" s="32">
        <v>3312.7</v>
      </c>
      <c r="E19" s="32">
        <f t="shared" si="0"/>
        <v>1.0365792602791162</v>
      </c>
      <c r="F19" s="33">
        <f t="shared" si="1"/>
        <v>5.2256086113023112E-2</v>
      </c>
      <c r="G19" s="34">
        <v>286.10000000000002</v>
      </c>
      <c r="H19" s="34">
        <v>27.4</v>
      </c>
      <c r="I19" s="34">
        <f t="shared" si="2"/>
        <v>10.441605839416059</v>
      </c>
      <c r="J19" s="35">
        <f t="shared" si="3"/>
        <v>1.0040394018850543</v>
      </c>
      <c r="K19" s="36">
        <f>102.6+55.7</f>
        <v>158.30000000000001</v>
      </c>
      <c r="L19" s="36">
        <f>72+198.7</f>
        <v>270.7</v>
      </c>
      <c r="M19" s="37">
        <f t="shared" si="4"/>
        <v>0.58478019948282234</v>
      </c>
      <c r="N19" s="35">
        <f t="shared" si="5"/>
        <v>0.90371005514076641</v>
      </c>
      <c r="O19" s="32">
        <v>19539.8</v>
      </c>
      <c r="P19" s="32">
        <v>14132.2</v>
      </c>
      <c r="Q19" s="38">
        <f t="shared" si="6"/>
        <v>0.27674797080829888</v>
      </c>
      <c r="R19" s="39">
        <f t="shared" si="7"/>
        <v>0.77449255672340289</v>
      </c>
      <c r="S19" s="32" t="s">
        <v>50</v>
      </c>
      <c r="T19" s="39">
        <v>1</v>
      </c>
      <c r="U19" s="32">
        <v>13062.4</v>
      </c>
      <c r="V19" s="32">
        <v>2908.4</v>
      </c>
      <c r="W19" s="32">
        <f t="shared" si="8"/>
        <v>4.4912666758355106</v>
      </c>
      <c r="X19" s="39">
        <f t="shared" si="9"/>
        <v>0.55781060501869195</v>
      </c>
      <c r="Y19" s="34">
        <v>2174.6</v>
      </c>
      <c r="Z19" s="34">
        <v>2054.3000000000002</v>
      </c>
      <c r="AA19" s="34">
        <f t="shared" si="10"/>
        <v>1.0585600934624932</v>
      </c>
      <c r="AB19" s="40">
        <f t="shared" si="11"/>
        <v>0.152094172624996</v>
      </c>
      <c r="AC19" s="41" t="s">
        <v>51</v>
      </c>
      <c r="AD19" s="42" t="s">
        <v>52</v>
      </c>
      <c r="AE19" s="43" t="s">
        <v>52</v>
      </c>
      <c r="AF19" s="44" t="s">
        <v>53</v>
      </c>
      <c r="AG19" s="45">
        <v>1</v>
      </c>
      <c r="AH19" s="44" t="s">
        <v>50</v>
      </c>
      <c r="AI19" s="45">
        <v>1</v>
      </c>
      <c r="AJ19" s="44" t="s">
        <v>50</v>
      </c>
      <c r="AK19" s="46">
        <v>1</v>
      </c>
      <c r="AL19" s="47">
        <f t="shared" si="12"/>
        <v>7.5353119684150256</v>
      </c>
      <c r="AM19" s="48">
        <f t="shared" si="13"/>
        <v>9.7959055589395341</v>
      </c>
      <c r="AN19" s="48">
        <f t="shared" si="14"/>
        <v>5.274718377890518</v>
      </c>
      <c r="AO19" s="4">
        <v>1</v>
      </c>
    </row>
    <row r="20" spans="1:41" ht="15" customHeight="1" x14ac:dyDescent="0.25">
      <c r="A20" s="4"/>
      <c r="B20" s="18" t="s">
        <v>60</v>
      </c>
      <c r="C20" s="32">
        <v>566.29999999999995</v>
      </c>
      <c r="D20" s="32">
        <v>566.29999999999995</v>
      </c>
      <c r="E20" s="32">
        <f t="shared" si="0"/>
        <v>1</v>
      </c>
      <c r="F20" s="33">
        <f t="shared" si="1"/>
        <v>0</v>
      </c>
      <c r="G20" s="34">
        <v>16.5</v>
      </c>
      <c r="H20" s="34">
        <v>142.30000000000001</v>
      </c>
      <c r="I20" s="34">
        <f t="shared" si="2"/>
        <v>0.11595221363316935</v>
      </c>
      <c r="J20" s="35">
        <f t="shared" si="3"/>
        <v>1.5487586051620721E-3</v>
      </c>
      <c r="K20" s="36">
        <f>0.1+0.7</f>
        <v>0.79999999999999993</v>
      </c>
      <c r="L20" s="36">
        <f>0.6+1.8</f>
        <v>2.4</v>
      </c>
      <c r="M20" s="37">
        <f t="shared" si="4"/>
        <v>0.33333333333333331</v>
      </c>
      <c r="N20" s="35">
        <f t="shared" si="5"/>
        <v>0.9498470948012232</v>
      </c>
      <c r="O20" s="32">
        <v>3133.7</v>
      </c>
      <c r="P20" s="32">
        <v>2539</v>
      </c>
      <c r="Q20" s="38">
        <f t="shared" si="6"/>
        <v>0.18977566454989306</v>
      </c>
      <c r="R20" s="39">
        <f t="shared" si="7"/>
        <v>0.89282222510218634</v>
      </c>
      <c r="S20" s="32" t="s">
        <v>50</v>
      </c>
      <c r="T20" s="39">
        <v>1</v>
      </c>
      <c r="U20" s="32">
        <v>2224</v>
      </c>
      <c r="V20" s="32">
        <v>448.6</v>
      </c>
      <c r="W20" s="32">
        <f t="shared" si="8"/>
        <v>4.9576460098082924</v>
      </c>
      <c r="X20" s="39">
        <f t="shared" si="9"/>
        <v>0.50481295343087584</v>
      </c>
      <c r="Y20" s="34">
        <v>131.69999999999999</v>
      </c>
      <c r="Z20" s="34">
        <v>127</v>
      </c>
      <c r="AA20" s="34">
        <f t="shared" si="10"/>
        <v>1.037007874015748</v>
      </c>
      <c r="AB20" s="40">
        <f t="shared" si="11"/>
        <v>0.13941639647985174</v>
      </c>
      <c r="AC20" s="41" t="s">
        <v>51</v>
      </c>
      <c r="AD20" s="42" t="s">
        <v>52</v>
      </c>
      <c r="AE20" s="43" t="s">
        <v>52</v>
      </c>
      <c r="AF20" s="44" t="s">
        <v>53</v>
      </c>
      <c r="AG20" s="45">
        <v>1</v>
      </c>
      <c r="AH20" s="44" t="s">
        <v>50</v>
      </c>
      <c r="AI20" s="45">
        <v>1</v>
      </c>
      <c r="AJ20" s="44" t="s">
        <v>50</v>
      </c>
      <c r="AK20" s="46">
        <v>1</v>
      </c>
      <c r="AL20" s="47">
        <f t="shared" si="12"/>
        <v>6.5793565193283898</v>
      </c>
      <c r="AM20" s="48">
        <f t="shared" si="13"/>
        <v>8.5531634751269063</v>
      </c>
      <c r="AN20" s="48">
        <f t="shared" si="14"/>
        <v>4.6055495635298733</v>
      </c>
      <c r="AO20" s="4">
        <v>2</v>
      </c>
    </row>
    <row r="21" spans="1:41" ht="15" customHeight="1" x14ac:dyDescent="0.25">
      <c r="A21" s="4"/>
      <c r="B21" s="18" t="s">
        <v>61</v>
      </c>
      <c r="C21" s="32">
        <v>624</v>
      </c>
      <c r="D21" s="32">
        <v>630.1</v>
      </c>
      <c r="E21" s="32">
        <f t="shared" si="0"/>
        <v>1.0097756410256411</v>
      </c>
      <c r="F21" s="33">
        <f t="shared" si="1"/>
        <v>1.3965201465201575E-2</v>
      </c>
      <c r="G21" s="34">
        <v>7.5</v>
      </c>
      <c r="H21" s="34">
        <v>3</v>
      </c>
      <c r="I21" s="34">
        <f t="shared" si="2"/>
        <v>2.5</v>
      </c>
      <c r="J21" s="35">
        <f t="shared" si="3"/>
        <v>0.23300970873786406</v>
      </c>
      <c r="K21" s="36">
        <f>10.2</f>
        <v>10.199999999999999</v>
      </c>
      <c r="L21" s="36">
        <v>0.1</v>
      </c>
      <c r="M21" s="37">
        <v>0</v>
      </c>
      <c r="N21" s="35">
        <f t="shared" si="5"/>
        <v>1.0110091743119265</v>
      </c>
      <c r="O21" s="32">
        <v>3477.4</v>
      </c>
      <c r="P21" s="32">
        <v>2539</v>
      </c>
      <c r="Q21" s="38">
        <f t="shared" si="6"/>
        <v>0.26985678955541498</v>
      </c>
      <c r="R21" s="39">
        <f t="shared" si="7"/>
        <v>0.7838683135300476</v>
      </c>
      <c r="S21" s="32" t="s">
        <v>50</v>
      </c>
      <c r="T21" s="39">
        <v>1</v>
      </c>
      <c r="U21" s="32">
        <v>956.6</v>
      </c>
      <c r="V21" s="32">
        <v>514.5</v>
      </c>
      <c r="W21" s="32">
        <f t="shared" si="8"/>
        <v>1.8592808551992226</v>
      </c>
      <c r="X21" s="39">
        <f t="shared" si="9"/>
        <v>0.85689990281827011</v>
      </c>
      <c r="Y21" s="34">
        <v>52</v>
      </c>
      <c r="Z21" s="34">
        <v>21.2</v>
      </c>
      <c r="AA21" s="34">
        <f t="shared" si="10"/>
        <v>2.4528301886792452</v>
      </c>
      <c r="AB21" s="40">
        <f t="shared" si="11"/>
        <v>0.97225305216426183</v>
      </c>
      <c r="AC21" s="41" t="s">
        <v>51</v>
      </c>
      <c r="AD21" s="42" t="s">
        <v>52</v>
      </c>
      <c r="AE21" s="43" t="s">
        <v>52</v>
      </c>
      <c r="AF21" s="44" t="s">
        <v>53</v>
      </c>
      <c r="AG21" s="45">
        <v>1</v>
      </c>
      <c r="AH21" s="44" t="s">
        <v>62</v>
      </c>
      <c r="AI21" s="45">
        <v>0</v>
      </c>
      <c r="AJ21" s="44" t="s">
        <v>50</v>
      </c>
      <c r="AK21" s="46">
        <v>1</v>
      </c>
      <c r="AL21" s="47">
        <f t="shared" si="12"/>
        <v>6.9619144439366627</v>
      </c>
      <c r="AM21" s="48">
        <f t="shared" si="13"/>
        <v>9.0504887771176605</v>
      </c>
      <c r="AN21" s="48">
        <f t="shared" si="14"/>
        <v>4.873340110755664</v>
      </c>
      <c r="AO21" s="4">
        <v>1</v>
      </c>
    </row>
    <row r="22" spans="1:41" ht="15" customHeight="1" x14ac:dyDescent="0.25">
      <c r="A22" s="4"/>
      <c r="B22" s="18" t="s">
        <v>63</v>
      </c>
      <c r="C22" s="32">
        <v>171</v>
      </c>
      <c r="D22" s="32">
        <v>296</v>
      </c>
      <c r="E22" s="32">
        <f t="shared" si="0"/>
        <v>1.7309941520467835</v>
      </c>
      <c r="F22" s="33">
        <f t="shared" si="1"/>
        <v>1.0442773600668336</v>
      </c>
      <c r="G22" s="34">
        <v>100.7</v>
      </c>
      <c r="H22" s="34">
        <v>146.1</v>
      </c>
      <c r="I22" s="34">
        <f t="shared" si="2"/>
        <v>0.68925393566050652</v>
      </c>
      <c r="J22" s="35">
        <f t="shared" si="3"/>
        <v>5.7209119967039465E-2</v>
      </c>
      <c r="K22" s="36">
        <f>1.9+10.7</f>
        <v>12.6</v>
      </c>
      <c r="L22" s="36">
        <f>15.3+30.4</f>
        <v>45.7</v>
      </c>
      <c r="M22" s="37">
        <f t="shared" si="4"/>
        <v>0.27571115973741794</v>
      </c>
      <c r="N22" s="35">
        <f t="shared" si="5"/>
        <v>0.96041997069038187</v>
      </c>
      <c r="O22" s="32">
        <v>19655</v>
      </c>
      <c r="P22" s="32">
        <v>3021.1</v>
      </c>
      <c r="Q22" s="38">
        <f t="shared" si="6"/>
        <v>0.84629356397863142</v>
      </c>
      <c r="R22" s="39">
        <f t="shared" si="7"/>
        <v>-3.9940677364823179E-4</v>
      </c>
      <c r="S22" s="32" t="s">
        <v>50</v>
      </c>
      <c r="T22" s="39">
        <v>1</v>
      </c>
      <c r="U22" s="32">
        <v>2675.9</v>
      </c>
      <c r="V22" s="32">
        <v>285.3</v>
      </c>
      <c r="W22" s="32">
        <f t="shared" si="8"/>
        <v>9.3792499123729414</v>
      </c>
      <c r="X22" s="39">
        <f t="shared" si="9"/>
        <v>2.3579645030748849E-3</v>
      </c>
      <c r="Y22" s="34">
        <v>225.4</v>
      </c>
      <c r="Z22" s="34">
        <v>235.2</v>
      </c>
      <c r="AA22" s="34">
        <f t="shared" si="10"/>
        <v>0.95833333333333337</v>
      </c>
      <c r="AB22" s="40">
        <f t="shared" si="11"/>
        <v>9.3137254901960786E-2</v>
      </c>
      <c r="AC22" s="41" t="s">
        <v>51</v>
      </c>
      <c r="AD22" s="42" t="s">
        <v>52</v>
      </c>
      <c r="AE22" s="43" t="s">
        <v>52</v>
      </c>
      <c r="AF22" s="44" t="s">
        <v>53</v>
      </c>
      <c r="AG22" s="45">
        <v>1</v>
      </c>
      <c r="AH22" s="44" t="s">
        <v>50</v>
      </c>
      <c r="AI22" s="45">
        <v>1</v>
      </c>
      <c r="AJ22" s="44" t="s">
        <v>50</v>
      </c>
      <c r="AK22" s="46">
        <v>1</v>
      </c>
      <c r="AL22" s="47">
        <f t="shared" si="12"/>
        <v>6.2479113542647324</v>
      </c>
      <c r="AM22" s="48">
        <f t="shared" si="13"/>
        <v>8.1222847605441526</v>
      </c>
      <c r="AN22" s="48">
        <f t="shared" si="14"/>
        <v>4.3735379479853123</v>
      </c>
      <c r="AO22" s="4">
        <v>2</v>
      </c>
    </row>
    <row r="23" spans="1:41" ht="15" customHeight="1" x14ac:dyDescent="0.25">
      <c r="A23" s="4"/>
      <c r="B23" s="18" t="s">
        <v>64</v>
      </c>
      <c r="C23" s="32">
        <f>SUM(C13:C22)</f>
        <v>24458.199999999997</v>
      </c>
      <c r="D23" s="32">
        <f t="shared" ref="D23:AF23" si="15">SUM(D13:D22)</f>
        <v>25018.499999999996</v>
      </c>
      <c r="E23" s="32">
        <f t="shared" si="0"/>
        <v>1.0229084724141597</v>
      </c>
      <c r="F23" s="33">
        <f t="shared" si="1"/>
        <v>3.2726389163085318E-2</v>
      </c>
      <c r="G23" s="34">
        <f>SUM(G13:G22)</f>
        <v>1752.5000000000002</v>
      </c>
      <c r="H23" s="34">
        <v>1961.1</v>
      </c>
      <c r="I23" s="34">
        <f t="shared" si="2"/>
        <v>0.89363112538881251</v>
      </c>
      <c r="J23" s="35">
        <f t="shared" si="3"/>
        <v>7.7051565571729361E-2</v>
      </c>
      <c r="K23" s="36">
        <f>SUM(K13:K22)</f>
        <v>1727.8</v>
      </c>
      <c r="L23" s="36">
        <f>SUM(L13:L22)</f>
        <v>3827.2999999999997</v>
      </c>
      <c r="M23" s="37"/>
      <c r="N23" s="35">
        <f t="shared" si="5"/>
        <v>1.0110091743119265</v>
      </c>
      <c r="O23" s="32">
        <f t="shared" si="15"/>
        <v>92573.799999999988</v>
      </c>
      <c r="P23" s="32">
        <f t="shared" si="15"/>
        <v>61434.400000000001</v>
      </c>
      <c r="Q23" s="38">
        <f t="shared" si="6"/>
        <v>0.33637379042450444</v>
      </c>
      <c r="R23" s="39">
        <f t="shared" si="7"/>
        <v>0.69336899261972185</v>
      </c>
      <c r="S23" s="32" t="s">
        <v>50</v>
      </c>
      <c r="T23" s="39">
        <v>1</v>
      </c>
      <c r="U23" s="32">
        <f>SUM(U13:U22)</f>
        <v>41556.6</v>
      </c>
      <c r="V23" s="32">
        <f>SUM(V13:V22)</f>
        <v>21580.2</v>
      </c>
      <c r="W23" s="32">
        <f t="shared" si="8"/>
        <v>1.925681875052131</v>
      </c>
      <c r="X23" s="39">
        <f t="shared" si="9"/>
        <v>0.84935433238043956</v>
      </c>
      <c r="Y23" s="34">
        <f>SUM(Y13:Y22)</f>
        <v>15238.900000000001</v>
      </c>
      <c r="Z23" s="34">
        <v>15003.4</v>
      </c>
      <c r="AA23" s="34">
        <f>Y23/Z23</f>
        <v>1.0156964421397818</v>
      </c>
      <c r="AB23" s="40">
        <f t="shared" si="11"/>
        <v>0.12688026008222458</v>
      </c>
      <c r="AC23" s="41"/>
      <c r="AD23" s="42"/>
      <c r="AE23" s="43"/>
      <c r="AF23" s="44">
        <f t="shared" si="15"/>
        <v>0</v>
      </c>
      <c r="AG23" s="45">
        <v>0</v>
      </c>
      <c r="AH23" s="44"/>
      <c r="AI23" s="45"/>
      <c r="AJ23" s="44"/>
      <c r="AK23" s="46"/>
      <c r="AL23" s="47"/>
      <c r="AM23" s="48"/>
      <c r="AN23" s="48"/>
      <c r="AO23" s="4"/>
    </row>
    <row r="24" spans="1:41" ht="15" customHeight="1" x14ac:dyDescent="0.25">
      <c r="A24" s="27"/>
      <c r="B24" s="28" t="s">
        <v>65</v>
      </c>
      <c r="C24" s="49"/>
      <c r="D24" s="49"/>
      <c r="E24" s="49"/>
      <c r="F24" s="50"/>
      <c r="G24" s="49"/>
      <c r="H24" s="49"/>
      <c r="I24" s="49"/>
      <c r="J24" s="51"/>
      <c r="K24" s="52"/>
      <c r="L24" s="52"/>
      <c r="M24" s="53"/>
      <c r="N24" s="51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54"/>
      <c r="AD24" s="54"/>
      <c r="AE24" s="54"/>
      <c r="AF24" s="55"/>
      <c r="AG24" s="56"/>
      <c r="AH24" s="55"/>
      <c r="AI24" s="55"/>
      <c r="AJ24" s="55"/>
      <c r="AK24" s="57"/>
      <c r="AL24" s="57"/>
      <c r="AM24" s="57"/>
      <c r="AN24" s="57"/>
      <c r="AO24" s="57"/>
    </row>
    <row r="25" spans="1:41" ht="15" customHeight="1" x14ac:dyDescent="0.25">
      <c r="A25" s="4"/>
      <c r="B25" s="18" t="s">
        <v>66</v>
      </c>
      <c r="C25" s="32">
        <f>8141.9-265</f>
        <v>7876.9</v>
      </c>
      <c r="D25" s="32">
        <v>7978.1</v>
      </c>
      <c r="E25" s="32">
        <f t="shared" si="0"/>
        <v>1.0128476938897284</v>
      </c>
      <c r="F25" s="33">
        <f>(E25-1)/(1.7-1)</f>
        <v>1.835384841389771E-2</v>
      </c>
      <c r="G25" s="34">
        <v>599.1</v>
      </c>
      <c r="H25" s="34">
        <v>486.8</v>
      </c>
      <c r="I25" s="34">
        <f t="shared" si="2"/>
        <v>1.2306902218570255</v>
      </c>
      <c r="J25" s="35">
        <f>(I25-0.1)/(10.4-0.1)</f>
        <v>0.10977574969485683</v>
      </c>
      <c r="K25" s="36">
        <f>232.4+42.3</f>
        <v>274.7</v>
      </c>
      <c r="L25" s="36">
        <f>88.4+576.4</f>
        <v>664.8</v>
      </c>
      <c r="M25" s="37">
        <f>K25/L25</f>
        <v>0.41320697954271962</v>
      </c>
      <c r="N25" s="35">
        <f t="shared" si="5"/>
        <v>0.93519137990041834</v>
      </c>
      <c r="O25" s="32">
        <v>26936.6</v>
      </c>
      <c r="P25" s="32">
        <v>20502.900000000001</v>
      </c>
      <c r="Q25" s="38">
        <f t="shared" si="6"/>
        <v>0.2388460310506893</v>
      </c>
      <c r="R25" s="39">
        <f t="shared" si="7"/>
        <v>0.82605982169974235</v>
      </c>
      <c r="S25" s="32" t="s">
        <v>50</v>
      </c>
      <c r="T25" s="39">
        <v>1</v>
      </c>
      <c r="U25" s="32">
        <v>13952</v>
      </c>
      <c r="V25" s="32">
        <v>6540.8</v>
      </c>
      <c r="W25" s="32">
        <f>U25/V25</f>
        <v>2.1330724070450096</v>
      </c>
      <c r="X25" s="39">
        <f t="shared" si="9"/>
        <v>0.82578722647215796</v>
      </c>
      <c r="Y25" s="34">
        <v>5067.5</v>
      </c>
      <c r="Z25" s="34">
        <v>4956.2</v>
      </c>
      <c r="AA25" s="34">
        <f>Y25/Z25</f>
        <v>1.0224567208748638</v>
      </c>
      <c r="AB25" s="40">
        <f t="shared" si="11"/>
        <v>0.13085689463227282</v>
      </c>
      <c r="AC25" s="41" t="s">
        <v>51</v>
      </c>
      <c r="AD25" s="42" t="s">
        <v>52</v>
      </c>
      <c r="AE25" s="43" t="s">
        <v>52</v>
      </c>
      <c r="AF25" s="44" t="s">
        <v>53</v>
      </c>
      <c r="AG25" s="45">
        <v>1</v>
      </c>
      <c r="AH25" s="44" t="s">
        <v>50</v>
      </c>
      <c r="AI25" s="45">
        <v>1</v>
      </c>
      <c r="AJ25" s="44" t="s">
        <v>50</v>
      </c>
      <c r="AK25" s="46">
        <v>1</v>
      </c>
      <c r="AL25" s="47">
        <f>F25+J25+N25+R25+T25+X25+AB25+AE25+AG25+AI25+AK25/11</f>
        <v>6.9369340117224363</v>
      </c>
      <c r="AM25" s="48">
        <f t="shared" si="13"/>
        <v>9.018014215239166</v>
      </c>
      <c r="AN25" s="48">
        <f t="shared" si="14"/>
        <v>4.8558538082057057</v>
      </c>
      <c r="AO25" s="4">
        <v>2</v>
      </c>
    </row>
    <row r="26" spans="1:41" ht="15" customHeight="1" x14ac:dyDescent="0.25">
      <c r="A26" s="4"/>
      <c r="B26" s="18" t="s">
        <v>67</v>
      </c>
      <c r="C26" s="32">
        <f>36438.3-3335.8</f>
        <v>33102.5</v>
      </c>
      <c r="D26" s="32">
        <v>33102.5</v>
      </c>
      <c r="E26" s="32">
        <f t="shared" si="0"/>
        <v>1</v>
      </c>
      <c r="F26" s="33">
        <f t="shared" ref="F26:F28" si="16">(E26-1)/(1.7-1)</f>
        <v>0</v>
      </c>
      <c r="G26" s="34">
        <v>1194</v>
      </c>
      <c r="H26" s="34">
        <v>1481.3</v>
      </c>
      <c r="I26" s="34">
        <f t="shared" si="2"/>
        <v>0.80604874097076895</v>
      </c>
      <c r="J26" s="35">
        <f t="shared" ref="J26:J28" si="17">(I26-0.1)/(10.4-0.1)</f>
        <v>6.8548421453472716E-2</v>
      </c>
      <c r="K26" s="36">
        <f>1153.6+368.1</f>
        <v>1521.6999999999998</v>
      </c>
      <c r="L26" s="36">
        <f>977.9+2546.1</f>
        <v>3524</v>
      </c>
      <c r="M26" s="37">
        <f>K26/L26</f>
        <v>0.43181044267877405</v>
      </c>
      <c r="N26" s="35">
        <f t="shared" si="5"/>
        <v>0.93177790042591291</v>
      </c>
      <c r="O26" s="32">
        <v>54077.8</v>
      </c>
      <c r="P26" s="32">
        <v>37779.9</v>
      </c>
      <c r="Q26" s="38">
        <f t="shared" si="6"/>
        <v>0.30137875431323019</v>
      </c>
      <c r="R26" s="39">
        <f t="shared" si="7"/>
        <v>0.74098128664866647</v>
      </c>
      <c r="S26" s="32" t="s">
        <v>50</v>
      </c>
      <c r="T26" s="39">
        <v>1</v>
      </c>
      <c r="U26" s="32">
        <v>19318.7</v>
      </c>
      <c r="V26" s="32">
        <v>31476</v>
      </c>
      <c r="W26" s="32">
        <f>U26/V26</f>
        <v>0.61375968992248064</v>
      </c>
      <c r="X26" s="39">
        <f t="shared" si="9"/>
        <v>0.9984363988724454</v>
      </c>
      <c r="Y26" s="34">
        <v>29511.7</v>
      </c>
      <c r="Z26" s="34">
        <v>28319.8</v>
      </c>
      <c r="AA26" s="34">
        <f t="shared" ref="AA26:AA27" si="18">Y26/Z26</f>
        <v>1.0420871616324974</v>
      </c>
      <c r="AB26" s="40">
        <f t="shared" si="11"/>
        <v>0.14240421272499842</v>
      </c>
      <c r="AC26" s="41" t="s">
        <v>51</v>
      </c>
      <c r="AD26" s="42" t="s">
        <v>52</v>
      </c>
      <c r="AE26" s="43" t="s">
        <v>52</v>
      </c>
      <c r="AF26" s="44" t="s">
        <v>53</v>
      </c>
      <c r="AG26" s="45">
        <v>1</v>
      </c>
      <c r="AH26" s="44" t="s">
        <v>50</v>
      </c>
      <c r="AI26" s="45">
        <v>1</v>
      </c>
      <c r="AJ26" s="44" t="s">
        <v>50</v>
      </c>
      <c r="AK26" s="46">
        <v>1</v>
      </c>
      <c r="AL26" s="47">
        <f>F26+J26+N26+R26+T26+X26+AB26+AE26+AG26+AI26+AK26/11</f>
        <v>6.9730573110345864</v>
      </c>
      <c r="AM26" s="48">
        <f t="shared" si="13"/>
        <v>9.0649745043449617</v>
      </c>
      <c r="AN26" s="48">
        <f t="shared" si="14"/>
        <v>4.8811401177242111</v>
      </c>
      <c r="AO26" s="4">
        <v>1</v>
      </c>
    </row>
    <row r="27" spans="1:41" ht="15" customHeight="1" x14ac:dyDescent="0.25">
      <c r="A27" s="4"/>
      <c r="B27" s="18" t="s">
        <v>68</v>
      </c>
      <c r="C27" s="32">
        <f>SUM(C25:C26)</f>
        <v>40979.4</v>
      </c>
      <c r="D27" s="32">
        <f>SUM(D25:D26)</f>
        <v>41080.6</v>
      </c>
      <c r="E27" s="32">
        <f t="shared" si="0"/>
        <v>1.0024695334729157</v>
      </c>
      <c r="F27" s="33">
        <f t="shared" si="16"/>
        <v>3.527904961308107E-3</v>
      </c>
      <c r="G27" s="34">
        <f>SUM(G25:G26)</f>
        <v>1793.1</v>
      </c>
      <c r="H27" s="34">
        <f>SUM(H25:H26)</f>
        <v>1968.1</v>
      </c>
      <c r="I27" s="34">
        <f t="shared" si="2"/>
        <v>0.91108175397591584</v>
      </c>
      <c r="J27" s="35">
        <f t="shared" si="17"/>
        <v>7.8745801356885026E-2</v>
      </c>
      <c r="K27" s="37">
        <f>SUM(K25:K26)</f>
        <v>1796.3999999999999</v>
      </c>
      <c r="L27" s="58">
        <f>SUM(L25:L26)</f>
        <v>4188.8</v>
      </c>
      <c r="M27" s="37">
        <f t="shared" ref="M27:M28" si="19">K27/L27</f>
        <v>0.4288579067990832</v>
      </c>
      <c r="N27" s="35">
        <f t="shared" si="5"/>
        <v>0.93231965012860862</v>
      </c>
      <c r="O27" s="32">
        <v>33724.800000000003</v>
      </c>
      <c r="P27" s="32">
        <f>SUM(P25:P26)</f>
        <v>58282.8</v>
      </c>
      <c r="Q27" s="38">
        <f t="shared" si="6"/>
        <v>-0.7281881582692854</v>
      </c>
      <c r="R27" s="39">
        <f t="shared" si="7"/>
        <v>2.1417525962847419</v>
      </c>
      <c r="S27" s="32" t="s">
        <v>50</v>
      </c>
      <c r="T27" s="39">
        <v>1</v>
      </c>
      <c r="U27" s="32">
        <f>SUM(U25:U26)</f>
        <v>33270.699999999997</v>
      </c>
      <c r="V27" s="32">
        <f>SUM(V25:V26)</f>
        <v>38016.800000000003</v>
      </c>
      <c r="W27" s="32">
        <f t="shared" ref="W27:W28" si="20">U27/V27</f>
        <v>0.87515782496159578</v>
      </c>
      <c r="X27" s="39">
        <f t="shared" si="9"/>
        <v>0.96873206534527323</v>
      </c>
      <c r="Y27" s="34">
        <f>SUM(Y25:Y26)</f>
        <v>34579.199999999997</v>
      </c>
      <c r="Z27" s="34">
        <f>SUM(Z25:Z26)</f>
        <v>33276</v>
      </c>
      <c r="AA27" s="34">
        <f t="shared" si="18"/>
        <v>1.039163360980887</v>
      </c>
      <c r="AB27" s="40">
        <f t="shared" si="11"/>
        <v>0.14068432998875705</v>
      </c>
      <c r="AC27" s="41">
        <f>SUM(AC25:AC26)</f>
        <v>0</v>
      </c>
      <c r="AD27" s="42"/>
      <c r="AE27" s="43"/>
      <c r="AF27" s="32"/>
      <c r="AG27" s="39"/>
      <c r="AH27" s="32"/>
      <c r="AI27" s="39"/>
      <c r="AJ27" s="32"/>
      <c r="AK27" s="59"/>
      <c r="AL27" s="60"/>
      <c r="AM27" s="4"/>
      <c r="AN27" s="4"/>
      <c r="AO27" s="4"/>
    </row>
    <row r="28" spans="1:41" ht="15.75" x14ac:dyDescent="0.25">
      <c r="A28" s="4"/>
      <c r="B28" s="18" t="s">
        <v>69</v>
      </c>
      <c r="C28" s="32">
        <f>C23+C27</f>
        <v>65437.599999999999</v>
      </c>
      <c r="D28" s="32">
        <f>D23+D27</f>
        <v>66099.099999999991</v>
      </c>
      <c r="E28" s="32">
        <f t="shared" si="0"/>
        <v>1.0101088670733644</v>
      </c>
      <c r="F28" s="33">
        <f t="shared" si="16"/>
        <v>1.4441238676234926E-2</v>
      </c>
      <c r="G28" s="34">
        <f>G23+G27</f>
        <v>3545.6000000000004</v>
      </c>
      <c r="H28" s="34">
        <f>H23+H27</f>
        <v>3929.2</v>
      </c>
      <c r="I28" s="34">
        <f t="shared" si="2"/>
        <v>0.90237198411890474</v>
      </c>
      <c r="J28" s="35">
        <f t="shared" si="17"/>
        <v>7.7900192632903376E-2</v>
      </c>
      <c r="K28" s="37">
        <f>K23+K27</f>
        <v>3524.2</v>
      </c>
      <c r="L28" s="37">
        <f>L23+L27</f>
        <v>8016.1</v>
      </c>
      <c r="M28" s="37">
        <f t="shared" si="19"/>
        <v>0.43964022404910114</v>
      </c>
      <c r="N28" s="35">
        <f t="shared" si="5"/>
        <v>0.9303412432937429</v>
      </c>
      <c r="O28" s="32">
        <f>O23+O27</f>
        <v>126298.59999999999</v>
      </c>
      <c r="P28" s="32">
        <f>P23+P27</f>
        <v>119717.20000000001</v>
      </c>
      <c r="Q28" s="38">
        <f t="shared" si="6"/>
        <v>5.210984128090082E-2</v>
      </c>
      <c r="R28" s="39">
        <f t="shared" si="7"/>
        <v>1.0801226649239444</v>
      </c>
      <c r="S28" s="32" t="s">
        <v>50</v>
      </c>
      <c r="T28" s="39">
        <v>1</v>
      </c>
      <c r="U28" s="32">
        <f>U23+U27</f>
        <v>74827.299999999988</v>
      </c>
      <c r="V28" s="32">
        <f>V23+V27</f>
        <v>59597</v>
      </c>
      <c r="W28" s="32">
        <f t="shared" si="20"/>
        <v>1.2555548098058624</v>
      </c>
      <c r="X28" s="39">
        <f t="shared" si="9"/>
        <v>0.92550513524933364</v>
      </c>
      <c r="Y28" s="32">
        <f>Y23+Y27</f>
        <v>49818.1</v>
      </c>
      <c r="Z28" s="32">
        <f>Z23+Z27</f>
        <v>48279.4</v>
      </c>
      <c r="AA28" s="34">
        <f>Y28/Z28</f>
        <v>1.0318707357589365</v>
      </c>
      <c r="AB28" s="40">
        <f t="shared" si="11"/>
        <v>0.13639455044643323</v>
      </c>
      <c r="AC28" s="41">
        <f>AC23+AC27</f>
        <v>0</v>
      </c>
      <c r="AD28" s="42"/>
      <c r="AE28" s="43"/>
      <c r="AF28" s="32"/>
      <c r="AG28" s="39"/>
      <c r="AH28" s="32"/>
      <c r="AI28" s="39"/>
      <c r="AJ28" s="32"/>
      <c r="AK28" s="59"/>
      <c r="AL28" s="60"/>
      <c r="AM28" s="4"/>
      <c r="AN28" s="4"/>
      <c r="AO28" s="4"/>
    </row>
    <row r="29" spans="1:41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41" x14ac:dyDescent="0.25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</sheetData>
  <mergeCells count="51">
    <mergeCell ref="B1:T2"/>
    <mergeCell ref="K6:K10"/>
    <mergeCell ref="Y5:Y8"/>
    <mergeCell ref="Z5:Z8"/>
    <mergeCell ref="AA5:AA8"/>
    <mergeCell ref="S5:S10"/>
    <mergeCell ref="T5:T10"/>
    <mergeCell ref="U5:U10"/>
    <mergeCell ref="V5:V10"/>
    <mergeCell ref="W5:W8"/>
    <mergeCell ref="X5:X10"/>
    <mergeCell ref="L5:L10"/>
    <mergeCell ref="C5:C10"/>
    <mergeCell ref="D5:D10"/>
    <mergeCell ref="E5:E10"/>
    <mergeCell ref="F5:F10"/>
    <mergeCell ref="AN4:AN8"/>
    <mergeCell ref="AO4:AO8"/>
    <mergeCell ref="AH4:AI4"/>
    <mergeCell ref="AJ4:AK4"/>
    <mergeCell ref="AL4:AL10"/>
    <mergeCell ref="AJ5:AJ10"/>
    <mergeCell ref="AK5:AK10"/>
    <mergeCell ref="G5:G10"/>
    <mergeCell ref="H5:H10"/>
    <mergeCell ref="I5:I10"/>
    <mergeCell ref="J5:J10"/>
    <mergeCell ref="AC4:AD4"/>
    <mergeCell ref="AF4:AG4"/>
    <mergeCell ref="P5:P10"/>
    <mergeCell ref="Q5:Q10"/>
    <mergeCell ref="R5:R10"/>
    <mergeCell ref="AC5:AC10"/>
    <mergeCell ref="AD5:AD8"/>
    <mergeCell ref="AB5:AB8"/>
    <mergeCell ref="A3:A10"/>
    <mergeCell ref="B3:B10"/>
    <mergeCell ref="C3:N3"/>
    <mergeCell ref="O3:AB3"/>
    <mergeCell ref="AC3:AM3"/>
    <mergeCell ref="C4:N4"/>
    <mergeCell ref="O4:R4"/>
    <mergeCell ref="S4:T4"/>
    <mergeCell ref="U4:X4"/>
    <mergeCell ref="AF5:AF10"/>
    <mergeCell ref="AG5:AG10"/>
    <mergeCell ref="AH5:AH10"/>
    <mergeCell ref="AI5:AI10"/>
    <mergeCell ref="AM4:AM10"/>
    <mergeCell ref="M5:M10"/>
    <mergeCell ref="O5:O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tabSelected="1" topLeftCell="B1" workbookViewId="0">
      <pane xSplit="1" topLeftCell="C1" activePane="topRight" state="frozen"/>
      <selection activeCell="B7" sqref="B7"/>
      <selection pane="topRight" activeCell="E1" sqref="E1"/>
    </sheetView>
  </sheetViews>
  <sheetFormatPr defaultRowHeight="15" x14ac:dyDescent="0.25"/>
  <cols>
    <col min="1" max="1" width="0" hidden="1" customWidth="1"/>
    <col min="2" max="2" width="36" style="61" customWidth="1"/>
    <col min="3" max="3" width="15.42578125" customWidth="1"/>
    <col min="4" max="4" width="10.28515625" customWidth="1"/>
    <col min="5" max="5" width="13.28515625" customWidth="1"/>
    <col min="6" max="6" width="12.140625" customWidth="1"/>
    <col min="7" max="7" width="13.28515625" customWidth="1"/>
    <col min="8" max="8" width="14.5703125" customWidth="1"/>
    <col min="9" max="9" width="15.140625" customWidth="1"/>
    <col min="10" max="10" width="14.7109375" customWidth="1"/>
    <col min="11" max="13" width="13.28515625" customWidth="1"/>
    <col min="14" max="14" width="14.7109375" customWidth="1"/>
    <col min="15" max="20" width="13.28515625" customWidth="1"/>
    <col min="21" max="21" width="14" customWidth="1"/>
    <col min="22" max="22" width="14.85546875" customWidth="1"/>
    <col min="23" max="23" width="16" customWidth="1"/>
    <col min="24" max="24" width="11.140625" customWidth="1"/>
    <col min="25" max="25" width="12.7109375" customWidth="1"/>
    <col min="26" max="26" width="15.5703125" customWidth="1"/>
    <col min="27" max="28" width="11.140625" customWidth="1"/>
    <col min="29" max="29" width="16.140625" customWidth="1"/>
    <col min="30" max="30" width="13.28515625" customWidth="1"/>
    <col min="31" max="31" width="15.5703125" customWidth="1"/>
    <col min="32" max="32" width="11.140625" customWidth="1"/>
    <col min="33" max="33" width="13.140625" customWidth="1"/>
    <col min="34" max="34" width="16" customWidth="1"/>
    <col min="35" max="35" width="10.7109375" customWidth="1"/>
    <col min="37" max="37" width="14.140625" customWidth="1"/>
    <col min="38" max="38" width="17.5703125" customWidth="1"/>
    <col min="39" max="39" width="14.7109375" customWidth="1"/>
    <col min="40" max="40" width="11.85546875" customWidth="1"/>
    <col min="41" max="41" width="17.140625" customWidth="1"/>
    <col min="43" max="43" width="16.5703125" customWidth="1"/>
    <col min="44" max="44" width="9.5703125" customWidth="1"/>
    <col min="45" max="45" width="15.5703125" customWidth="1"/>
    <col min="46" max="46" width="14.85546875" customWidth="1"/>
    <col min="47" max="47" width="9.5703125" customWidth="1"/>
    <col min="48" max="48" width="16.85546875" customWidth="1"/>
    <col min="49" max="49" width="10.28515625" customWidth="1"/>
    <col min="50" max="50" width="13.7109375" style="1" customWidth="1"/>
    <col min="51" max="51" width="11.28515625" customWidth="1"/>
    <col min="52" max="52" width="10.85546875" customWidth="1"/>
    <col min="53" max="53" width="12.140625" customWidth="1"/>
    <col min="54" max="54" width="15" style="2" customWidth="1"/>
  </cols>
  <sheetData>
    <row r="1" spans="1:54" ht="15" customHeight="1" x14ac:dyDescent="0.25">
      <c r="C1" s="75"/>
      <c r="D1" s="75"/>
      <c r="E1" s="75" t="s">
        <v>131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4" s="2" customFormat="1" ht="15" customHeight="1" x14ac:dyDescent="0.3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86"/>
      <c r="Z2" s="86"/>
      <c r="AA2" s="86"/>
      <c r="AB2" s="86"/>
      <c r="AX2" s="3"/>
    </row>
    <row r="3" spans="1:54" ht="15" customHeight="1" x14ac:dyDescent="0.25">
      <c r="A3" s="149" t="s">
        <v>0</v>
      </c>
      <c r="B3" s="200" t="s">
        <v>1</v>
      </c>
      <c r="C3" s="219" t="s">
        <v>74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2"/>
      <c r="AO3" s="225" t="s">
        <v>4</v>
      </c>
      <c r="AP3" s="225"/>
      <c r="AQ3" s="225"/>
      <c r="AR3" s="225"/>
      <c r="AS3" s="225"/>
      <c r="AT3" s="225"/>
      <c r="AU3" s="225"/>
      <c r="AV3" s="225"/>
      <c r="AW3" s="225"/>
      <c r="AX3" s="224"/>
      <c r="AY3" s="224"/>
      <c r="AZ3" s="224"/>
      <c r="BA3" s="224"/>
      <c r="BB3" s="224"/>
    </row>
    <row r="4" spans="1:54" ht="15.75" customHeight="1" x14ac:dyDescent="0.25">
      <c r="A4" s="150"/>
      <c r="B4" s="201"/>
      <c r="C4" s="209" t="s">
        <v>29</v>
      </c>
      <c r="D4" s="184" t="s">
        <v>23</v>
      </c>
      <c r="E4" s="210" t="s">
        <v>77</v>
      </c>
      <c r="F4" s="211" t="s">
        <v>113</v>
      </c>
      <c r="G4" s="210" t="s">
        <v>75</v>
      </c>
      <c r="H4" s="186" t="s">
        <v>19</v>
      </c>
      <c r="I4" s="209" t="s">
        <v>78</v>
      </c>
      <c r="J4" s="209" t="s">
        <v>79</v>
      </c>
      <c r="K4" s="209" t="s">
        <v>80</v>
      </c>
      <c r="L4" s="186" t="s">
        <v>19</v>
      </c>
      <c r="M4" s="216" t="s">
        <v>72</v>
      </c>
      <c r="N4" s="216" t="s">
        <v>73</v>
      </c>
      <c r="O4" s="209" t="s">
        <v>81</v>
      </c>
      <c r="P4" s="184" t="s">
        <v>23</v>
      </c>
      <c r="Q4" s="213" t="s">
        <v>83</v>
      </c>
      <c r="R4" s="213" t="s">
        <v>41</v>
      </c>
      <c r="S4" s="213" t="s">
        <v>84</v>
      </c>
      <c r="T4" s="65"/>
      <c r="U4" s="209" t="s">
        <v>86</v>
      </c>
      <c r="V4" s="209" t="s">
        <v>87</v>
      </c>
      <c r="W4" s="209" t="s">
        <v>88</v>
      </c>
      <c r="X4" s="184" t="s">
        <v>23</v>
      </c>
      <c r="Y4" s="209" t="s">
        <v>89</v>
      </c>
      <c r="Z4" s="209" t="s">
        <v>90</v>
      </c>
      <c r="AA4" s="209" t="s">
        <v>91</v>
      </c>
      <c r="AB4" s="184" t="s">
        <v>23</v>
      </c>
      <c r="AC4" s="212" t="s">
        <v>30</v>
      </c>
      <c r="AD4" s="209" t="s">
        <v>31</v>
      </c>
      <c r="AE4" s="209" t="s">
        <v>93</v>
      </c>
      <c r="AF4" s="184" t="s">
        <v>23</v>
      </c>
      <c r="AG4" s="212" t="s">
        <v>94</v>
      </c>
      <c r="AH4" s="212" t="s">
        <v>95</v>
      </c>
      <c r="AI4" s="209" t="s">
        <v>96</v>
      </c>
      <c r="AJ4" s="184" t="s">
        <v>23</v>
      </c>
      <c r="AK4" s="212" t="s">
        <v>98</v>
      </c>
      <c r="AL4" s="212" t="s">
        <v>99</v>
      </c>
      <c r="AM4" s="209" t="s">
        <v>100</v>
      </c>
      <c r="AN4" s="184" t="s">
        <v>23</v>
      </c>
      <c r="AO4" s="209" t="s">
        <v>102</v>
      </c>
      <c r="AP4" s="184" t="s">
        <v>23</v>
      </c>
      <c r="AQ4" s="212" t="s">
        <v>39</v>
      </c>
      <c r="AR4" s="208" t="s">
        <v>23</v>
      </c>
      <c r="AS4" s="209" t="s">
        <v>105</v>
      </c>
      <c r="AT4" s="209" t="s">
        <v>37</v>
      </c>
      <c r="AU4" s="184" t="s">
        <v>23</v>
      </c>
      <c r="AV4" s="209" t="s">
        <v>112</v>
      </c>
      <c r="AW4" s="184" t="s">
        <v>23</v>
      </c>
      <c r="AX4" s="182" t="s">
        <v>107</v>
      </c>
      <c r="AY4" s="182" t="s">
        <v>108</v>
      </c>
      <c r="AZ4" s="201" t="s">
        <v>109</v>
      </c>
      <c r="BA4" s="201" t="s">
        <v>111</v>
      </c>
      <c r="BB4" s="223" t="s">
        <v>114</v>
      </c>
    </row>
    <row r="5" spans="1:54" ht="15.75" customHeight="1" x14ac:dyDescent="0.25">
      <c r="A5" s="150"/>
      <c r="B5" s="201"/>
      <c r="C5" s="210"/>
      <c r="D5" s="185"/>
      <c r="E5" s="210"/>
      <c r="F5" s="212"/>
      <c r="G5" s="210"/>
      <c r="H5" s="208"/>
      <c r="I5" s="210"/>
      <c r="J5" s="210"/>
      <c r="K5" s="210"/>
      <c r="L5" s="208"/>
      <c r="M5" s="217"/>
      <c r="N5" s="217"/>
      <c r="O5" s="210"/>
      <c r="P5" s="185"/>
      <c r="Q5" s="214"/>
      <c r="R5" s="214"/>
      <c r="S5" s="214"/>
      <c r="T5" s="66"/>
      <c r="U5" s="210"/>
      <c r="V5" s="210"/>
      <c r="W5" s="210"/>
      <c r="X5" s="185"/>
      <c r="Y5" s="210"/>
      <c r="Z5" s="210"/>
      <c r="AA5" s="210"/>
      <c r="AB5" s="185"/>
      <c r="AC5" s="212"/>
      <c r="AD5" s="210"/>
      <c r="AE5" s="210"/>
      <c r="AF5" s="185"/>
      <c r="AG5" s="212"/>
      <c r="AH5" s="212"/>
      <c r="AI5" s="210"/>
      <c r="AJ5" s="185"/>
      <c r="AK5" s="212"/>
      <c r="AL5" s="212"/>
      <c r="AM5" s="210"/>
      <c r="AN5" s="185"/>
      <c r="AO5" s="210"/>
      <c r="AP5" s="185"/>
      <c r="AQ5" s="212"/>
      <c r="AR5" s="208"/>
      <c r="AS5" s="210"/>
      <c r="AT5" s="210"/>
      <c r="AU5" s="185"/>
      <c r="AV5" s="210"/>
      <c r="AW5" s="185"/>
      <c r="AX5" s="182"/>
      <c r="AY5" s="182"/>
      <c r="AZ5" s="201"/>
      <c r="BA5" s="201"/>
      <c r="BB5" s="223"/>
    </row>
    <row r="6" spans="1:54" ht="15" customHeight="1" x14ac:dyDescent="0.25">
      <c r="A6" s="150"/>
      <c r="B6" s="201"/>
      <c r="C6" s="210"/>
      <c r="D6" s="185"/>
      <c r="E6" s="210"/>
      <c r="F6" s="212"/>
      <c r="G6" s="210"/>
      <c r="H6" s="208"/>
      <c r="I6" s="210"/>
      <c r="J6" s="210"/>
      <c r="K6" s="210"/>
      <c r="L6" s="208"/>
      <c r="M6" s="217"/>
      <c r="N6" s="217"/>
      <c r="O6" s="210"/>
      <c r="P6" s="185"/>
      <c r="Q6" s="214"/>
      <c r="R6" s="214"/>
      <c r="S6" s="214"/>
      <c r="T6" s="66"/>
      <c r="U6" s="210"/>
      <c r="V6" s="210"/>
      <c r="W6" s="210"/>
      <c r="X6" s="185"/>
      <c r="Y6" s="210"/>
      <c r="Z6" s="210"/>
      <c r="AA6" s="210"/>
      <c r="AB6" s="185"/>
      <c r="AC6" s="212"/>
      <c r="AD6" s="210"/>
      <c r="AE6" s="210"/>
      <c r="AF6" s="185"/>
      <c r="AG6" s="212"/>
      <c r="AH6" s="212"/>
      <c r="AI6" s="210"/>
      <c r="AJ6" s="185"/>
      <c r="AK6" s="212"/>
      <c r="AL6" s="212"/>
      <c r="AM6" s="210"/>
      <c r="AN6" s="185"/>
      <c r="AO6" s="210"/>
      <c r="AP6" s="185"/>
      <c r="AQ6" s="212"/>
      <c r="AR6" s="208"/>
      <c r="AS6" s="210"/>
      <c r="AT6" s="210"/>
      <c r="AU6" s="185"/>
      <c r="AV6" s="210"/>
      <c r="AW6" s="185"/>
      <c r="AX6" s="182"/>
      <c r="AY6" s="182"/>
      <c r="AZ6" s="201"/>
      <c r="BA6" s="201"/>
      <c r="BB6" s="223"/>
    </row>
    <row r="7" spans="1:54" ht="248.25" customHeight="1" x14ac:dyDescent="0.25">
      <c r="A7" s="150"/>
      <c r="B7" s="201"/>
      <c r="C7" s="210"/>
      <c r="D7" s="185"/>
      <c r="E7" s="210"/>
      <c r="F7" s="212"/>
      <c r="G7" s="210"/>
      <c r="H7" s="208"/>
      <c r="I7" s="210"/>
      <c r="J7" s="210"/>
      <c r="K7" s="210"/>
      <c r="L7" s="208"/>
      <c r="M7" s="217"/>
      <c r="N7" s="217"/>
      <c r="O7" s="210"/>
      <c r="P7" s="185"/>
      <c r="Q7" s="214"/>
      <c r="R7" s="214"/>
      <c r="S7" s="214"/>
      <c r="T7" s="66" t="s">
        <v>23</v>
      </c>
      <c r="U7" s="210"/>
      <c r="V7" s="210"/>
      <c r="W7" s="210"/>
      <c r="X7" s="185"/>
      <c r="Y7" s="210"/>
      <c r="Z7" s="210"/>
      <c r="AA7" s="210"/>
      <c r="AB7" s="185"/>
      <c r="AC7" s="212"/>
      <c r="AD7" s="210"/>
      <c r="AE7" s="211"/>
      <c r="AF7" s="185"/>
      <c r="AG7" s="212"/>
      <c r="AH7" s="212"/>
      <c r="AI7" s="211"/>
      <c r="AJ7" s="185"/>
      <c r="AK7" s="212"/>
      <c r="AL7" s="212"/>
      <c r="AM7" s="211"/>
      <c r="AN7" s="185"/>
      <c r="AO7" s="210"/>
      <c r="AP7" s="185"/>
      <c r="AQ7" s="212"/>
      <c r="AR7" s="208"/>
      <c r="AS7" s="210"/>
      <c r="AT7" s="210"/>
      <c r="AU7" s="185"/>
      <c r="AV7" s="210"/>
      <c r="AW7" s="185"/>
      <c r="AX7" s="182"/>
      <c r="AY7" s="182"/>
      <c r="AZ7" s="202"/>
      <c r="BA7" s="202"/>
      <c r="BB7" s="223"/>
    </row>
    <row r="8" spans="1:54" ht="6.75" hidden="1" customHeight="1" x14ac:dyDescent="0.25">
      <c r="A8" s="150"/>
      <c r="B8" s="201"/>
      <c r="C8" s="210"/>
      <c r="D8" s="185"/>
      <c r="E8" s="210"/>
      <c r="F8" s="212"/>
      <c r="G8" s="210"/>
      <c r="H8" s="208"/>
      <c r="I8" s="78"/>
      <c r="J8" s="78"/>
      <c r="K8" s="78"/>
      <c r="L8" s="208"/>
      <c r="M8" s="217"/>
      <c r="N8" s="217"/>
      <c r="O8" s="210"/>
      <c r="P8" s="185"/>
      <c r="Q8" s="214"/>
      <c r="R8" s="214"/>
      <c r="S8" s="214"/>
      <c r="T8" s="66"/>
      <c r="U8" s="210"/>
      <c r="V8" s="210"/>
      <c r="W8" s="210"/>
      <c r="X8" s="185"/>
      <c r="Y8" s="210"/>
      <c r="Z8" s="210"/>
      <c r="AA8" s="210"/>
      <c r="AB8" s="185"/>
      <c r="AC8" s="212"/>
      <c r="AD8" s="210"/>
      <c r="AE8" s="83"/>
      <c r="AF8" s="185"/>
      <c r="AG8" s="212"/>
      <c r="AH8" s="212"/>
      <c r="AI8" s="83"/>
      <c r="AJ8" s="185"/>
      <c r="AK8" s="212"/>
      <c r="AL8" s="212"/>
      <c r="AM8" s="83"/>
      <c r="AN8" s="185"/>
      <c r="AO8" s="82"/>
      <c r="AP8" s="82"/>
      <c r="AQ8" s="212"/>
      <c r="AR8" s="208"/>
      <c r="AS8" s="210"/>
      <c r="AT8" s="88"/>
      <c r="AU8" s="10"/>
      <c r="AV8" s="210"/>
      <c r="AW8" s="185"/>
      <c r="AX8" s="182"/>
      <c r="AY8" s="182"/>
      <c r="AZ8" s="89"/>
      <c r="BA8" s="14"/>
      <c r="BB8" s="100"/>
    </row>
    <row r="9" spans="1:54" ht="10.5" hidden="1" customHeight="1" x14ac:dyDescent="0.25">
      <c r="A9" s="151"/>
      <c r="B9" s="202"/>
      <c r="C9" s="211"/>
      <c r="D9" s="186"/>
      <c r="E9" s="211"/>
      <c r="F9" s="212"/>
      <c r="G9" s="211"/>
      <c r="H9" s="208"/>
      <c r="I9" s="77"/>
      <c r="J9" s="77"/>
      <c r="K9" s="77"/>
      <c r="L9" s="208"/>
      <c r="M9" s="218"/>
      <c r="N9" s="218"/>
      <c r="O9" s="211"/>
      <c r="P9" s="186"/>
      <c r="Q9" s="215"/>
      <c r="R9" s="215"/>
      <c r="S9" s="215"/>
      <c r="T9" s="64"/>
      <c r="U9" s="211"/>
      <c r="V9" s="211"/>
      <c r="W9" s="211"/>
      <c r="X9" s="186"/>
      <c r="Y9" s="211"/>
      <c r="Z9" s="211"/>
      <c r="AA9" s="211"/>
      <c r="AB9" s="186"/>
      <c r="AC9" s="212"/>
      <c r="AD9" s="211"/>
      <c r="AE9" s="83"/>
      <c r="AF9" s="186"/>
      <c r="AG9" s="212"/>
      <c r="AH9" s="212"/>
      <c r="AI9" s="83"/>
      <c r="AJ9" s="186"/>
      <c r="AK9" s="212"/>
      <c r="AL9" s="212"/>
      <c r="AM9" s="83"/>
      <c r="AN9" s="186"/>
      <c r="AO9" s="80"/>
      <c r="AP9" s="80"/>
      <c r="AQ9" s="212"/>
      <c r="AR9" s="208"/>
      <c r="AS9" s="211"/>
      <c r="AT9" s="88"/>
      <c r="AU9" s="16"/>
      <c r="AV9" s="211"/>
      <c r="AW9" s="186"/>
      <c r="AX9" s="183"/>
      <c r="AY9" s="183"/>
      <c r="AZ9" s="89"/>
      <c r="BA9" s="14"/>
      <c r="BB9" s="100"/>
    </row>
    <row r="10" spans="1:54" s="97" customFormat="1" ht="24.75" customHeight="1" x14ac:dyDescent="0.2">
      <c r="A10" s="92">
        <v>1</v>
      </c>
      <c r="B10" s="92">
        <v>1</v>
      </c>
      <c r="C10" s="92">
        <v>2</v>
      </c>
      <c r="D10" s="92">
        <v>3</v>
      </c>
      <c r="E10" s="92">
        <v>4</v>
      </c>
      <c r="F10" s="92">
        <v>5</v>
      </c>
      <c r="G10" s="93" t="s">
        <v>76</v>
      </c>
      <c r="H10" s="143">
        <v>7</v>
      </c>
      <c r="I10" s="94">
        <v>8</v>
      </c>
      <c r="J10" s="94">
        <v>9</v>
      </c>
      <c r="K10" s="94">
        <v>10</v>
      </c>
      <c r="L10" s="94">
        <v>11</v>
      </c>
      <c r="M10" s="95">
        <v>12</v>
      </c>
      <c r="N10" s="95">
        <v>13</v>
      </c>
      <c r="O10" s="95" t="s">
        <v>82</v>
      </c>
      <c r="P10" s="93">
        <v>15</v>
      </c>
      <c r="Q10" s="93">
        <v>16</v>
      </c>
      <c r="R10" s="93">
        <v>17</v>
      </c>
      <c r="S10" s="93" t="s">
        <v>85</v>
      </c>
      <c r="T10" s="93">
        <v>19</v>
      </c>
      <c r="U10" s="95">
        <v>20</v>
      </c>
      <c r="V10" s="95">
        <v>21</v>
      </c>
      <c r="W10" s="95">
        <v>22</v>
      </c>
      <c r="X10" s="95">
        <v>23</v>
      </c>
      <c r="Y10" s="95">
        <v>24</v>
      </c>
      <c r="Z10" s="95">
        <v>25</v>
      </c>
      <c r="AA10" s="95">
        <v>26</v>
      </c>
      <c r="AB10" s="95">
        <v>27</v>
      </c>
      <c r="AC10" s="93">
        <v>28</v>
      </c>
      <c r="AD10" s="95">
        <v>29</v>
      </c>
      <c r="AE10" s="93" t="s">
        <v>92</v>
      </c>
      <c r="AF10" s="93">
        <v>31</v>
      </c>
      <c r="AG10" s="93">
        <v>32</v>
      </c>
      <c r="AH10" s="93">
        <v>33</v>
      </c>
      <c r="AI10" s="93" t="s">
        <v>97</v>
      </c>
      <c r="AJ10" s="93">
        <v>35</v>
      </c>
      <c r="AK10" s="93">
        <v>36</v>
      </c>
      <c r="AL10" s="93">
        <v>37</v>
      </c>
      <c r="AM10" s="93" t="s">
        <v>101</v>
      </c>
      <c r="AN10" s="93">
        <v>39</v>
      </c>
      <c r="AO10" s="93">
        <v>40</v>
      </c>
      <c r="AP10" s="93">
        <v>41</v>
      </c>
      <c r="AQ10" s="93">
        <v>42</v>
      </c>
      <c r="AR10" s="93">
        <v>43</v>
      </c>
      <c r="AS10" s="93" t="s">
        <v>106</v>
      </c>
      <c r="AT10" s="93">
        <v>45</v>
      </c>
      <c r="AU10" s="93">
        <v>46</v>
      </c>
      <c r="AV10" s="93">
        <v>47</v>
      </c>
      <c r="AW10" s="93">
        <v>48</v>
      </c>
      <c r="AX10" s="96">
        <v>49</v>
      </c>
      <c r="AY10" s="92">
        <v>50</v>
      </c>
      <c r="AZ10" s="92">
        <v>51</v>
      </c>
      <c r="BA10" s="92">
        <v>52</v>
      </c>
      <c r="BB10" s="101">
        <v>53</v>
      </c>
    </row>
    <row r="11" spans="1:54" ht="15" customHeight="1" x14ac:dyDescent="0.25">
      <c r="A11" s="27"/>
      <c r="B11" s="71" t="s">
        <v>71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27"/>
      <c r="R11" s="27"/>
      <c r="S11" s="69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99"/>
      <c r="AY11" s="99"/>
      <c r="AZ11" s="99"/>
      <c r="BA11" s="99"/>
      <c r="BB11" s="102"/>
    </row>
    <row r="12" spans="1:54" ht="15" customHeight="1" x14ac:dyDescent="0.25">
      <c r="A12" s="63"/>
      <c r="B12" s="18" t="s">
        <v>49</v>
      </c>
      <c r="C12" s="32" t="s">
        <v>104</v>
      </c>
      <c r="D12" s="39">
        <v>1</v>
      </c>
      <c r="E12" s="133">
        <v>4535</v>
      </c>
      <c r="F12" s="133">
        <v>4535</v>
      </c>
      <c r="G12" s="67">
        <f>(F12-E12)/E12</f>
        <v>0</v>
      </c>
      <c r="H12" s="136">
        <f>(G16-G12)/(G16-G20)</f>
        <v>1</v>
      </c>
      <c r="I12" s="144">
        <v>21576.1</v>
      </c>
      <c r="J12" s="144">
        <v>24653.4</v>
      </c>
      <c r="K12" s="145">
        <f>(I12-J12)/J12</f>
        <v>-0.12482253969026595</v>
      </c>
      <c r="L12" s="79">
        <f>(K23-K12)/(K23-K14)</f>
        <v>0.83578552829751285</v>
      </c>
      <c r="M12" s="133">
        <v>3453.3</v>
      </c>
      <c r="N12" s="133">
        <v>4903.1000000000004</v>
      </c>
      <c r="O12" s="67">
        <f>M12/N12</f>
        <v>0.70430951846790801</v>
      </c>
      <c r="P12" s="137">
        <f>(O12-O21)/(O16-O21)</f>
        <v>0.10484327225208957</v>
      </c>
      <c r="Q12" s="139">
        <v>2054</v>
      </c>
      <c r="R12" s="139">
        <v>1294.9000000000001</v>
      </c>
      <c r="S12" s="85">
        <f>R12-Q12</f>
        <v>-759.09999999999991</v>
      </c>
      <c r="T12" s="137">
        <v>0</v>
      </c>
      <c r="U12" s="131">
        <v>0</v>
      </c>
      <c r="V12" s="147">
        <v>17690.599999999999</v>
      </c>
      <c r="W12" s="67">
        <f>U12/V12</f>
        <v>0</v>
      </c>
      <c r="X12" s="34">
        <v>1</v>
      </c>
      <c r="Y12" s="84">
        <v>0</v>
      </c>
      <c r="Z12" s="84">
        <v>1496</v>
      </c>
      <c r="AA12" s="84">
        <v>43.8</v>
      </c>
      <c r="AB12" s="39">
        <v>1</v>
      </c>
      <c r="AC12" s="84">
        <v>3945.7</v>
      </c>
      <c r="AD12" s="133">
        <v>3453.3</v>
      </c>
      <c r="AE12" s="67">
        <f>AC12/AD12</f>
        <v>1.1425882489213215</v>
      </c>
      <c r="AF12" s="39">
        <f>(AE14-AE12)/(AE14-AE24)</f>
        <v>0.88871562934489978</v>
      </c>
      <c r="AG12" s="34">
        <v>71.3</v>
      </c>
      <c r="AH12" s="34">
        <v>67.2</v>
      </c>
      <c r="AI12" s="67">
        <f>AG12/AH12</f>
        <v>1.0610119047619047</v>
      </c>
      <c r="AJ12" s="39">
        <f>(AI12-AI20)/(AI24-AI20)</f>
        <v>0.34324733350606162</v>
      </c>
      <c r="AK12" s="84">
        <v>672.3</v>
      </c>
      <c r="AL12" s="84">
        <v>658.2</v>
      </c>
      <c r="AM12" s="79">
        <f>AK12/AL12</f>
        <v>1.0214220601640838</v>
      </c>
      <c r="AN12" s="84">
        <f>(AM23-AM12)/(AM23-AM21)</f>
        <v>0.5503655051182984</v>
      </c>
      <c r="AO12" s="84" t="s">
        <v>129</v>
      </c>
      <c r="AP12" s="90">
        <v>0</v>
      </c>
      <c r="AQ12" s="148" t="s">
        <v>103</v>
      </c>
      <c r="AR12" s="45">
        <v>0</v>
      </c>
      <c r="AS12" s="41" t="s">
        <v>51</v>
      </c>
      <c r="AT12" s="42" t="s">
        <v>52</v>
      </c>
      <c r="AU12" s="43" t="s">
        <v>52</v>
      </c>
      <c r="AV12" s="44" t="s">
        <v>50</v>
      </c>
      <c r="AW12" s="46">
        <v>1</v>
      </c>
      <c r="AX12" s="76">
        <f>(D12*1)+(H12*1)+(L12*1.5)</f>
        <v>3.2536782924462693</v>
      </c>
      <c r="AY12" s="48">
        <f t="shared" ref="AY12:AY21" si="0">(P12*2)+(T12*1.4)+(X12*1)+(AB12*2)+(AF12*1)+(AJ12*0.5)+(AN12*0.5)</f>
        <v>4.5452085931612594</v>
      </c>
      <c r="AZ12" s="48">
        <f>(AP12*0.5)+(AR12*0.7)+(AU12*0.5)+(AW12*1)</f>
        <v>1.5</v>
      </c>
      <c r="BA12" s="73">
        <f>(AX12*2)+(AY12*2.5)+(AZ12*1)</f>
        <v>19.370378067795688</v>
      </c>
      <c r="BB12" s="100">
        <f>степень!D7</f>
        <v>2</v>
      </c>
    </row>
    <row r="13" spans="1:54" ht="15" customHeight="1" x14ac:dyDescent="0.25">
      <c r="A13" s="63"/>
      <c r="B13" s="18" t="s">
        <v>54</v>
      </c>
      <c r="C13" s="32" t="s">
        <v>104</v>
      </c>
      <c r="D13" s="39">
        <v>1</v>
      </c>
      <c r="E13" s="133">
        <v>125</v>
      </c>
      <c r="F13" s="133">
        <v>125</v>
      </c>
      <c r="G13" s="67">
        <f>(F13-E13)/E13</f>
        <v>0</v>
      </c>
      <c r="H13" s="136">
        <f>(G16-G13)/(G16-G20)</f>
        <v>1</v>
      </c>
      <c r="I13" s="144">
        <v>3399.1</v>
      </c>
      <c r="J13" s="144">
        <v>2982.2</v>
      </c>
      <c r="K13" s="79">
        <f t="shared" ref="K13:K21" si="1">(I13-J13)/J13</f>
        <v>0.13979612366709146</v>
      </c>
      <c r="L13" s="79">
        <f>(K23-K13)/(K23-K14)</f>
        <v>0.3699374456502898</v>
      </c>
      <c r="M13" s="133">
        <v>139.1</v>
      </c>
      <c r="N13" s="133">
        <v>110.6</v>
      </c>
      <c r="O13" s="67">
        <f t="shared" ref="O13:O24" si="2">M13/N13</f>
        <v>1.2576853526220615</v>
      </c>
      <c r="P13" s="137">
        <f>(O13-O21)/(O16-O21)</f>
        <v>0.46978658997309347</v>
      </c>
      <c r="Q13" s="139">
        <v>42.9</v>
      </c>
      <c r="R13" s="139">
        <v>37.299999999999997</v>
      </c>
      <c r="S13" s="85">
        <f t="shared" ref="S13:S21" si="3">R13-Q13</f>
        <v>-5.6000000000000014</v>
      </c>
      <c r="T13" s="137">
        <v>1</v>
      </c>
      <c r="U13" s="131">
        <v>0</v>
      </c>
      <c r="V13" s="147">
        <v>3272.6</v>
      </c>
      <c r="W13" s="67">
        <f t="shared" ref="W13:W21" si="4">U13/V13</f>
        <v>0</v>
      </c>
      <c r="X13" s="34">
        <v>1</v>
      </c>
      <c r="Y13" s="84">
        <v>0</v>
      </c>
      <c r="Z13" s="84">
        <v>209.4</v>
      </c>
      <c r="AA13" s="84">
        <v>7.5</v>
      </c>
      <c r="AB13" s="39">
        <v>1</v>
      </c>
      <c r="AC13" s="84">
        <v>1000.2</v>
      </c>
      <c r="AD13" s="133">
        <v>139.1</v>
      </c>
      <c r="AE13" s="67">
        <f t="shared" ref="AE13:AE21" si="5">AC13/AD13</f>
        <v>7.1905104241552849</v>
      </c>
      <c r="AF13" s="39">
        <f>(AE14-AE13)/(AE14-AE24)</f>
        <v>0.28714396824855137</v>
      </c>
      <c r="AG13" s="34">
        <v>0</v>
      </c>
      <c r="AH13" s="34">
        <v>0</v>
      </c>
      <c r="AI13" s="67">
        <v>0</v>
      </c>
      <c r="AJ13" s="39">
        <f>(AI13-AI20)/(AI24-AI20)</f>
        <v>0</v>
      </c>
      <c r="AK13" s="84">
        <v>7331.6</v>
      </c>
      <c r="AL13" s="84">
        <v>5957.8</v>
      </c>
      <c r="AM13" s="79">
        <f t="shared" ref="AM13:AM21" si="6">AK13/AL13</f>
        <v>1.2305884722548592</v>
      </c>
      <c r="AN13" s="84">
        <f>(AM23-AM13)/(AM23-AM21)</f>
        <v>0.17346827336793219</v>
      </c>
      <c r="AO13" s="84" t="s">
        <v>110</v>
      </c>
      <c r="AP13" s="90">
        <v>1</v>
      </c>
      <c r="AQ13" s="148" t="s">
        <v>103</v>
      </c>
      <c r="AR13" s="45">
        <v>0</v>
      </c>
      <c r="AS13" s="41" t="s">
        <v>51</v>
      </c>
      <c r="AT13" s="42" t="s">
        <v>52</v>
      </c>
      <c r="AU13" s="43" t="s">
        <v>52</v>
      </c>
      <c r="AV13" s="44" t="s">
        <v>50</v>
      </c>
      <c r="AW13" s="46">
        <v>1</v>
      </c>
      <c r="AX13" s="76">
        <f t="shared" ref="AX13:AX21" si="7">(D13*1)+(H13*1)+(L13*1.5)</f>
        <v>2.5549061684754348</v>
      </c>
      <c r="AY13" s="48">
        <f t="shared" si="0"/>
        <v>5.7134512848787047</v>
      </c>
      <c r="AZ13" s="48">
        <f t="shared" ref="AZ13:AZ21" si="8">(AP13*0.5)+(AR13*0.7)+(AU13*0.5)+(AW13*1)</f>
        <v>2</v>
      </c>
      <c r="BA13" s="81">
        <f t="shared" ref="BA13:BA20" si="9">(AX13*2)+(AY13*2.5)+(AZ13*1)</f>
        <v>21.39344054914763</v>
      </c>
      <c r="BB13" s="100">
        <f>степень!D8</f>
        <v>2</v>
      </c>
    </row>
    <row r="14" spans="1:54" ht="15" customHeight="1" x14ac:dyDescent="0.25">
      <c r="A14" s="63"/>
      <c r="B14" s="18" t="s">
        <v>55</v>
      </c>
      <c r="C14" s="32" t="s">
        <v>104</v>
      </c>
      <c r="D14" s="39">
        <v>1</v>
      </c>
      <c r="E14" s="133">
        <v>354</v>
      </c>
      <c r="F14" s="133">
        <v>354</v>
      </c>
      <c r="G14" s="67">
        <f t="shared" ref="G14:G24" si="10">(F14-E14)/E14</f>
        <v>0</v>
      </c>
      <c r="H14" s="136">
        <f>(G16-G14)/(G16-G20)</f>
        <v>1</v>
      </c>
      <c r="I14" s="144">
        <v>9873.1</v>
      </c>
      <c r="J14" s="144">
        <v>12627.1</v>
      </c>
      <c r="K14" s="146">
        <f t="shared" si="1"/>
        <v>-0.21810233545311275</v>
      </c>
      <c r="L14" s="79">
        <f>(K23-K14)/(K23-K14)</f>
        <v>1</v>
      </c>
      <c r="M14" s="133">
        <v>346.6</v>
      </c>
      <c r="N14" s="133">
        <v>380</v>
      </c>
      <c r="O14" s="67">
        <f t="shared" si="2"/>
        <v>0.91210526315789475</v>
      </c>
      <c r="P14" s="137">
        <f>(O14-O21)/(O16-O21)</f>
        <v>0.24188154496846828</v>
      </c>
      <c r="Q14" s="139">
        <v>283.10000000000002</v>
      </c>
      <c r="R14" s="139">
        <v>289.8</v>
      </c>
      <c r="S14" s="85">
        <f t="shared" si="3"/>
        <v>6.6999999999999886</v>
      </c>
      <c r="T14" s="137">
        <v>0</v>
      </c>
      <c r="U14" s="131">
        <v>0</v>
      </c>
      <c r="V14" s="84">
        <v>9771.1</v>
      </c>
      <c r="W14" s="67">
        <f t="shared" si="4"/>
        <v>0</v>
      </c>
      <c r="X14" s="34">
        <v>1</v>
      </c>
      <c r="Y14" s="84">
        <v>0</v>
      </c>
      <c r="Z14" s="84">
        <v>511.6</v>
      </c>
      <c r="AA14" s="84">
        <v>117.5</v>
      </c>
      <c r="AB14" s="39">
        <v>1</v>
      </c>
      <c r="AC14" s="84">
        <v>3492.8</v>
      </c>
      <c r="AD14" s="133">
        <v>346.6</v>
      </c>
      <c r="AE14" s="132">
        <f t="shared" si="5"/>
        <v>10.07732256203116</v>
      </c>
      <c r="AF14" s="39">
        <f>(AE14-AE14)/(AE14-AE24)</f>
        <v>0</v>
      </c>
      <c r="AG14" s="34">
        <v>0</v>
      </c>
      <c r="AH14" s="34">
        <v>18.2</v>
      </c>
      <c r="AI14" s="67">
        <f t="shared" ref="AI14:AI21" si="11">AG14/AH14</f>
        <v>0</v>
      </c>
      <c r="AJ14" s="39">
        <f>(AI14-AI20)/(AI24-AI20)</f>
        <v>0</v>
      </c>
      <c r="AK14" s="84">
        <v>3754.9</v>
      </c>
      <c r="AL14" s="84">
        <v>3008.6</v>
      </c>
      <c r="AM14" s="79">
        <f t="shared" si="6"/>
        <v>1.2480555740211394</v>
      </c>
      <c r="AN14" s="84">
        <f>(AM23-AM14)/(AM23-AM21)</f>
        <v>0.14199427983040444</v>
      </c>
      <c r="AO14" s="84" t="s">
        <v>128</v>
      </c>
      <c r="AP14" s="90">
        <v>1</v>
      </c>
      <c r="AQ14" s="148" t="s">
        <v>104</v>
      </c>
      <c r="AR14" s="45">
        <v>1</v>
      </c>
      <c r="AS14" s="41" t="s">
        <v>51</v>
      </c>
      <c r="AT14" s="42" t="s">
        <v>52</v>
      </c>
      <c r="AU14" s="43" t="s">
        <v>52</v>
      </c>
      <c r="AV14" s="44" t="s">
        <v>50</v>
      </c>
      <c r="AW14" s="46">
        <v>1</v>
      </c>
      <c r="AX14" s="76">
        <f t="shared" si="7"/>
        <v>3.5</v>
      </c>
      <c r="AY14" s="48">
        <f t="shared" si="0"/>
        <v>3.554760229852139</v>
      </c>
      <c r="AZ14" s="48">
        <f t="shared" si="8"/>
        <v>2.7</v>
      </c>
      <c r="BA14" s="81">
        <f t="shared" si="9"/>
        <v>18.586900574630349</v>
      </c>
      <c r="BB14" s="100">
        <f>степень!D9</f>
        <v>2</v>
      </c>
    </row>
    <row r="15" spans="1:54" ht="15" customHeight="1" x14ac:dyDescent="0.25">
      <c r="A15" s="63"/>
      <c r="B15" s="18" t="s">
        <v>56</v>
      </c>
      <c r="C15" s="32" t="s">
        <v>104</v>
      </c>
      <c r="D15" s="39">
        <v>1</v>
      </c>
      <c r="E15" s="133">
        <v>1197.4000000000001</v>
      </c>
      <c r="F15" s="133">
        <v>1202.9000000000001</v>
      </c>
      <c r="G15" s="67">
        <f t="shared" si="10"/>
        <v>4.5932854518122594E-3</v>
      </c>
      <c r="H15" s="136">
        <f>(G16-G15)/(G16-G20)</f>
        <v>0.99148752900909876</v>
      </c>
      <c r="I15" s="144">
        <v>5247.8</v>
      </c>
      <c r="J15" s="144">
        <v>4788</v>
      </c>
      <c r="K15" s="79">
        <f t="shared" si="1"/>
        <v>9.6031746031746065E-2</v>
      </c>
      <c r="L15" s="79">
        <f>(K23-K15)/(K23-K14)</f>
        <v>0.44698247018108811</v>
      </c>
      <c r="M15" s="133">
        <v>944.9</v>
      </c>
      <c r="N15" s="133">
        <v>1113.2</v>
      </c>
      <c r="O15" s="67">
        <f t="shared" si="2"/>
        <v>0.84881422924901184</v>
      </c>
      <c r="P15" s="137">
        <f>(O15-O21)-(O16-O21)</f>
        <v>-1.212851560350567</v>
      </c>
      <c r="Q15" s="139">
        <v>121</v>
      </c>
      <c r="R15" s="139">
        <v>106.3</v>
      </c>
      <c r="S15" s="85">
        <f t="shared" si="3"/>
        <v>-14.700000000000003</v>
      </c>
      <c r="T15" s="137">
        <v>1</v>
      </c>
      <c r="U15" s="131">
        <v>0</v>
      </c>
      <c r="V15" s="84">
        <v>4926.2</v>
      </c>
      <c r="W15" s="67">
        <f t="shared" si="4"/>
        <v>0</v>
      </c>
      <c r="X15" s="34">
        <v>1</v>
      </c>
      <c r="Y15" s="84">
        <v>0</v>
      </c>
      <c r="Z15" s="84">
        <v>192.4</v>
      </c>
      <c r="AA15" s="84">
        <v>5</v>
      </c>
      <c r="AB15" s="39">
        <v>1</v>
      </c>
      <c r="AC15" s="84">
        <v>163.5</v>
      </c>
      <c r="AD15" s="133">
        <v>944.9</v>
      </c>
      <c r="AE15" s="67">
        <f t="shared" si="5"/>
        <v>0.1730341835114827</v>
      </c>
      <c r="AF15" s="39">
        <f>(AE14-AE15)/(AE14-AE24)</f>
        <v>0.9851547422752428</v>
      </c>
      <c r="AG15" s="34">
        <v>0</v>
      </c>
      <c r="AH15" s="34">
        <v>113.9</v>
      </c>
      <c r="AI15" s="67">
        <f t="shared" si="11"/>
        <v>0</v>
      </c>
      <c r="AJ15" s="39">
        <f>(AI15-AI20)/(AI24-AI20)</f>
        <v>0</v>
      </c>
      <c r="AK15" s="84">
        <v>2002.3</v>
      </c>
      <c r="AL15" s="84">
        <v>1742.5</v>
      </c>
      <c r="AM15" s="79">
        <f t="shared" si="6"/>
        <v>1.1490961262553803</v>
      </c>
      <c r="AN15" s="84">
        <f>(AM23-AM15)/(AM23-AM21)</f>
        <v>0.32030943829988634</v>
      </c>
      <c r="AO15" s="84" t="s">
        <v>129</v>
      </c>
      <c r="AP15" s="90">
        <v>0</v>
      </c>
      <c r="AQ15" s="148" t="s">
        <v>103</v>
      </c>
      <c r="AR15" s="45">
        <v>0</v>
      </c>
      <c r="AS15" s="41" t="s">
        <v>51</v>
      </c>
      <c r="AT15" s="42" t="s">
        <v>52</v>
      </c>
      <c r="AU15" s="43" t="s">
        <v>52</v>
      </c>
      <c r="AV15" s="44" t="s">
        <v>50</v>
      </c>
      <c r="AW15" s="46">
        <v>1</v>
      </c>
      <c r="AX15" s="76">
        <f t="shared" si="7"/>
        <v>2.6619612342807311</v>
      </c>
      <c r="AY15" s="48">
        <f t="shared" si="0"/>
        <v>3.1196063407240517</v>
      </c>
      <c r="AZ15" s="48">
        <f t="shared" si="8"/>
        <v>1.5</v>
      </c>
      <c r="BA15" s="81">
        <f t="shared" si="9"/>
        <v>14.622938320371592</v>
      </c>
      <c r="BB15" s="100">
        <f>степень!D10</f>
        <v>3</v>
      </c>
    </row>
    <row r="16" spans="1:54" ht="15" customHeight="1" x14ac:dyDescent="0.25">
      <c r="A16" s="63"/>
      <c r="B16" s="18" t="s">
        <v>57</v>
      </c>
      <c r="C16" s="32" t="s">
        <v>104</v>
      </c>
      <c r="D16" s="39">
        <v>1</v>
      </c>
      <c r="E16" s="133">
        <v>2443.5</v>
      </c>
      <c r="F16" s="133">
        <v>3762</v>
      </c>
      <c r="G16" s="67">
        <f t="shared" si="10"/>
        <v>0.53959484346224673</v>
      </c>
      <c r="H16" s="136">
        <f>(G16-G16)/(G16-G20)</f>
        <v>0</v>
      </c>
      <c r="I16" s="144">
        <v>14683.5</v>
      </c>
      <c r="J16" s="144">
        <v>13695</v>
      </c>
      <c r="K16" s="145">
        <f t="shared" si="1"/>
        <v>7.2179627601314342E-2</v>
      </c>
      <c r="L16" s="79">
        <f>(K23-K16)/(K23-K14)</f>
        <v>0.48897294620010379</v>
      </c>
      <c r="M16" s="133">
        <v>4309.5</v>
      </c>
      <c r="N16" s="133">
        <v>2090.3000000000002</v>
      </c>
      <c r="O16" s="67">
        <f t="shared" si="2"/>
        <v>2.0616657895995787</v>
      </c>
      <c r="P16" s="137">
        <f>(O16-O21)/(O16-O21)</f>
        <v>1</v>
      </c>
      <c r="Q16" s="139">
        <v>1156.0999999999999</v>
      </c>
      <c r="R16" s="139">
        <v>333.2</v>
      </c>
      <c r="S16" s="85">
        <f t="shared" si="3"/>
        <v>-822.89999999999986</v>
      </c>
      <c r="T16" s="137">
        <v>1</v>
      </c>
      <c r="U16" s="131">
        <v>0</v>
      </c>
      <c r="V16" s="84">
        <v>13551.7</v>
      </c>
      <c r="W16" s="67">
        <f t="shared" si="4"/>
        <v>0</v>
      </c>
      <c r="X16" s="34">
        <v>1</v>
      </c>
      <c r="Y16" s="84">
        <v>0</v>
      </c>
      <c r="Z16" s="84">
        <v>193.7</v>
      </c>
      <c r="AA16" s="84">
        <v>71.099999999999994</v>
      </c>
      <c r="AB16" s="39">
        <v>1</v>
      </c>
      <c r="AC16" s="84">
        <v>3466.5</v>
      </c>
      <c r="AD16" s="133">
        <v>4309.5</v>
      </c>
      <c r="AE16" s="67">
        <f t="shared" si="5"/>
        <v>0.80438565958927954</v>
      </c>
      <c r="AF16" s="39">
        <f>(AE14-AE16)/(AE14-AE24)</f>
        <v>0.92235579328164752</v>
      </c>
      <c r="AG16" s="34">
        <v>0</v>
      </c>
      <c r="AH16" s="34">
        <v>53.6</v>
      </c>
      <c r="AI16" s="67">
        <f t="shared" si="11"/>
        <v>0</v>
      </c>
      <c r="AJ16" s="39">
        <f>(AI16-AI20)/(AI24-AI20)</f>
        <v>0</v>
      </c>
      <c r="AK16" s="84">
        <v>988.6</v>
      </c>
      <c r="AL16" s="84">
        <v>1033.3</v>
      </c>
      <c r="AM16" s="79">
        <f t="shared" si="6"/>
        <v>0.95674054001741993</v>
      </c>
      <c r="AN16" s="84">
        <f>(AM23-AM16)/(AM23-AM21)</f>
        <v>0.66691522094027877</v>
      </c>
      <c r="AO16" s="84" t="s">
        <v>110</v>
      </c>
      <c r="AP16" s="90">
        <v>1</v>
      </c>
      <c r="AQ16" s="148" t="s">
        <v>104</v>
      </c>
      <c r="AR16" s="45">
        <v>1</v>
      </c>
      <c r="AS16" s="41" t="s">
        <v>51</v>
      </c>
      <c r="AT16" s="42" t="s">
        <v>52</v>
      </c>
      <c r="AU16" s="43" t="s">
        <v>52</v>
      </c>
      <c r="AV16" s="44" t="s">
        <v>50</v>
      </c>
      <c r="AW16" s="46">
        <v>1</v>
      </c>
      <c r="AX16" s="76">
        <f t="shared" si="7"/>
        <v>1.7334594193001558</v>
      </c>
      <c r="AY16" s="48">
        <f t="shared" si="0"/>
        <v>7.6558134037517878</v>
      </c>
      <c r="AZ16" s="48">
        <f t="shared" si="8"/>
        <v>2.7</v>
      </c>
      <c r="BA16" s="81">
        <f t="shared" si="9"/>
        <v>25.306452347979778</v>
      </c>
      <c r="BB16" s="100">
        <f>степень!D11</f>
        <v>1</v>
      </c>
    </row>
    <row r="17" spans="1:54" ht="15" customHeight="1" x14ac:dyDescent="0.25">
      <c r="A17" s="63"/>
      <c r="B17" s="18" t="s">
        <v>58</v>
      </c>
      <c r="C17" s="32" t="s">
        <v>104</v>
      </c>
      <c r="D17" s="39">
        <v>1</v>
      </c>
      <c r="E17" s="133">
        <v>1265.7</v>
      </c>
      <c r="F17" s="133">
        <v>1265.7</v>
      </c>
      <c r="G17" s="67">
        <f t="shared" si="10"/>
        <v>0</v>
      </c>
      <c r="H17" s="136">
        <f>(G16-G17)/(G16-G20)</f>
        <v>1</v>
      </c>
      <c r="I17" s="144">
        <v>9793</v>
      </c>
      <c r="J17" s="144">
        <v>9032.7000000000007</v>
      </c>
      <c r="K17" s="79">
        <f t="shared" si="1"/>
        <v>8.4171953015155954E-2</v>
      </c>
      <c r="L17" s="79">
        <f>(K23-K17)/(K23-K14)</f>
        <v>0.46786104982197424</v>
      </c>
      <c r="M17" s="133">
        <v>776.2</v>
      </c>
      <c r="N17" s="133">
        <v>849.4</v>
      </c>
      <c r="O17" s="67">
        <f t="shared" si="2"/>
        <v>0.91382152107369918</v>
      </c>
      <c r="P17" s="137">
        <f>(O17-O21)/(O16-O21)</f>
        <v>0.24301339211321391</v>
      </c>
      <c r="Q17" s="139">
        <v>2499.4</v>
      </c>
      <c r="R17" s="139">
        <v>2401</v>
      </c>
      <c r="S17" s="85">
        <f t="shared" si="3"/>
        <v>-98.400000000000091</v>
      </c>
      <c r="T17" s="137">
        <v>1</v>
      </c>
      <c r="U17" s="131">
        <v>0</v>
      </c>
      <c r="V17" s="84">
        <v>9215.5</v>
      </c>
      <c r="W17" s="67">
        <f t="shared" si="4"/>
        <v>0</v>
      </c>
      <c r="X17" s="34">
        <v>1</v>
      </c>
      <c r="Y17" s="84">
        <v>0</v>
      </c>
      <c r="Z17" s="84">
        <v>333</v>
      </c>
      <c r="AA17" s="84">
        <v>13.5</v>
      </c>
      <c r="AB17" s="39">
        <v>1</v>
      </c>
      <c r="AC17" s="84">
        <v>3122.5</v>
      </c>
      <c r="AD17" s="133">
        <v>776.2</v>
      </c>
      <c r="AE17" s="67">
        <f t="shared" si="5"/>
        <v>4.0228034011852616</v>
      </c>
      <c r="AF17" s="39">
        <f>(AE14-AE17)/(AE14-AE24)</f>
        <v>0.60222784672139684</v>
      </c>
      <c r="AG17" s="34">
        <v>0</v>
      </c>
      <c r="AH17" s="34">
        <v>86.1</v>
      </c>
      <c r="AI17" s="67">
        <f t="shared" si="11"/>
        <v>0</v>
      </c>
      <c r="AJ17" s="39">
        <f>(AI17-AI20)/(AI24-AI20)</f>
        <v>0</v>
      </c>
      <c r="AK17" s="84">
        <v>1629.7</v>
      </c>
      <c r="AL17" s="84">
        <v>1460.6</v>
      </c>
      <c r="AM17" s="79">
        <f t="shared" si="6"/>
        <v>1.1157743393126114</v>
      </c>
      <c r="AN17" s="84">
        <f>(AM23-AM17)/(AM23-AM21)</f>
        <v>0.38035200981110345</v>
      </c>
      <c r="AO17" s="84" t="s">
        <v>110</v>
      </c>
      <c r="AP17" s="90">
        <v>1</v>
      </c>
      <c r="AQ17" s="148" t="s">
        <v>104</v>
      </c>
      <c r="AR17" s="45">
        <v>1</v>
      </c>
      <c r="AS17" s="41" t="s">
        <v>51</v>
      </c>
      <c r="AT17" s="42" t="s">
        <v>52</v>
      </c>
      <c r="AU17" s="43" t="s">
        <v>52</v>
      </c>
      <c r="AV17" s="44" t="s">
        <v>50</v>
      </c>
      <c r="AW17" s="46">
        <v>1</v>
      </c>
      <c r="AX17" s="76">
        <f t="shared" si="7"/>
        <v>2.7017915747329613</v>
      </c>
      <c r="AY17" s="48">
        <f t="shared" si="0"/>
        <v>5.6784306358533767</v>
      </c>
      <c r="AZ17" s="48">
        <f t="shared" si="8"/>
        <v>2.7</v>
      </c>
      <c r="BA17" s="81">
        <f t="shared" si="9"/>
        <v>22.299659739099365</v>
      </c>
      <c r="BB17" s="100">
        <f>степень!D12</f>
        <v>2</v>
      </c>
    </row>
    <row r="18" spans="1:54" ht="15" customHeight="1" x14ac:dyDescent="0.25">
      <c r="A18" s="63"/>
      <c r="B18" s="18" t="s">
        <v>59</v>
      </c>
      <c r="C18" s="32" t="s">
        <v>104</v>
      </c>
      <c r="D18" s="39">
        <v>1</v>
      </c>
      <c r="E18" s="133">
        <v>1453.8</v>
      </c>
      <c r="F18" s="133">
        <v>1453.8</v>
      </c>
      <c r="G18" s="67">
        <f t="shared" si="10"/>
        <v>0</v>
      </c>
      <c r="H18" s="136">
        <f>(G16-G18)/(G16-G20)</f>
        <v>1</v>
      </c>
      <c r="I18" s="144">
        <v>12915.7</v>
      </c>
      <c r="J18" s="144">
        <v>12866.8</v>
      </c>
      <c r="K18" s="145">
        <f>(I18-J18)/J18</f>
        <v>3.8004787515156417E-3</v>
      </c>
      <c r="L18" s="79">
        <f>(K23-K18)/(K23-K14)</f>
        <v>0.60935105929528555</v>
      </c>
      <c r="M18" s="133">
        <v>1299.5</v>
      </c>
      <c r="N18" s="133">
        <v>1260.5</v>
      </c>
      <c r="O18" s="67">
        <f t="shared" si="2"/>
        <v>1.0309401031336771</v>
      </c>
      <c r="P18" s="137">
        <f>(O18-O21)/(O16-O21)</f>
        <v>0.32025139432753086</v>
      </c>
      <c r="Q18" s="139">
        <v>1405</v>
      </c>
      <c r="R18" s="139">
        <v>761.5</v>
      </c>
      <c r="S18" s="85">
        <f t="shared" si="3"/>
        <v>-643.5</v>
      </c>
      <c r="T18" s="137">
        <v>1</v>
      </c>
      <c r="U18" s="131">
        <v>0</v>
      </c>
      <c r="V18" s="84">
        <v>12688.5</v>
      </c>
      <c r="W18" s="67">
        <f t="shared" si="4"/>
        <v>0</v>
      </c>
      <c r="X18" s="34">
        <v>1</v>
      </c>
      <c r="Y18" s="84">
        <v>0</v>
      </c>
      <c r="Z18" s="84">
        <v>345</v>
      </c>
      <c r="AA18" s="84">
        <v>57.1</v>
      </c>
      <c r="AB18" s="39">
        <v>1</v>
      </c>
      <c r="AC18" s="84">
        <v>6515.8</v>
      </c>
      <c r="AD18" s="133">
        <v>1299.5</v>
      </c>
      <c r="AE18" s="67">
        <f t="shared" si="5"/>
        <v>5.014082339361293</v>
      </c>
      <c r="AF18" s="39">
        <f>(AE14-AE18)/(AE14-AE24)</f>
        <v>0.5036278151452116</v>
      </c>
      <c r="AG18" s="34">
        <v>0</v>
      </c>
      <c r="AH18" s="34">
        <v>56.9</v>
      </c>
      <c r="AI18" s="67">
        <f t="shared" si="11"/>
        <v>0</v>
      </c>
      <c r="AJ18" s="39">
        <f>(AI18-AI20)/(AI24-AI20)</f>
        <v>0</v>
      </c>
      <c r="AK18" s="84">
        <v>1083.5</v>
      </c>
      <c r="AL18" s="84">
        <v>991.6</v>
      </c>
      <c r="AM18" s="79">
        <f t="shared" si="6"/>
        <v>1.0926784993949172</v>
      </c>
      <c r="AN18" s="84">
        <f>(AM23-AM18)/(AM23-AM21)</f>
        <v>0.42196843399182121</v>
      </c>
      <c r="AO18" s="84" t="s">
        <v>110</v>
      </c>
      <c r="AP18" s="90">
        <v>1</v>
      </c>
      <c r="AQ18" s="148" t="s">
        <v>104</v>
      </c>
      <c r="AR18" s="45">
        <v>1</v>
      </c>
      <c r="AS18" s="41" t="s">
        <v>51</v>
      </c>
      <c r="AT18" s="42" t="s">
        <v>52</v>
      </c>
      <c r="AU18" s="43" t="s">
        <v>52</v>
      </c>
      <c r="AV18" s="44" t="s">
        <v>50</v>
      </c>
      <c r="AW18" s="46">
        <v>1</v>
      </c>
      <c r="AX18" s="76">
        <f t="shared" si="7"/>
        <v>2.9140265889429284</v>
      </c>
      <c r="AY18" s="48">
        <f t="shared" si="0"/>
        <v>5.7551148207961837</v>
      </c>
      <c r="AZ18" s="48">
        <f t="shared" si="8"/>
        <v>2.7</v>
      </c>
      <c r="BA18" s="81">
        <f t="shared" si="9"/>
        <v>22.915840229876316</v>
      </c>
      <c r="BB18" s="100">
        <f>степень!D13</f>
        <v>1</v>
      </c>
    </row>
    <row r="19" spans="1:54" ht="15" customHeight="1" x14ac:dyDescent="0.25">
      <c r="A19" s="63"/>
      <c r="B19" s="18" t="s">
        <v>60</v>
      </c>
      <c r="C19" s="32" t="s">
        <v>104</v>
      </c>
      <c r="D19" s="39">
        <v>1</v>
      </c>
      <c r="E19" s="133">
        <v>135.80000000000001</v>
      </c>
      <c r="F19" s="133">
        <v>135.80000000000001</v>
      </c>
      <c r="G19" s="67">
        <f t="shared" si="10"/>
        <v>0</v>
      </c>
      <c r="H19" s="136">
        <f>(G16-G19)/(G16-G20)</f>
        <v>1</v>
      </c>
      <c r="I19" s="144">
        <v>4132</v>
      </c>
      <c r="J19" s="144">
        <v>3683.8</v>
      </c>
      <c r="K19" s="79">
        <f t="shared" si="1"/>
        <v>0.12166784298821863</v>
      </c>
      <c r="L19" s="79">
        <f t="shared" ref="L19" si="12">(K30-K19)/(K30-K21)</f>
        <v>0.8852384438108315</v>
      </c>
      <c r="M19" s="133">
        <v>166</v>
      </c>
      <c r="N19" s="133">
        <v>203.2</v>
      </c>
      <c r="O19" s="67">
        <f t="shared" si="2"/>
        <v>0.81692913385826771</v>
      </c>
      <c r="P19" s="137">
        <f>(O19-O21)-(O16-O21)</f>
        <v>-1.2447366557413111</v>
      </c>
      <c r="Q19" s="139">
        <v>3.6</v>
      </c>
      <c r="R19" s="139">
        <v>6.1</v>
      </c>
      <c r="S19" s="85">
        <f t="shared" si="3"/>
        <v>2.4999999999999996</v>
      </c>
      <c r="T19" s="137">
        <v>0</v>
      </c>
      <c r="U19" s="131">
        <v>0</v>
      </c>
      <c r="V19" s="84">
        <v>4088.8</v>
      </c>
      <c r="W19" s="67">
        <f t="shared" si="4"/>
        <v>0</v>
      </c>
      <c r="X19" s="34">
        <v>1</v>
      </c>
      <c r="Y19" s="84">
        <v>0</v>
      </c>
      <c r="Z19" s="84">
        <v>75.5</v>
      </c>
      <c r="AA19" s="84">
        <v>21.9</v>
      </c>
      <c r="AB19" s="39">
        <v>1</v>
      </c>
      <c r="AC19" s="84">
        <v>644</v>
      </c>
      <c r="AD19" s="133">
        <v>166</v>
      </c>
      <c r="AE19" s="67">
        <f t="shared" si="5"/>
        <v>3.8795180722891565</v>
      </c>
      <c r="AF19" s="39">
        <f>(AE14-AE19)/(AE14-AE24)</f>
        <v>0.61648007927619686</v>
      </c>
      <c r="AG19" s="34">
        <v>0</v>
      </c>
      <c r="AH19" s="34">
        <v>4.5</v>
      </c>
      <c r="AI19" s="67">
        <f t="shared" si="11"/>
        <v>0</v>
      </c>
      <c r="AJ19" s="39">
        <f>(AI19-AI20)/(AI24-AI20)</f>
        <v>0</v>
      </c>
      <c r="AK19" s="84">
        <v>11644.3</v>
      </c>
      <c r="AL19" s="84">
        <v>11429.4</v>
      </c>
      <c r="AM19" s="79">
        <f t="shared" si="6"/>
        <v>1.0188023868269551</v>
      </c>
      <c r="AN19" s="84">
        <f>(AM23-AM19)/(AM23-AM21)</f>
        <v>0.55508589793368757</v>
      </c>
      <c r="AO19" s="84" t="s">
        <v>129</v>
      </c>
      <c r="AP19" s="90">
        <v>0</v>
      </c>
      <c r="AQ19" s="148" t="s">
        <v>103</v>
      </c>
      <c r="AR19" s="45">
        <v>0</v>
      </c>
      <c r="AS19" s="41" t="s">
        <v>51</v>
      </c>
      <c r="AT19" s="42" t="s">
        <v>52</v>
      </c>
      <c r="AU19" s="43" t="s">
        <v>52</v>
      </c>
      <c r="AV19" s="44" t="s">
        <v>50</v>
      </c>
      <c r="AW19" s="46">
        <v>1</v>
      </c>
      <c r="AX19" s="76">
        <f t="shared" si="7"/>
        <v>3.3278576657162473</v>
      </c>
      <c r="AY19" s="48">
        <f t="shared" si="0"/>
        <v>1.4045497167604184</v>
      </c>
      <c r="AZ19" s="48">
        <f t="shared" si="8"/>
        <v>1.5</v>
      </c>
      <c r="BA19" s="81">
        <f t="shared" si="9"/>
        <v>11.66708962333354</v>
      </c>
      <c r="BB19" s="100">
        <f>степень!D14</f>
        <v>3</v>
      </c>
    </row>
    <row r="20" spans="1:54" ht="15" customHeight="1" x14ac:dyDescent="0.25">
      <c r="A20" s="63"/>
      <c r="B20" s="18" t="s">
        <v>61</v>
      </c>
      <c r="C20" s="32" t="s">
        <v>104</v>
      </c>
      <c r="D20" s="39">
        <v>1</v>
      </c>
      <c r="E20" s="133">
        <v>78</v>
      </c>
      <c r="F20" s="133">
        <v>78</v>
      </c>
      <c r="G20" s="67">
        <f t="shared" si="10"/>
        <v>0</v>
      </c>
      <c r="H20" s="136">
        <f>(G16-G20)/(G16-G20)</f>
        <v>1</v>
      </c>
      <c r="I20" s="144">
        <v>1631.6</v>
      </c>
      <c r="J20" s="144">
        <v>1469.6</v>
      </c>
      <c r="K20" s="79">
        <f t="shared" si="1"/>
        <v>0.11023407729994557</v>
      </c>
      <c r="L20" s="79">
        <f>(K23-K20)/(K23-K14)</f>
        <v>0.42197996768761659</v>
      </c>
      <c r="M20" s="133">
        <v>76.3</v>
      </c>
      <c r="N20" s="133">
        <v>76.3</v>
      </c>
      <c r="O20" s="67">
        <f t="shared" si="2"/>
        <v>1</v>
      </c>
      <c r="P20" s="137">
        <f>(O20-O21)/(O16-O21)</f>
        <v>0.29984684611394058</v>
      </c>
      <c r="Q20" s="139">
        <v>19.2</v>
      </c>
      <c r="R20" s="139">
        <v>37.200000000000003</v>
      </c>
      <c r="S20" s="85">
        <f t="shared" si="3"/>
        <v>18.000000000000004</v>
      </c>
      <c r="T20" s="137">
        <v>0</v>
      </c>
      <c r="U20" s="131">
        <v>0</v>
      </c>
      <c r="V20" s="84">
        <v>1557.2</v>
      </c>
      <c r="W20" s="67">
        <v>0</v>
      </c>
      <c r="X20" s="34">
        <v>1</v>
      </c>
      <c r="Y20" s="84">
        <v>0</v>
      </c>
      <c r="Z20" s="84">
        <v>27.7</v>
      </c>
      <c r="AA20" s="84">
        <v>5</v>
      </c>
      <c r="AB20" s="39">
        <v>1</v>
      </c>
      <c r="AC20" s="84">
        <v>589.29999999999995</v>
      </c>
      <c r="AD20" s="133">
        <v>76.3</v>
      </c>
      <c r="AE20" s="67">
        <f>AC20/AD20</f>
        <v>7.7234600262123196</v>
      </c>
      <c r="AF20" s="39">
        <f>(AE14-AE20)/(AE14-AE24)</f>
        <v>0.23413280704297823</v>
      </c>
      <c r="AG20" s="34">
        <v>0</v>
      </c>
      <c r="AH20" s="34">
        <v>0</v>
      </c>
      <c r="AI20" s="79">
        <v>0</v>
      </c>
      <c r="AJ20" s="39">
        <f>(AI20-AI20)/(AI24-AI20)</f>
        <v>0</v>
      </c>
      <c r="AK20" s="84">
        <v>10820.6</v>
      </c>
      <c r="AL20" s="84">
        <v>9079.7000000000007</v>
      </c>
      <c r="AM20" s="145">
        <f>AK20/AL20</f>
        <v>1.1917354097602344</v>
      </c>
      <c r="AN20" s="84">
        <f>(AM23-AM20)/(AM23-AM21)</f>
        <v>0.24347765753661479</v>
      </c>
      <c r="AO20" s="84" t="s">
        <v>129</v>
      </c>
      <c r="AP20" s="90">
        <v>0</v>
      </c>
      <c r="AQ20" s="148" t="s">
        <v>126</v>
      </c>
      <c r="AR20" s="45">
        <v>0</v>
      </c>
      <c r="AS20" s="41" t="s">
        <v>51</v>
      </c>
      <c r="AT20" s="42" t="s">
        <v>52</v>
      </c>
      <c r="AU20" s="43" t="s">
        <v>52</v>
      </c>
      <c r="AV20" s="44" t="s">
        <v>50</v>
      </c>
      <c r="AW20" s="46">
        <v>1</v>
      </c>
      <c r="AX20" s="76">
        <f t="shared" si="7"/>
        <v>2.6329699515314249</v>
      </c>
      <c r="AY20" s="48">
        <f t="shared" si="0"/>
        <v>3.9555653280391669</v>
      </c>
      <c r="AZ20" s="48">
        <f t="shared" si="8"/>
        <v>1.5</v>
      </c>
      <c r="BA20" s="81">
        <f t="shared" si="9"/>
        <v>16.654853223160767</v>
      </c>
      <c r="BB20" s="100">
        <f>степень!D15</f>
        <v>2</v>
      </c>
    </row>
    <row r="21" spans="1:54" ht="15" customHeight="1" x14ac:dyDescent="0.25">
      <c r="A21" s="63"/>
      <c r="B21" s="18" t="s">
        <v>63</v>
      </c>
      <c r="C21" s="32" t="s">
        <v>104</v>
      </c>
      <c r="D21" s="39">
        <v>1</v>
      </c>
      <c r="E21" s="133">
        <v>118</v>
      </c>
      <c r="F21" s="133">
        <v>118</v>
      </c>
      <c r="G21" s="67">
        <f t="shared" si="10"/>
        <v>0</v>
      </c>
      <c r="H21" s="136">
        <f>(G16-G21)/(G16-G20)</f>
        <v>1</v>
      </c>
      <c r="I21" s="144">
        <v>5136</v>
      </c>
      <c r="J21" s="144">
        <v>4515.3999999999996</v>
      </c>
      <c r="K21" s="79">
        <f t="shared" si="1"/>
        <v>0.13744075829383895</v>
      </c>
      <c r="L21" s="79">
        <f>(K23-K21)/(K23-K14)</f>
        <v>0.37408395001676964</v>
      </c>
      <c r="M21" s="133">
        <v>121.5</v>
      </c>
      <c r="N21" s="133">
        <v>222.8</v>
      </c>
      <c r="O21" s="67">
        <f t="shared" si="2"/>
        <v>0.54533213644524237</v>
      </c>
      <c r="P21" s="137">
        <f>(O21-O21)/(O16-O21)</f>
        <v>0</v>
      </c>
      <c r="Q21" s="139">
        <v>26.6</v>
      </c>
      <c r="R21" s="139">
        <v>18.399999999999999</v>
      </c>
      <c r="S21" s="85">
        <f t="shared" si="3"/>
        <v>-8.2000000000000028</v>
      </c>
      <c r="T21" s="137">
        <v>1</v>
      </c>
      <c r="U21" s="131">
        <v>0</v>
      </c>
      <c r="V21" s="84">
        <v>4950.1000000000004</v>
      </c>
      <c r="W21" s="67">
        <f t="shared" si="4"/>
        <v>0</v>
      </c>
      <c r="X21" s="34">
        <v>1</v>
      </c>
      <c r="Y21" s="84">
        <v>0</v>
      </c>
      <c r="Z21" s="84">
        <v>49.1</v>
      </c>
      <c r="AA21" s="84">
        <v>5.5</v>
      </c>
      <c r="AB21" s="39">
        <v>1</v>
      </c>
      <c r="AC21" s="84">
        <v>857.8</v>
      </c>
      <c r="AD21" s="133">
        <v>121.5</v>
      </c>
      <c r="AE21" s="67">
        <f t="shared" si="5"/>
        <v>7.0600823045267482</v>
      </c>
      <c r="AF21" s="39">
        <f>(AE14-AE21)/(AE14-AE24)</f>
        <v>0.30011732642103428</v>
      </c>
      <c r="AG21" s="34">
        <v>0</v>
      </c>
      <c r="AH21" s="34">
        <v>32</v>
      </c>
      <c r="AI21" s="67">
        <f t="shared" si="11"/>
        <v>0</v>
      </c>
      <c r="AJ21" s="39">
        <f>(AI21-AI20)/(AI24-AI20)</f>
        <v>0</v>
      </c>
      <c r="AK21" s="84">
        <v>6058.4</v>
      </c>
      <c r="AL21" s="84">
        <v>7848.8</v>
      </c>
      <c r="AM21" s="146">
        <f t="shared" si="6"/>
        <v>0.77188869636122714</v>
      </c>
      <c r="AN21" s="84">
        <f>(AM23-AM21)/(AM23-AM21)</f>
        <v>1</v>
      </c>
      <c r="AO21" s="84" t="s">
        <v>110</v>
      </c>
      <c r="AP21" s="90">
        <v>1</v>
      </c>
      <c r="AQ21" s="148" t="s">
        <v>104</v>
      </c>
      <c r="AR21" s="45">
        <v>1</v>
      </c>
      <c r="AS21" s="41" t="s">
        <v>51</v>
      </c>
      <c r="AT21" s="42" t="s">
        <v>52</v>
      </c>
      <c r="AU21" s="43" t="s">
        <v>52</v>
      </c>
      <c r="AV21" s="44" t="s">
        <v>50</v>
      </c>
      <c r="AW21" s="46">
        <v>1</v>
      </c>
      <c r="AX21" s="76">
        <f t="shared" si="7"/>
        <v>2.5611259250251543</v>
      </c>
      <c r="AY21" s="48">
        <f t="shared" si="0"/>
        <v>5.2001173264210347</v>
      </c>
      <c r="AZ21" s="48">
        <f t="shared" si="8"/>
        <v>2.7</v>
      </c>
      <c r="BA21" s="81">
        <f>(AX21*2)+(AY21*2.5)+(AZ21*1)</f>
        <v>20.822545166102895</v>
      </c>
      <c r="BB21" s="100">
        <f>степень!D16</f>
        <v>2</v>
      </c>
    </row>
    <row r="22" spans="1:54" ht="15" customHeight="1" x14ac:dyDescent="0.25">
      <c r="A22" s="27"/>
      <c r="B22" s="28" t="s">
        <v>65</v>
      </c>
      <c r="C22" s="49"/>
      <c r="D22" s="49"/>
      <c r="E22" s="134"/>
      <c r="F22" s="134"/>
      <c r="G22" s="49"/>
      <c r="H22" s="136"/>
      <c r="I22" s="31"/>
      <c r="J22" s="31"/>
      <c r="K22" s="49"/>
      <c r="L22" s="49"/>
      <c r="M22" s="134"/>
      <c r="N22" s="134"/>
      <c r="O22" s="50"/>
      <c r="P22" s="134"/>
      <c r="Q22" s="134"/>
      <c r="R22" s="134"/>
      <c r="S22" s="53"/>
      <c r="T22" s="141"/>
      <c r="U22" s="129"/>
      <c r="V22" s="49"/>
      <c r="W22" s="49"/>
      <c r="X22" s="39"/>
      <c r="Y22" s="49"/>
      <c r="Z22" s="49"/>
      <c r="AA22" s="49"/>
      <c r="AB22" s="49"/>
      <c r="AC22" s="49"/>
      <c r="AD22" s="134"/>
      <c r="AE22" s="68"/>
      <c r="AF22" s="39"/>
      <c r="AG22" s="68"/>
      <c r="AH22" s="68"/>
      <c r="AI22" s="68"/>
      <c r="AJ22" s="68"/>
      <c r="AK22" s="68"/>
      <c r="AL22" s="68"/>
      <c r="AM22" s="87"/>
      <c r="AN22" s="49"/>
      <c r="AO22" s="68"/>
      <c r="AP22" s="91"/>
      <c r="AQ22" s="55"/>
      <c r="AR22" s="55"/>
      <c r="AS22" s="54"/>
      <c r="AT22" s="54"/>
      <c r="AU22" s="54"/>
      <c r="AV22" s="55"/>
      <c r="AW22" s="57"/>
      <c r="AX22" s="57"/>
      <c r="AY22" s="57"/>
      <c r="AZ22" s="57"/>
      <c r="BA22" s="29"/>
      <c r="BB22" s="103"/>
    </row>
    <row r="23" spans="1:54" ht="15" customHeight="1" x14ac:dyDescent="0.25">
      <c r="A23" s="63"/>
      <c r="B23" s="18" t="s">
        <v>66</v>
      </c>
      <c r="C23" s="32" t="s">
        <v>104</v>
      </c>
      <c r="D23" s="39">
        <v>1</v>
      </c>
      <c r="E23" s="135">
        <v>15966.2</v>
      </c>
      <c r="F23" s="135">
        <v>15966.2</v>
      </c>
      <c r="G23" s="38">
        <f t="shared" si="10"/>
        <v>0</v>
      </c>
      <c r="H23" s="136">
        <f>(G16-G23)/(G16-G20)</f>
        <v>1</v>
      </c>
      <c r="I23" s="144">
        <v>22210.6</v>
      </c>
      <c r="J23" s="144">
        <v>16453.099999999999</v>
      </c>
      <c r="K23" s="79">
        <f t="shared" ref="K23:K24" si="13">(I23-J23)/J23</f>
        <v>0.34993405498052044</v>
      </c>
      <c r="L23" s="79">
        <f>(K23-K23)/(K23-K14)</f>
        <v>0</v>
      </c>
      <c r="M23" s="135">
        <v>16431.5</v>
      </c>
      <c r="N23" s="135">
        <v>14012.5</v>
      </c>
      <c r="O23" s="67">
        <f t="shared" si="2"/>
        <v>1.1726315789473685</v>
      </c>
      <c r="P23" s="138">
        <f>(O23-O21)/(O16-O21)</f>
        <v>0.41369486273498801</v>
      </c>
      <c r="Q23" s="140">
        <v>802.5</v>
      </c>
      <c r="R23" s="140">
        <v>577.79999999999995</v>
      </c>
      <c r="S23" s="37">
        <f>Q23/R23</f>
        <v>1.3888888888888891</v>
      </c>
      <c r="T23" s="138">
        <v>0</v>
      </c>
      <c r="U23" s="131">
        <v>0</v>
      </c>
      <c r="V23" s="84">
        <v>14822.2</v>
      </c>
      <c r="W23" s="79">
        <f>U23/V23</f>
        <v>0</v>
      </c>
      <c r="X23" s="84">
        <v>1</v>
      </c>
      <c r="Y23" s="84">
        <v>0</v>
      </c>
      <c r="Z23" s="84">
        <v>1599.5</v>
      </c>
      <c r="AA23" s="84">
        <v>45.3</v>
      </c>
      <c r="AB23" s="39">
        <v>1</v>
      </c>
      <c r="AC23" s="84">
        <v>486.9</v>
      </c>
      <c r="AD23" s="135">
        <v>16431.5</v>
      </c>
      <c r="AE23" s="38">
        <f>AC23/AD23</f>
        <v>2.9632109058819949E-2</v>
      </c>
      <c r="AF23" s="39">
        <f>(AE14-AE23)/(AE14-AE24)</f>
        <v>0.99941858721795873</v>
      </c>
      <c r="AG23" s="34">
        <v>155.30000000000001</v>
      </c>
      <c r="AH23" s="34">
        <v>92.2</v>
      </c>
      <c r="AI23" s="79">
        <f>AG23/AH23</f>
        <v>1.6843817787418656</v>
      </c>
      <c r="AJ23" s="39">
        <f>(AI23-AI20)/(AI24-AI20)</f>
        <v>0.54491335258776741</v>
      </c>
      <c r="AK23" s="84">
        <v>1844.2</v>
      </c>
      <c r="AL23" s="84">
        <v>1389.9</v>
      </c>
      <c r="AM23" s="145">
        <f>AK23/AL23</f>
        <v>1.3268580473415352</v>
      </c>
      <c r="AN23" s="84">
        <f>(AM23-AM23)/(AM23-AM21)</f>
        <v>0</v>
      </c>
      <c r="AO23" s="84" t="s">
        <v>110</v>
      </c>
      <c r="AP23" s="90">
        <v>1</v>
      </c>
      <c r="AQ23" s="148" t="s">
        <v>127</v>
      </c>
      <c r="AR23" s="45">
        <v>1</v>
      </c>
      <c r="AS23" s="41" t="s">
        <v>51</v>
      </c>
      <c r="AT23" s="42" t="s">
        <v>52</v>
      </c>
      <c r="AU23" s="43" t="s">
        <v>52</v>
      </c>
      <c r="AV23" s="44" t="s">
        <v>50</v>
      </c>
      <c r="AW23" s="46">
        <v>1</v>
      </c>
      <c r="AX23" s="76">
        <f>(D23*1)+(H23*1)+(L23*1.5)</f>
        <v>2</v>
      </c>
      <c r="AY23" s="48">
        <f>(P23*2)+(T23*1.4)+(X23*1)+(AB23*2)+(AF23*1)+(AJ23*0.5)+(AN23*0.5)</f>
        <v>5.0992649889818189</v>
      </c>
      <c r="AZ23" s="48">
        <f t="shared" ref="AZ23:AZ24" si="14">(AP23*0.5)+(AR23*0.7)+(AU23*0.5)+(AW23*1)</f>
        <v>2.7</v>
      </c>
      <c r="BA23" s="81">
        <f t="shared" ref="BA23:BA24" si="15">(AX23*2)+(AY23*2.5)+(AZ23*1)</f>
        <v>19.448162472454545</v>
      </c>
      <c r="BB23" s="100">
        <f>степень!D17</f>
        <v>2</v>
      </c>
    </row>
    <row r="24" spans="1:54" ht="15" customHeight="1" x14ac:dyDescent="0.25">
      <c r="A24" s="63"/>
      <c r="B24" s="18" t="s">
        <v>67</v>
      </c>
      <c r="C24" s="32" t="s">
        <v>104</v>
      </c>
      <c r="D24" s="39">
        <v>1</v>
      </c>
      <c r="E24" s="135">
        <v>59029.9</v>
      </c>
      <c r="F24" s="135">
        <v>59029.9</v>
      </c>
      <c r="G24" s="38">
        <f t="shared" si="10"/>
        <v>0</v>
      </c>
      <c r="H24" s="136">
        <f>(G16-G24)/(G16-G20)</f>
        <v>1</v>
      </c>
      <c r="I24" s="144">
        <v>63482.9</v>
      </c>
      <c r="J24" s="144">
        <v>60569.599999999999</v>
      </c>
      <c r="K24" s="79">
        <f t="shared" si="13"/>
        <v>4.809838598901104E-2</v>
      </c>
      <c r="L24" s="79">
        <f>(K23-K24)/(K23-K14)</f>
        <v>0.53136678226036027</v>
      </c>
      <c r="M24" s="135">
        <v>64489.4</v>
      </c>
      <c r="N24" s="135">
        <v>53208.9</v>
      </c>
      <c r="O24" s="67">
        <f t="shared" si="2"/>
        <v>1.2120040068484783</v>
      </c>
      <c r="P24" s="138">
        <f>(O24-O21)/(O16-O21)</f>
        <v>0.43966040654469363</v>
      </c>
      <c r="Q24" s="140">
        <v>3119.8</v>
      </c>
      <c r="R24" s="140">
        <v>2074.1</v>
      </c>
      <c r="S24" s="37">
        <f>Q24/R24</f>
        <v>1.504170483583241</v>
      </c>
      <c r="T24" s="138">
        <v>0</v>
      </c>
      <c r="U24" s="131">
        <v>0</v>
      </c>
      <c r="V24" s="84">
        <v>62924.3</v>
      </c>
      <c r="W24" s="79">
        <f>U24/V24</f>
        <v>0</v>
      </c>
      <c r="X24" s="84">
        <v>1</v>
      </c>
      <c r="Y24" s="84">
        <v>0</v>
      </c>
      <c r="Z24" s="84">
        <v>8727.6</v>
      </c>
      <c r="AA24" s="84">
        <v>456</v>
      </c>
      <c r="AB24" s="39">
        <v>1</v>
      </c>
      <c r="AC24" s="84">
        <v>1534</v>
      </c>
      <c r="AD24" s="135">
        <v>64489.4</v>
      </c>
      <c r="AE24" s="132">
        <f>AC24/AD24</f>
        <v>2.3786854893982575E-2</v>
      </c>
      <c r="AF24" s="39">
        <f>(AE26-AE24)/(AE26-AE24)</f>
        <v>1</v>
      </c>
      <c r="AG24" s="34">
        <v>441.1</v>
      </c>
      <c r="AH24" s="34">
        <v>142.69999999999999</v>
      </c>
      <c r="AI24" s="79">
        <f>AG24/AH24</f>
        <v>3.0911002102312546</v>
      </c>
      <c r="AJ24" s="39">
        <f>(AI24-AI24)/(AI24-AI20)</f>
        <v>0</v>
      </c>
      <c r="AK24" s="84">
        <v>1143.4000000000001</v>
      </c>
      <c r="AL24" s="84">
        <v>1154.08</v>
      </c>
      <c r="AM24" s="79">
        <f>AK24/AL24</f>
        <v>0.99074587550256499</v>
      </c>
      <c r="AN24" s="84">
        <f>(AM23-AM24)/(AM23-AM21)</f>
        <v>0.60564096241577214</v>
      </c>
      <c r="AO24" s="84" t="s">
        <v>110</v>
      </c>
      <c r="AP24" s="90">
        <v>1</v>
      </c>
      <c r="AQ24" s="148" t="s">
        <v>104</v>
      </c>
      <c r="AR24" s="45">
        <v>1</v>
      </c>
      <c r="AS24" s="41" t="s">
        <v>51</v>
      </c>
      <c r="AT24" s="42" t="s">
        <v>52</v>
      </c>
      <c r="AU24" s="43" t="s">
        <v>52</v>
      </c>
      <c r="AV24" s="44" t="s">
        <v>50</v>
      </c>
      <c r="AW24" s="46">
        <v>1</v>
      </c>
      <c r="AX24" s="76">
        <f>(D24*1)+(H24*1)+(L24*1.5)</f>
        <v>2.7970501733905406</v>
      </c>
      <c r="AY24" s="48">
        <f>(P24*2)+(T24*1.4)+(X24*1)+(AB24*2)+(AF24*1)+(AJ24*0.5)+(AN24*0.5)</f>
        <v>5.1821412942972742</v>
      </c>
      <c r="AZ24" s="48">
        <f t="shared" si="14"/>
        <v>2.7</v>
      </c>
      <c r="BA24" s="81">
        <f t="shared" si="15"/>
        <v>21.249453582524264</v>
      </c>
      <c r="BB24" s="100">
        <f>степень!D18</f>
        <v>2</v>
      </c>
    </row>
    <row r="25" spans="1:54" x14ac:dyDescent="0.25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72"/>
      <c r="N25" s="62"/>
      <c r="O25" s="62"/>
      <c r="P25" s="62"/>
      <c r="Q25" s="98"/>
      <c r="R25" s="98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>
        <f>SUM(AC12:AC24)</f>
        <v>25819</v>
      </c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</row>
    <row r="26" spans="1:54" x14ac:dyDescent="0.25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</row>
    <row r="27" spans="1:54" x14ac:dyDescent="0.25">
      <c r="AW27" s="1"/>
      <c r="AX27"/>
    </row>
    <row r="28" spans="1:54" ht="19.5" customHeight="1" x14ac:dyDescent="0.25"/>
  </sheetData>
  <mergeCells count="57">
    <mergeCell ref="AT4:AT7"/>
    <mergeCell ref="BB4:BB7"/>
    <mergeCell ref="AX3:BB3"/>
    <mergeCell ref="AO3:AW3"/>
    <mergeCell ref="AU4:AU7"/>
    <mergeCell ref="Z4:Z9"/>
    <mergeCell ref="AA4:AA9"/>
    <mergeCell ref="AB4:AB9"/>
    <mergeCell ref="AG4:AG9"/>
    <mergeCell ref="AS4:AS9"/>
    <mergeCell ref="AO4:AO7"/>
    <mergeCell ref="AP4:AP7"/>
    <mergeCell ref="AQ4:AQ9"/>
    <mergeCell ref="AR4:AR9"/>
    <mergeCell ref="AJ4:AJ9"/>
    <mergeCell ref="AK4:AK9"/>
    <mergeCell ref="AL4:AL9"/>
    <mergeCell ref="AM4:AM7"/>
    <mergeCell ref="AN4:AN9"/>
    <mergeCell ref="X4:X9"/>
    <mergeCell ref="Y4:Y9"/>
    <mergeCell ref="N4:N9"/>
    <mergeCell ref="O4:O9"/>
    <mergeCell ref="P4:P9"/>
    <mergeCell ref="Q4:Q9"/>
    <mergeCell ref="A3:A9"/>
    <mergeCell ref="B3:B9"/>
    <mergeCell ref="S4:S9"/>
    <mergeCell ref="U4:U9"/>
    <mergeCell ref="R4:R9"/>
    <mergeCell ref="E4:E9"/>
    <mergeCell ref="F4:F9"/>
    <mergeCell ref="G4:G9"/>
    <mergeCell ref="H4:H9"/>
    <mergeCell ref="M4:M9"/>
    <mergeCell ref="C3:L3"/>
    <mergeCell ref="L4:L9"/>
    <mergeCell ref="K4:K7"/>
    <mergeCell ref="M3:AN3"/>
    <mergeCell ref="AH4:AH9"/>
    <mergeCell ref="AD4:AD9"/>
    <mergeCell ref="C4:C9"/>
    <mergeCell ref="D4:D9"/>
    <mergeCell ref="I4:I7"/>
    <mergeCell ref="J4:J7"/>
    <mergeCell ref="BA4:BA7"/>
    <mergeCell ref="AX4:AX9"/>
    <mergeCell ref="AV4:AV9"/>
    <mergeCell ref="AW4:AW9"/>
    <mergeCell ref="AZ4:AZ7"/>
    <mergeCell ref="AY4:AY9"/>
    <mergeCell ref="AI4:AI7"/>
    <mergeCell ref="AC4:AC9"/>
    <mergeCell ref="AE4:AE7"/>
    <mergeCell ref="AF4:AF9"/>
    <mergeCell ref="V4:V9"/>
    <mergeCell ref="W4:W9"/>
  </mergeCells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3" sqref="B3"/>
    </sheetView>
  </sheetViews>
  <sheetFormatPr defaultRowHeight="15" x14ac:dyDescent="0.25"/>
  <cols>
    <col min="1" max="1" width="5.85546875" style="104" customWidth="1"/>
    <col min="2" max="2" width="31" style="108" customWidth="1"/>
    <col min="3" max="3" width="15.140625" style="107" customWidth="1"/>
    <col min="4" max="4" width="14.5703125" style="107" customWidth="1"/>
    <col min="5" max="5" width="13" style="105" hidden="1" customWidth="1"/>
    <col min="6" max="6" width="12.85546875" style="105" customWidth="1"/>
    <col min="7" max="255" width="8.85546875" style="105"/>
    <col min="256" max="256" width="5.85546875" style="105" customWidth="1"/>
    <col min="257" max="257" width="31" style="105" customWidth="1"/>
    <col min="258" max="258" width="15.140625" style="105" customWidth="1"/>
    <col min="259" max="259" width="14.5703125" style="105" customWidth="1"/>
    <col min="260" max="260" width="13" style="105" customWidth="1"/>
    <col min="261" max="261" width="12.85546875" style="105" customWidth="1"/>
    <col min="262" max="511" width="8.85546875" style="105"/>
    <col min="512" max="512" width="5.85546875" style="105" customWidth="1"/>
    <col min="513" max="513" width="31" style="105" customWidth="1"/>
    <col min="514" max="514" width="15.140625" style="105" customWidth="1"/>
    <col min="515" max="515" width="14.5703125" style="105" customWidth="1"/>
    <col min="516" max="516" width="13" style="105" customWidth="1"/>
    <col min="517" max="517" width="12.85546875" style="105" customWidth="1"/>
    <col min="518" max="767" width="8.85546875" style="105"/>
    <col min="768" max="768" width="5.85546875" style="105" customWidth="1"/>
    <col min="769" max="769" width="31" style="105" customWidth="1"/>
    <col min="770" max="770" width="15.140625" style="105" customWidth="1"/>
    <col min="771" max="771" width="14.5703125" style="105" customWidth="1"/>
    <col min="772" max="772" width="13" style="105" customWidth="1"/>
    <col min="773" max="773" width="12.85546875" style="105" customWidth="1"/>
    <col min="774" max="1023" width="8.85546875" style="105"/>
    <col min="1024" max="1024" width="5.85546875" style="105" customWidth="1"/>
    <col min="1025" max="1025" width="31" style="105" customWidth="1"/>
    <col min="1026" max="1026" width="15.140625" style="105" customWidth="1"/>
    <col min="1027" max="1027" width="14.5703125" style="105" customWidth="1"/>
    <col min="1028" max="1028" width="13" style="105" customWidth="1"/>
    <col min="1029" max="1029" width="12.85546875" style="105" customWidth="1"/>
    <col min="1030" max="1279" width="8.85546875" style="105"/>
    <col min="1280" max="1280" width="5.85546875" style="105" customWidth="1"/>
    <col min="1281" max="1281" width="31" style="105" customWidth="1"/>
    <col min="1282" max="1282" width="15.140625" style="105" customWidth="1"/>
    <col min="1283" max="1283" width="14.5703125" style="105" customWidth="1"/>
    <col min="1284" max="1284" width="13" style="105" customWidth="1"/>
    <col min="1285" max="1285" width="12.85546875" style="105" customWidth="1"/>
    <col min="1286" max="1535" width="8.85546875" style="105"/>
    <col min="1536" max="1536" width="5.85546875" style="105" customWidth="1"/>
    <col min="1537" max="1537" width="31" style="105" customWidth="1"/>
    <col min="1538" max="1538" width="15.140625" style="105" customWidth="1"/>
    <col min="1539" max="1539" width="14.5703125" style="105" customWidth="1"/>
    <col min="1540" max="1540" width="13" style="105" customWidth="1"/>
    <col min="1541" max="1541" width="12.85546875" style="105" customWidth="1"/>
    <col min="1542" max="1791" width="8.85546875" style="105"/>
    <col min="1792" max="1792" width="5.85546875" style="105" customWidth="1"/>
    <col min="1793" max="1793" width="31" style="105" customWidth="1"/>
    <col min="1794" max="1794" width="15.140625" style="105" customWidth="1"/>
    <col min="1795" max="1795" width="14.5703125" style="105" customWidth="1"/>
    <col min="1796" max="1796" width="13" style="105" customWidth="1"/>
    <col min="1797" max="1797" width="12.85546875" style="105" customWidth="1"/>
    <col min="1798" max="2047" width="8.85546875" style="105"/>
    <col min="2048" max="2048" width="5.85546875" style="105" customWidth="1"/>
    <col min="2049" max="2049" width="31" style="105" customWidth="1"/>
    <col min="2050" max="2050" width="15.140625" style="105" customWidth="1"/>
    <col min="2051" max="2051" width="14.5703125" style="105" customWidth="1"/>
    <col min="2052" max="2052" width="13" style="105" customWidth="1"/>
    <col min="2053" max="2053" width="12.85546875" style="105" customWidth="1"/>
    <col min="2054" max="2303" width="8.85546875" style="105"/>
    <col min="2304" max="2304" width="5.85546875" style="105" customWidth="1"/>
    <col min="2305" max="2305" width="31" style="105" customWidth="1"/>
    <col min="2306" max="2306" width="15.140625" style="105" customWidth="1"/>
    <col min="2307" max="2307" width="14.5703125" style="105" customWidth="1"/>
    <col min="2308" max="2308" width="13" style="105" customWidth="1"/>
    <col min="2309" max="2309" width="12.85546875" style="105" customWidth="1"/>
    <col min="2310" max="2559" width="8.85546875" style="105"/>
    <col min="2560" max="2560" width="5.85546875" style="105" customWidth="1"/>
    <col min="2561" max="2561" width="31" style="105" customWidth="1"/>
    <col min="2562" max="2562" width="15.140625" style="105" customWidth="1"/>
    <col min="2563" max="2563" width="14.5703125" style="105" customWidth="1"/>
    <col min="2564" max="2564" width="13" style="105" customWidth="1"/>
    <col min="2565" max="2565" width="12.85546875" style="105" customWidth="1"/>
    <col min="2566" max="2815" width="8.85546875" style="105"/>
    <col min="2816" max="2816" width="5.85546875" style="105" customWidth="1"/>
    <col min="2817" max="2817" width="31" style="105" customWidth="1"/>
    <col min="2818" max="2818" width="15.140625" style="105" customWidth="1"/>
    <col min="2819" max="2819" width="14.5703125" style="105" customWidth="1"/>
    <col min="2820" max="2820" width="13" style="105" customWidth="1"/>
    <col min="2821" max="2821" width="12.85546875" style="105" customWidth="1"/>
    <col min="2822" max="3071" width="8.85546875" style="105"/>
    <col min="3072" max="3072" width="5.85546875" style="105" customWidth="1"/>
    <col min="3073" max="3073" width="31" style="105" customWidth="1"/>
    <col min="3074" max="3074" width="15.140625" style="105" customWidth="1"/>
    <col min="3075" max="3075" width="14.5703125" style="105" customWidth="1"/>
    <col min="3076" max="3076" width="13" style="105" customWidth="1"/>
    <col min="3077" max="3077" width="12.85546875" style="105" customWidth="1"/>
    <col min="3078" max="3327" width="8.85546875" style="105"/>
    <col min="3328" max="3328" width="5.85546875" style="105" customWidth="1"/>
    <col min="3329" max="3329" width="31" style="105" customWidth="1"/>
    <col min="3330" max="3330" width="15.140625" style="105" customWidth="1"/>
    <col min="3331" max="3331" width="14.5703125" style="105" customWidth="1"/>
    <col min="3332" max="3332" width="13" style="105" customWidth="1"/>
    <col min="3333" max="3333" width="12.85546875" style="105" customWidth="1"/>
    <col min="3334" max="3583" width="8.85546875" style="105"/>
    <col min="3584" max="3584" width="5.85546875" style="105" customWidth="1"/>
    <col min="3585" max="3585" width="31" style="105" customWidth="1"/>
    <col min="3586" max="3586" width="15.140625" style="105" customWidth="1"/>
    <col min="3587" max="3587" width="14.5703125" style="105" customWidth="1"/>
    <col min="3588" max="3588" width="13" style="105" customWidth="1"/>
    <col min="3589" max="3589" width="12.85546875" style="105" customWidth="1"/>
    <col min="3590" max="3839" width="8.85546875" style="105"/>
    <col min="3840" max="3840" width="5.85546875" style="105" customWidth="1"/>
    <col min="3841" max="3841" width="31" style="105" customWidth="1"/>
    <col min="3842" max="3842" width="15.140625" style="105" customWidth="1"/>
    <col min="3843" max="3843" width="14.5703125" style="105" customWidth="1"/>
    <col min="3844" max="3844" width="13" style="105" customWidth="1"/>
    <col min="3845" max="3845" width="12.85546875" style="105" customWidth="1"/>
    <col min="3846" max="4095" width="8.85546875" style="105"/>
    <col min="4096" max="4096" width="5.85546875" style="105" customWidth="1"/>
    <col min="4097" max="4097" width="31" style="105" customWidth="1"/>
    <col min="4098" max="4098" width="15.140625" style="105" customWidth="1"/>
    <col min="4099" max="4099" width="14.5703125" style="105" customWidth="1"/>
    <col min="4100" max="4100" width="13" style="105" customWidth="1"/>
    <col min="4101" max="4101" width="12.85546875" style="105" customWidth="1"/>
    <col min="4102" max="4351" width="8.85546875" style="105"/>
    <col min="4352" max="4352" width="5.85546875" style="105" customWidth="1"/>
    <col min="4353" max="4353" width="31" style="105" customWidth="1"/>
    <col min="4354" max="4354" width="15.140625" style="105" customWidth="1"/>
    <col min="4355" max="4355" width="14.5703125" style="105" customWidth="1"/>
    <col min="4356" max="4356" width="13" style="105" customWidth="1"/>
    <col min="4357" max="4357" width="12.85546875" style="105" customWidth="1"/>
    <col min="4358" max="4607" width="8.85546875" style="105"/>
    <col min="4608" max="4608" width="5.85546875" style="105" customWidth="1"/>
    <col min="4609" max="4609" width="31" style="105" customWidth="1"/>
    <col min="4610" max="4610" width="15.140625" style="105" customWidth="1"/>
    <col min="4611" max="4611" width="14.5703125" style="105" customWidth="1"/>
    <col min="4612" max="4612" width="13" style="105" customWidth="1"/>
    <col min="4613" max="4613" width="12.85546875" style="105" customWidth="1"/>
    <col min="4614" max="4863" width="8.85546875" style="105"/>
    <col min="4864" max="4864" width="5.85546875" style="105" customWidth="1"/>
    <col min="4865" max="4865" width="31" style="105" customWidth="1"/>
    <col min="4866" max="4866" width="15.140625" style="105" customWidth="1"/>
    <col min="4867" max="4867" width="14.5703125" style="105" customWidth="1"/>
    <col min="4868" max="4868" width="13" style="105" customWidth="1"/>
    <col min="4869" max="4869" width="12.85546875" style="105" customWidth="1"/>
    <col min="4870" max="5119" width="8.85546875" style="105"/>
    <col min="5120" max="5120" width="5.85546875" style="105" customWidth="1"/>
    <col min="5121" max="5121" width="31" style="105" customWidth="1"/>
    <col min="5122" max="5122" width="15.140625" style="105" customWidth="1"/>
    <col min="5123" max="5123" width="14.5703125" style="105" customWidth="1"/>
    <col min="5124" max="5124" width="13" style="105" customWidth="1"/>
    <col min="5125" max="5125" width="12.85546875" style="105" customWidth="1"/>
    <col min="5126" max="5375" width="8.85546875" style="105"/>
    <col min="5376" max="5376" width="5.85546875" style="105" customWidth="1"/>
    <col min="5377" max="5377" width="31" style="105" customWidth="1"/>
    <col min="5378" max="5378" width="15.140625" style="105" customWidth="1"/>
    <col min="5379" max="5379" width="14.5703125" style="105" customWidth="1"/>
    <col min="5380" max="5380" width="13" style="105" customWidth="1"/>
    <col min="5381" max="5381" width="12.85546875" style="105" customWidth="1"/>
    <col min="5382" max="5631" width="8.85546875" style="105"/>
    <col min="5632" max="5632" width="5.85546875" style="105" customWidth="1"/>
    <col min="5633" max="5633" width="31" style="105" customWidth="1"/>
    <col min="5634" max="5634" width="15.140625" style="105" customWidth="1"/>
    <col min="5635" max="5635" width="14.5703125" style="105" customWidth="1"/>
    <col min="5636" max="5636" width="13" style="105" customWidth="1"/>
    <col min="5637" max="5637" width="12.85546875" style="105" customWidth="1"/>
    <col min="5638" max="5887" width="8.85546875" style="105"/>
    <col min="5888" max="5888" width="5.85546875" style="105" customWidth="1"/>
    <col min="5889" max="5889" width="31" style="105" customWidth="1"/>
    <col min="5890" max="5890" width="15.140625" style="105" customWidth="1"/>
    <col min="5891" max="5891" width="14.5703125" style="105" customWidth="1"/>
    <col min="5892" max="5892" width="13" style="105" customWidth="1"/>
    <col min="5893" max="5893" width="12.85546875" style="105" customWidth="1"/>
    <col min="5894" max="6143" width="8.85546875" style="105"/>
    <col min="6144" max="6144" width="5.85546875" style="105" customWidth="1"/>
    <col min="6145" max="6145" width="31" style="105" customWidth="1"/>
    <col min="6146" max="6146" width="15.140625" style="105" customWidth="1"/>
    <col min="6147" max="6147" width="14.5703125" style="105" customWidth="1"/>
    <col min="6148" max="6148" width="13" style="105" customWidth="1"/>
    <col min="6149" max="6149" width="12.85546875" style="105" customWidth="1"/>
    <col min="6150" max="6399" width="8.85546875" style="105"/>
    <col min="6400" max="6400" width="5.85546875" style="105" customWidth="1"/>
    <col min="6401" max="6401" width="31" style="105" customWidth="1"/>
    <col min="6402" max="6402" width="15.140625" style="105" customWidth="1"/>
    <col min="6403" max="6403" width="14.5703125" style="105" customWidth="1"/>
    <col min="6404" max="6404" width="13" style="105" customWidth="1"/>
    <col min="6405" max="6405" width="12.85546875" style="105" customWidth="1"/>
    <col min="6406" max="6655" width="8.85546875" style="105"/>
    <col min="6656" max="6656" width="5.85546875" style="105" customWidth="1"/>
    <col min="6657" max="6657" width="31" style="105" customWidth="1"/>
    <col min="6658" max="6658" width="15.140625" style="105" customWidth="1"/>
    <col min="6659" max="6659" width="14.5703125" style="105" customWidth="1"/>
    <col min="6660" max="6660" width="13" style="105" customWidth="1"/>
    <col min="6661" max="6661" width="12.85546875" style="105" customWidth="1"/>
    <col min="6662" max="6911" width="8.85546875" style="105"/>
    <col min="6912" max="6912" width="5.85546875" style="105" customWidth="1"/>
    <col min="6913" max="6913" width="31" style="105" customWidth="1"/>
    <col min="6914" max="6914" width="15.140625" style="105" customWidth="1"/>
    <col min="6915" max="6915" width="14.5703125" style="105" customWidth="1"/>
    <col min="6916" max="6916" width="13" style="105" customWidth="1"/>
    <col min="6917" max="6917" width="12.85546875" style="105" customWidth="1"/>
    <col min="6918" max="7167" width="8.85546875" style="105"/>
    <col min="7168" max="7168" width="5.85546875" style="105" customWidth="1"/>
    <col min="7169" max="7169" width="31" style="105" customWidth="1"/>
    <col min="7170" max="7170" width="15.140625" style="105" customWidth="1"/>
    <col min="7171" max="7171" width="14.5703125" style="105" customWidth="1"/>
    <col min="7172" max="7172" width="13" style="105" customWidth="1"/>
    <col min="7173" max="7173" width="12.85546875" style="105" customWidth="1"/>
    <col min="7174" max="7423" width="8.85546875" style="105"/>
    <col min="7424" max="7424" width="5.85546875" style="105" customWidth="1"/>
    <col min="7425" max="7425" width="31" style="105" customWidth="1"/>
    <col min="7426" max="7426" width="15.140625" style="105" customWidth="1"/>
    <col min="7427" max="7427" width="14.5703125" style="105" customWidth="1"/>
    <col min="7428" max="7428" width="13" style="105" customWidth="1"/>
    <col min="7429" max="7429" width="12.85546875" style="105" customWidth="1"/>
    <col min="7430" max="7679" width="8.85546875" style="105"/>
    <col min="7680" max="7680" width="5.85546875" style="105" customWidth="1"/>
    <col min="7681" max="7681" width="31" style="105" customWidth="1"/>
    <col min="7682" max="7682" width="15.140625" style="105" customWidth="1"/>
    <col min="7683" max="7683" width="14.5703125" style="105" customWidth="1"/>
    <col min="7684" max="7684" width="13" style="105" customWidth="1"/>
    <col min="7685" max="7685" width="12.85546875" style="105" customWidth="1"/>
    <col min="7686" max="7935" width="8.85546875" style="105"/>
    <col min="7936" max="7936" width="5.85546875" style="105" customWidth="1"/>
    <col min="7937" max="7937" width="31" style="105" customWidth="1"/>
    <col min="7938" max="7938" width="15.140625" style="105" customWidth="1"/>
    <col min="7939" max="7939" width="14.5703125" style="105" customWidth="1"/>
    <col min="7940" max="7940" width="13" style="105" customWidth="1"/>
    <col min="7941" max="7941" width="12.85546875" style="105" customWidth="1"/>
    <col min="7942" max="8191" width="8.85546875" style="105"/>
    <col min="8192" max="8192" width="5.85546875" style="105" customWidth="1"/>
    <col min="8193" max="8193" width="31" style="105" customWidth="1"/>
    <col min="8194" max="8194" width="15.140625" style="105" customWidth="1"/>
    <col min="8195" max="8195" width="14.5703125" style="105" customWidth="1"/>
    <col min="8196" max="8196" width="13" style="105" customWidth="1"/>
    <col min="8197" max="8197" width="12.85546875" style="105" customWidth="1"/>
    <col min="8198" max="8447" width="8.85546875" style="105"/>
    <col min="8448" max="8448" width="5.85546875" style="105" customWidth="1"/>
    <col min="8449" max="8449" width="31" style="105" customWidth="1"/>
    <col min="8450" max="8450" width="15.140625" style="105" customWidth="1"/>
    <col min="8451" max="8451" width="14.5703125" style="105" customWidth="1"/>
    <col min="8452" max="8452" width="13" style="105" customWidth="1"/>
    <col min="8453" max="8453" width="12.85546875" style="105" customWidth="1"/>
    <col min="8454" max="8703" width="8.85546875" style="105"/>
    <col min="8704" max="8704" width="5.85546875" style="105" customWidth="1"/>
    <col min="8705" max="8705" width="31" style="105" customWidth="1"/>
    <col min="8706" max="8706" width="15.140625" style="105" customWidth="1"/>
    <col min="8707" max="8707" width="14.5703125" style="105" customWidth="1"/>
    <col min="8708" max="8708" width="13" style="105" customWidth="1"/>
    <col min="8709" max="8709" width="12.85546875" style="105" customWidth="1"/>
    <col min="8710" max="8959" width="8.85546875" style="105"/>
    <col min="8960" max="8960" width="5.85546875" style="105" customWidth="1"/>
    <col min="8961" max="8961" width="31" style="105" customWidth="1"/>
    <col min="8962" max="8962" width="15.140625" style="105" customWidth="1"/>
    <col min="8963" max="8963" width="14.5703125" style="105" customWidth="1"/>
    <col min="8964" max="8964" width="13" style="105" customWidth="1"/>
    <col min="8965" max="8965" width="12.85546875" style="105" customWidth="1"/>
    <col min="8966" max="9215" width="8.85546875" style="105"/>
    <col min="9216" max="9216" width="5.85546875" style="105" customWidth="1"/>
    <col min="9217" max="9217" width="31" style="105" customWidth="1"/>
    <col min="9218" max="9218" width="15.140625" style="105" customWidth="1"/>
    <col min="9219" max="9219" width="14.5703125" style="105" customWidth="1"/>
    <col min="9220" max="9220" width="13" style="105" customWidth="1"/>
    <col min="9221" max="9221" width="12.85546875" style="105" customWidth="1"/>
    <col min="9222" max="9471" width="8.85546875" style="105"/>
    <col min="9472" max="9472" width="5.85546875" style="105" customWidth="1"/>
    <col min="9473" max="9473" width="31" style="105" customWidth="1"/>
    <col min="9474" max="9474" width="15.140625" style="105" customWidth="1"/>
    <col min="9475" max="9475" width="14.5703125" style="105" customWidth="1"/>
    <col min="9476" max="9476" width="13" style="105" customWidth="1"/>
    <col min="9477" max="9477" width="12.85546875" style="105" customWidth="1"/>
    <col min="9478" max="9727" width="8.85546875" style="105"/>
    <col min="9728" max="9728" width="5.85546875" style="105" customWidth="1"/>
    <col min="9729" max="9729" width="31" style="105" customWidth="1"/>
    <col min="9730" max="9730" width="15.140625" style="105" customWidth="1"/>
    <col min="9731" max="9731" width="14.5703125" style="105" customWidth="1"/>
    <col min="9732" max="9732" width="13" style="105" customWidth="1"/>
    <col min="9733" max="9733" width="12.85546875" style="105" customWidth="1"/>
    <col min="9734" max="9983" width="8.85546875" style="105"/>
    <col min="9984" max="9984" width="5.85546875" style="105" customWidth="1"/>
    <col min="9985" max="9985" width="31" style="105" customWidth="1"/>
    <col min="9986" max="9986" width="15.140625" style="105" customWidth="1"/>
    <col min="9987" max="9987" width="14.5703125" style="105" customWidth="1"/>
    <col min="9988" max="9988" width="13" style="105" customWidth="1"/>
    <col min="9989" max="9989" width="12.85546875" style="105" customWidth="1"/>
    <col min="9990" max="10239" width="8.85546875" style="105"/>
    <col min="10240" max="10240" width="5.85546875" style="105" customWidth="1"/>
    <col min="10241" max="10241" width="31" style="105" customWidth="1"/>
    <col min="10242" max="10242" width="15.140625" style="105" customWidth="1"/>
    <col min="10243" max="10243" width="14.5703125" style="105" customWidth="1"/>
    <col min="10244" max="10244" width="13" style="105" customWidth="1"/>
    <col min="10245" max="10245" width="12.85546875" style="105" customWidth="1"/>
    <col min="10246" max="10495" width="8.85546875" style="105"/>
    <col min="10496" max="10496" width="5.85546875" style="105" customWidth="1"/>
    <col min="10497" max="10497" width="31" style="105" customWidth="1"/>
    <col min="10498" max="10498" width="15.140625" style="105" customWidth="1"/>
    <col min="10499" max="10499" width="14.5703125" style="105" customWidth="1"/>
    <col min="10500" max="10500" width="13" style="105" customWidth="1"/>
    <col min="10501" max="10501" width="12.85546875" style="105" customWidth="1"/>
    <col min="10502" max="10751" width="8.85546875" style="105"/>
    <col min="10752" max="10752" width="5.85546875" style="105" customWidth="1"/>
    <col min="10753" max="10753" width="31" style="105" customWidth="1"/>
    <col min="10754" max="10754" width="15.140625" style="105" customWidth="1"/>
    <col min="10755" max="10755" width="14.5703125" style="105" customWidth="1"/>
    <col min="10756" max="10756" width="13" style="105" customWidth="1"/>
    <col min="10757" max="10757" width="12.85546875" style="105" customWidth="1"/>
    <col min="10758" max="11007" width="8.85546875" style="105"/>
    <col min="11008" max="11008" width="5.85546875" style="105" customWidth="1"/>
    <col min="11009" max="11009" width="31" style="105" customWidth="1"/>
    <col min="11010" max="11010" width="15.140625" style="105" customWidth="1"/>
    <col min="11011" max="11011" width="14.5703125" style="105" customWidth="1"/>
    <col min="11012" max="11012" width="13" style="105" customWidth="1"/>
    <col min="11013" max="11013" width="12.85546875" style="105" customWidth="1"/>
    <col min="11014" max="11263" width="8.85546875" style="105"/>
    <col min="11264" max="11264" width="5.85546875" style="105" customWidth="1"/>
    <col min="11265" max="11265" width="31" style="105" customWidth="1"/>
    <col min="11266" max="11266" width="15.140625" style="105" customWidth="1"/>
    <col min="11267" max="11267" width="14.5703125" style="105" customWidth="1"/>
    <col min="11268" max="11268" width="13" style="105" customWidth="1"/>
    <col min="11269" max="11269" width="12.85546875" style="105" customWidth="1"/>
    <col min="11270" max="11519" width="8.85546875" style="105"/>
    <col min="11520" max="11520" width="5.85546875" style="105" customWidth="1"/>
    <col min="11521" max="11521" width="31" style="105" customWidth="1"/>
    <col min="11522" max="11522" width="15.140625" style="105" customWidth="1"/>
    <col min="11523" max="11523" width="14.5703125" style="105" customWidth="1"/>
    <col min="11524" max="11524" width="13" style="105" customWidth="1"/>
    <col min="11525" max="11525" width="12.85546875" style="105" customWidth="1"/>
    <col min="11526" max="11775" width="8.85546875" style="105"/>
    <col min="11776" max="11776" width="5.85546875" style="105" customWidth="1"/>
    <col min="11777" max="11777" width="31" style="105" customWidth="1"/>
    <col min="11778" max="11778" width="15.140625" style="105" customWidth="1"/>
    <col min="11779" max="11779" width="14.5703125" style="105" customWidth="1"/>
    <col min="11780" max="11780" width="13" style="105" customWidth="1"/>
    <col min="11781" max="11781" width="12.85546875" style="105" customWidth="1"/>
    <col min="11782" max="12031" width="8.85546875" style="105"/>
    <col min="12032" max="12032" width="5.85546875" style="105" customWidth="1"/>
    <col min="12033" max="12033" width="31" style="105" customWidth="1"/>
    <col min="12034" max="12034" width="15.140625" style="105" customWidth="1"/>
    <col min="12035" max="12035" width="14.5703125" style="105" customWidth="1"/>
    <col min="12036" max="12036" width="13" style="105" customWidth="1"/>
    <col min="12037" max="12037" width="12.85546875" style="105" customWidth="1"/>
    <col min="12038" max="12287" width="8.85546875" style="105"/>
    <col min="12288" max="12288" width="5.85546875" style="105" customWidth="1"/>
    <col min="12289" max="12289" width="31" style="105" customWidth="1"/>
    <col min="12290" max="12290" width="15.140625" style="105" customWidth="1"/>
    <col min="12291" max="12291" width="14.5703125" style="105" customWidth="1"/>
    <col min="12292" max="12292" width="13" style="105" customWidth="1"/>
    <col min="12293" max="12293" width="12.85546875" style="105" customWidth="1"/>
    <col min="12294" max="12543" width="8.85546875" style="105"/>
    <col min="12544" max="12544" width="5.85546875" style="105" customWidth="1"/>
    <col min="12545" max="12545" width="31" style="105" customWidth="1"/>
    <col min="12546" max="12546" width="15.140625" style="105" customWidth="1"/>
    <col min="12547" max="12547" width="14.5703125" style="105" customWidth="1"/>
    <col min="12548" max="12548" width="13" style="105" customWidth="1"/>
    <col min="12549" max="12549" width="12.85546875" style="105" customWidth="1"/>
    <col min="12550" max="12799" width="8.85546875" style="105"/>
    <col min="12800" max="12800" width="5.85546875" style="105" customWidth="1"/>
    <col min="12801" max="12801" width="31" style="105" customWidth="1"/>
    <col min="12802" max="12802" width="15.140625" style="105" customWidth="1"/>
    <col min="12803" max="12803" width="14.5703125" style="105" customWidth="1"/>
    <col min="12804" max="12804" width="13" style="105" customWidth="1"/>
    <col min="12805" max="12805" width="12.85546875" style="105" customWidth="1"/>
    <col min="12806" max="13055" width="8.85546875" style="105"/>
    <col min="13056" max="13056" width="5.85546875" style="105" customWidth="1"/>
    <col min="13057" max="13057" width="31" style="105" customWidth="1"/>
    <col min="13058" max="13058" width="15.140625" style="105" customWidth="1"/>
    <col min="13059" max="13059" width="14.5703125" style="105" customWidth="1"/>
    <col min="13060" max="13060" width="13" style="105" customWidth="1"/>
    <col min="13061" max="13061" width="12.85546875" style="105" customWidth="1"/>
    <col min="13062" max="13311" width="8.85546875" style="105"/>
    <col min="13312" max="13312" width="5.85546875" style="105" customWidth="1"/>
    <col min="13313" max="13313" width="31" style="105" customWidth="1"/>
    <col min="13314" max="13314" width="15.140625" style="105" customWidth="1"/>
    <col min="13315" max="13315" width="14.5703125" style="105" customWidth="1"/>
    <col min="13316" max="13316" width="13" style="105" customWidth="1"/>
    <col min="13317" max="13317" width="12.85546875" style="105" customWidth="1"/>
    <col min="13318" max="13567" width="8.85546875" style="105"/>
    <col min="13568" max="13568" width="5.85546875" style="105" customWidth="1"/>
    <col min="13569" max="13569" width="31" style="105" customWidth="1"/>
    <col min="13570" max="13570" width="15.140625" style="105" customWidth="1"/>
    <col min="13571" max="13571" width="14.5703125" style="105" customWidth="1"/>
    <col min="13572" max="13572" width="13" style="105" customWidth="1"/>
    <col min="13573" max="13573" width="12.85546875" style="105" customWidth="1"/>
    <col min="13574" max="13823" width="8.85546875" style="105"/>
    <col min="13824" max="13824" width="5.85546875" style="105" customWidth="1"/>
    <col min="13825" max="13825" width="31" style="105" customWidth="1"/>
    <col min="13826" max="13826" width="15.140625" style="105" customWidth="1"/>
    <col min="13827" max="13827" width="14.5703125" style="105" customWidth="1"/>
    <col min="13828" max="13828" width="13" style="105" customWidth="1"/>
    <col min="13829" max="13829" width="12.85546875" style="105" customWidth="1"/>
    <col min="13830" max="14079" width="8.85546875" style="105"/>
    <col min="14080" max="14080" width="5.85546875" style="105" customWidth="1"/>
    <col min="14081" max="14081" width="31" style="105" customWidth="1"/>
    <col min="14082" max="14082" width="15.140625" style="105" customWidth="1"/>
    <col min="14083" max="14083" width="14.5703125" style="105" customWidth="1"/>
    <col min="14084" max="14084" width="13" style="105" customWidth="1"/>
    <col min="14085" max="14085" width="12.85546875" style="105" customWidth="1"/>
    <col min="14086" max="14335" width="8.85546875" style="105"/>
    <col min="14336" max="14336" width="5.85546875" style="105" customWidth="1"/>
    <col min="14337" max="14337" width="31" style="105" customWidth="1"/>
    <col min="14338" max="14338" width="15.140625" style="105" customWidth="1"/>
    <col min="14339" max="14339" width="14.5703125" style="105" customWidth="1"/>
    <col min="14340" max="14340" width="13" style="105" customWidth="1"/>
    <col min="14341" max="14341" width="12.85546875" style="105" customWidth="1"/>
    <col min="14342" max="14591" width="8.85546875" style="105"/>
    <col min="14592" max="14592" width="5.85546875" style="105" customWidth="1"/>
    <col min="14593" max="14593" width="31" style="105" customWidth="1"/>
    <col min="14594" max="14594" width="15.140625" style="105" customWidth="1"/>
    <col min="14595" max="14595" width="14.5703125" style="105" customWidth="1"/>
    <col min="14596" max="14596" width="13" style="105" customWidth="1"/>
    <col min="14597" max="14597" width="12.85546875" style="105" customWidth="1"/>
    <col min="14598" max="14847" width="8.85546875" style="105"/>
    <col min="14848" max="14848" width="5.85546875" style="105" customWidth="1"/>
    <col min="14849" max="14849" width="31" style="105" customWidth="1"/>
    <col min="14850" max="14850" width="15.140625" style="105" customWidth="1"/>
    <col min="14851" max="14851" width="14.5703125" style="105" customWidth="1"/>
    <col min="14852" max="14852" width="13" style="105" customWidth="1"/>
    <col min="14853" max="14853" width="12.85546875" style="105" customWidth="1"/>
    <col min="14854" max="15103" width="8.85546875" style="105"/>
    <col min="15104" max="15104" width="5.85546875" style="105" customWidth="1"/>
    <col min="15105" max="15105" width="31" style="105" customWidth="1"/>
    <col min="15106" max="15106" width="15.140625" style="105" customWidth="1"/>
    <col min="15107" max="15107" width="14.5703125" style="105" customWidth="1"/>
    <col min="15108" max="15108" width="13" style="105" customWidth="1"/>
    <col min="15109" max="15109" width="12.85546875" style="105" customWidth="1"/>
    <col min="15110" max="15359" width="8.85546875" style="105"/>
    <col min="15360" max="15360" width="5.85546875" style="105" customWidth="1"/>
    <col min="15361" max="15361" width="31" style="105" customWidth="1"/>
    <col min="15362" max="15362" width="15.140625" style="105" customWidth="1"/>
    <col min="15363" max="15363" width="14.5703125" style="105" customWidth="1"/>
    <col min="15364" max="15364" width="13" style="105" customWidth="1"/>
    <col min="15365" max="15365" width="12.85546875" style="105" customWidth="1"/>
    <col min="15366" max="15615" width="8.85546875" style="105"/>
    <col min="15616" max="15616" width="5.85546875" style="105" customWidth="1"/>
    <col min="15617" max="15617" width="31" style="105" customWidth="1"/>
    <col min="15618" max="15618" width="15.140625" style="105" customWidth="1"/>
    <col min="15619" max="15619" width="14.5703125" style="105" customWidth="1"/>
    <col min="15620" max="15620" width="13" style="105" customWidth="1"/>
    <col min="15621" max="15621" width="12.85546875" style="105" customWidth="1"/>
    <col min="15622" max="15871" width="8.85546875" style="105"/>
    <col min="15872" max="15872" width="5.85546875" style="105" customWidth="1"/>
    <col min="15873" max="15873" width="31" style="105" customWidth="1"/>
    <col min="15874" max="15874" width="15.140625" style="105" customWidth="1"/>
    <col min="15875" max="15875" width="14.5703125" style="105" customWidth="1"/>
    <col min="15876" max="15876" width="13" style="105" customWidth="1"/>
    <col min="15877" max="15877" width="12.85546875" style="105" customWidth="1"/>
    <col min="15878" max="16127" width="8.85546875" style="105"/>
    <col min="16128" max="16128" width="5.85546875" style="105" customWidth="1"/>
    <col min="16129" max="16129" width="31" style="105" customWidth="1"/>
    <col min="16130" max="16130" width="15.140625" style="105" customWidth="1"/>
    <col min="16131" max="16131" width="14.5703125" style="105" customWidth="1"/>
    <col min="16132" max="16132" width="13" style="105" customWidth="1"/>
    <col min="16133" max="16133" width="12.85546875" style="105" customWidth="1"/>
    <col min="16134" max="16383" width="8.85546875" style="105"/>
    <col min="16384" max="16384" width="8.85546875" style="105" customWidth="1"/>
  </cols>
  <sheetData>
    <row r="1" spans="1:6" x14ac:dyDescent="0.25">
      <c r="B1" s="226" t="s">
        <v>115</v>
      </c>
      <c r="C1" s="227"/>
      <c r="D1" s="227"/>
      <c r="E1" s="227"/>
    </row>
    <row r="2" spans="1:6" ht="15.75" x14ac:dyDescent="0.25">
      <c r="B2" s="106" t="s">
        <v>130</v>
      </c>
    </row>
    <row r="4" spans="1:6" s="109" customFormat="1" x14ac:dyDescent="0.25">
      <c r="A4" s="228" t="s">
        <v>118</v>
      </c>
      <c r="B4" s="230" t="s">
        <v>119</v>
      </c>
      <c r="C4" s="127" t="s">
        <v>116</v>
      </c>
      <c r="D4" s="110" t="s">
        <v>116</v>
      </c>
      <c r="E4" s="111" t="s">
        <v>117</v>
      </c>
      <c r="F4" s="111"/>
    </row>
    <row r="5" spans="1:6" s="114" customFormat="1" ht="76.5" x14ac:dyDescent="0.25">
      <c r="A5" s="229"/>
      <c r="B5" s="230"/>
      <c r="C5" s="127" t="s">
        <v>120</v>
      </c>
      <c r="D5" s="110" t="s">
        <v>121</v>
      </c>
      <c r="E5" s="112" t="s">
        <v>122</v>
      </c>
      <c r="F5" s="113" t="s">
        <v>123</v>
      </c>
    </row>
    <row r="6" spans="1:6" s="118" customFormat="1" ht="11.25" x14ac:dyDescent="0.2">
      <c r="A6" s="126">
        <v>1</v>
      </c>
      <c r="B6" s="128">
        <v>2</v>
      </c>
      <c r="C6" s="115">
        <v>3</v>
      </c>
      <c r="D6" s="116">
        <v>4</v>
      </c>
      <c r="E6" s="117"/>
      <c r="F6" s="117">
        <v>5</v>
      </c>
    </row>
    <row r="7" spans="1:6" ht="15.75" x14ac:dyDescent="0.25">
      <c r="A7" s="119">
        <v>1</v>
      </c>
      <c r="B7" s="18" t="s">
        <v>49</v>
      </c>
      <c r="C7" s="130">
        <f>оценка!BA12</f>
        <v>19.370378067795688</v>
      </c>
      <c r="D7" s="120">
        <v>2</v>
      </c>
      <c r="E7" s="121" t="str">
        <f>IF(AND($C7&gt;=0,$C7&lt;AVERAGE($C$7:$C$18)-2/3*STDEV($C$7:$C$18)),"III СТЕПЕНЬ",IF(AND($C7&gt;=AVERAGE($C$7:$C$18)-2/3*STDEV($C$7:$C$18),$C7&lt;=AVERAGE($C$7:$C$18)+2/3*STDEV($C$7:$C$18)),"II СТЕПЕНЬ",IF(AND($C7&lt;=100,$C7&gt;=AVERAGE($C$7:$C$18)+2/3*STDEV($C$7:$C$18)),"I СТЕПЕНЬ",0)))</f>
        <v>II СТЕПЕНЬ</v>
      </c>
      <c r="F7" s="121" t="str">
        <f>IF(AND($C7&gt;=0,$C7&lt;AVERAGE($C$7:$C$18)-3/4*STDEV($C$7:$C$18)),"III СТЕПЕНЬ",IF(AND($C7&gt;=AVERAGE($C$7:$C$18)-3/4*STDEV($C$7:$C$18),$C7&lt;=AVERAGE($C$7:$C$18)+3/4*STDEV($C$7:$C$18)),"II СТЕПЕНЬ",IF(AND($C7&lt;=100,$C7&gt;=AVERAGE($C$7:$C$18)+3/4*STDEV($C$7:$C$18)),"I СТЕПЕНЬ",0)))</f>
        <v>II СТЕПЕНЬ</v>
      </c>
    </row>
    <row r="8" spans="1:6" ht="15.75" x14ac:dyDescent="0.25">
      <c r="A8" s="119">
        <v>2</v>
      </c>
      <c r="B8" s="18" t="s">
        <v>54</v>
      </c>
      <c r="C8" s="130">
        <f>оценка!BA13</f>
        <v>21.39344054914763</v>
      </c>
      <c r="D8" s="120">
        <v>2</v>
      </c>
      <c r="E8" s="121" t="str">
        <f t="shared" ref="E8:E18" si="0">IF(AND($C8&gt;=0,$C8&lt;AVERAGE($C$7:$C$18)-2/3*STDEV($C$7:$C$18)),"III СТЕПЕНЬ",IF(AND($C8&gt;=AVERAGE($C$7:$C$18)-2/3*STDEV($C$7:$C$18),$C8&lt;=AVERAGE($C$7:$C$18)+2/3*STDEV($C$7:$C$18)),"II СТЕПЕНЬ",IF(AND($C8&lt;=100,$C8&gt;=AVERAGE($C$7:$C$18)+2/3*STDEV($C$7:$C$18)),"I СТЕПЕНЬ",0)))</f>
        <v>II СТЕПЕНЬ</v>
      </c>
      <c r="F8" s="121" t="str">
        <f>IF(AND($C8&gt;=0,$C8&lt;AVERAGE($C$7:$C$18)-3/4*STDEV($C$7:$C$18)),"III СТЕПЕНЬ",IF(AND($C8&gt;=AVERAGE($C$7:$C$18)-3/4*STDEV($C$7:$C$18),$C8&lt;=AVERAGE($C$7:$C$18)+3/4*STDEV($C$7:$C$18)),"II СТЕПЕНЬ",IF(AND($C8&lt;=100,$C8&gt;=AVERAGE($C$7:$C$18)+3/4*STDEV($C$7:$C$18)),"I СТЕПЕНЬ",0)))</f>
        <v>II СТЕПЕНЬ</v>
      </c>
    </row>
    <row r="9" spans="1:6" ht="15.75" x14ac:dyDescent="0.25">
      <c r="A9" s="119">
        <v>3</v>
      </c>
      <c r="B9" s="18" t="s">
        <v>55</v>
      </c>
      <c r="C9" s="130">
        <f>оценка!BA14</f>
        <v>18.586900574630349</v>
      </c>
      <c r="D9" s="120">
        <v>2</v>
      </c>
      <c r="E9" s="121" t="str">
        <f t="shared" si="0"/>
        <v>II СТЕПЕНЬ</v>
      </c>
      <c r="F9" s="121" t="str">
        <f t="shared" ref="F9:F18" si="1">IF(AND($C9&gt;=0,$C9&lt;AVERAGE($C$7:$C$18)-3/4*STDEV($C$7:$C$18)),"III СТЕПЕНЬ",IF(AND($C9&gt;=AVERAGE($C$7:$C$18)-3/4*STDEV($C$7:$C$18),$C9&lt;=AVERAGE($C$7:$C$18)+3/4*STDEV($C$7:$C$18)),"II СТЕПЕНЬ",IF(AND($C9&lt;=100,$C9&gt;=AVERAGE($C$7:$C$18)+3/4*STDEV($C$7:$C$18)),"I СТЕПЕНЬ",0)))</f>
        <v>II СТЕПЕНЬ</v>
      </c>
    </row>
    <row r="10" spans="1:6" ht="15.75" x14ac:dyDescent="0.25">
      <c r="A10" s="119">
        <v>4</v>
      </c>
      <c r="B10" s="18" t="s">
        <v>56</v>
      </c>
      <c r="C10" s="130">
        <f>оценка!BA15</f>
        <v>14.622938320371592</v>
      </c>
      <c r="D10" s="120">
        <v>3</v>
      </c>
      <c r="E10" s="121" t="str">
        <f t="shared" si="0"/>
        <v>III СТЕПЕНЬ</v>
      </c>
      <c r="F10" s="121" t="str">
        <f t="shared" si="1"/>
        <v>III СТЕПЕНЬ</v>
      </c>
    </row>
    <row r="11" spans="1:6" ht="15.75" x14ac:dyDescent="0.25">
      <c r="A11" s="119">
        <v>5</v>
      </c>
      <c r="B11" s="18" t="s">
        <v>57</v>
      </c>
      <c r="C11" s="130">
        <f>оценка!BA16</f>
        <v>25.306452347979778</v>
      </c>
      <c r="D11" s="120">
        <v>1</v>
      </c>
      <c r="E11" s="121" t="str">
        <f t="shared" si="0"/>
        <v>I СТЕПЕНЬ</v>
      </c>
      <c r="F11" s="121" t="str">
        <f t="shared" si="1"/>
        <v>I СТЕПЕНЬ</v>
      </c>
    </row>
    <row r="12" spans="1:6" ht="15.75" x14ac:dyDescent="0.25">
      <c r="A12" s="119">
        <v>6</v>
      </c>
      <c r="B12" s="18" t="s">
        <v>58</v>
      </c>
      <c r="C12" s="130">
        <f>оценка!BA17</f>
        <v>22.299659739099365</v>
      </c>
      <c r="D12" s="120">
        <v>2</v>
      </c>
      <c r="E12" s="121" t="str">
        <f t="shared" si="0"/>
        <v>I СТЕПЕНЬ</v>
      </c>
      <c r="F12" s="121" t="str">
        <f t="shared" si="1"/>
        <v>II СТЕПЕНЬ</v>
      </c>
    </row>
    <row r="13" spans="1:6" ht="15.75" x14ac:dyDescent="0.25">
      <c r="A13" s="119">
        <v>7</v>
      </c>
      <c r="B13" s="18" t="s">
        <v>59</v>
      </c>
      <c r="C13" s="130">
        <f>оценка!BA18</f>
        <v>22.915840229876316</v>
      </c>
      <c r="D13" s="120">
        <v>1</v>
      </c>
      <c r="E13" s="121" t="str">
        <f t="shared" si="0"/>
        <v>I СТЕПЕНЬ</v>
      </c>
      <c r="F13" s="121" t="str">
        <f t="shared" si="1"/>
        <v>I СТЕПЕНЬ</v>
      </c>
    </row>
    <row r="14" spans="1:6" ht="15.75" x14ac:dyDescent="0.25">
      <c r="A14" s="119">
        <v>8</v>
      </c>
      <c r="B14" s="18" t="s">
        <v>60</v>
      </c>
      <c r="C14" s="130">
        <f>оценка!BA19</f>
        <v>11.66708962333354</v>
      </c>
      <c r="D14" s="120">
        <v>3</v>
      </c>
      <c r="E14" s="121" t="str">
        <f t="shared" si="0"/>
        <v>III СТЕПЕНЬ</v>
      </c>
      <c r="F14" s="121" t="str">
        <f t="shared" si="1"/>
        <v>III СТЕПЕНЬ</v>
      </c>
    </row>
    <row r="15" spans="1:6" ht="15.75" x14ac:dyDescent="0.25">
      <c r="A15" s="119">
        <v>9</v>
      </c>
      <c r="B15" s="18" t="s">
        <v>61</v>
      </c>
      <c r="C15" s="130">
        <f>оценка!BA20</f>
        <v>16.654853223160767</v>
      </c>
      <c r="D15" s="120">
        <v>2</v>
      </c>
      <c r="E15" s="121" t="str">
        <f t="shared" si="0"/>
        <v>III СТЕПЕНЬ</v>
      </c>
      <c r="F15" s="121" t="str">
        <f t="shared" si="1"/>
        <v>III СТЕПЕНЬ</v>
      </c>
    </row>
    <row r="16" spans="1:6" ht="15.75" x14ac:dyDescent="0.25">
      <c r="A16" s="119">
        <v>10</v>
      </c>
      <c r="B16" s="142" t="s">
        <v>63</v>
      </c>
      <c r="C16" s="130">
        <f>оценка!BA21</f>
        <v>20.822545166102895</v>
      </c>
      <c r="D16" s="120">
        <v>2</v>
      </c>
      <c r="E16" s="121" t="str">
        <f t="shared" si="0"/>
        <v>II СТЕПЕНЬ</v>
      </c>
      <c r="F16" s="121" t="str">
        <f>IF(AND($C16&gt;=0,$C16&lt;AVERAGE($C$7:$C$18)-3/4*STDEV($C$7:$C$18)),"III СТЕПЕНЬ",IF(AND($C16&gt;=AVERAGE($C$7:$C$18)-3/4*STDEV($C$7:$C$18),$C16&lt;=AVERAGE($C$7:$C$18)+3/4*STDEV($C$7:$C$18)),"II СТЕПЕНЬ",IF(AND($C16&lt;=100,$C16&gt;=AVERAGE($C$7:$C$18)+3/4*STDEV($C$7:$C$18)),"I СТЕПЕНЬ",0)))</f>
        <v>II СТЕПЕНЬ</v>
      </c>
    </row>
    <row r="17" spans="1:6" ht="15.75" x14ac:dyDescent="0.25">
      <c r="A17" s="119">
        <v>11</v>
      </c>
      <c r="B17" s="18" t="s">
        <v>66</v>
      </c>
      <c r="C17" s="130">
        <f>оценка!BA23</f>
        <v>19.448162472454545</v>
      </c>
      <c r="D17" s="120">
        <v>2</v>
      </c>
      <c r="E17" s="121" t="str">
        <f t="shared" si="0"/>
        <v>II СТЕПЕНЬ</v>
      </c>
      <c r="F17" s="121" t="str">
        <f t="shared" si="1"/>
        <v>II СТЕПЕНЬ</v>
      </c>
    </row>
    <row r="18" spans="1:6" ht="15.75" x14ac:dyDescent="0.25">
      <c r="A18" s="119">
        <v>12</v>
      </c>
      <c r="B18" s="18" t="s">
        <v>67</v>
      </c>
      <c r="C18" s="130">
        <f>оценка!BA24</f>
        <v>21.249453582524264</v>
      </c>
      <c r="D18" s="120">
        <v>2</v>
      </c>
      <c r="E18" s="121" t="str">
        <f t="shared" si="0"/>
        <v>II СТЕПЕНЬ</v>
      </c>
      <c r="F18" s="121" t="str">
        <f t="shared" si="1"/>
        <v>II СТЕПЕНЬ</v>
      </c>
    </row>
    <row r="19" spans="1:6" x14ac:dyDescent="0.25">
      <c r="A19" s="119">
        <v>36</v>
      </c>
      <c r="B19" s="122" t="s">
        <v>124</v>
      </c>
      <c r="C19" s="123">
        <v>21.3245</v>
      </c>
      <c r="D19" s="124" t="s">
        <v>125</v>
      </c>
      <c r="E19" s="121"/>
      <c r="F19" s="121"/>
    </row>
    <row r="20" spans="1:6" x14ac:dyDescent="0.25">
      <c r="C20" s="125"/>
    </row>
    <row r="21" spans="1:6" x14ac:dyDescent="0.25">
      <c r="B21" s="123">
        <v>21.3245</v>
      </c>
    </row>
  </sheetData>
  <mergeCells count="3">
    <mergeCell ref="B1:E1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оценка</vt:lpstr>
      <vt:lpstr>степень</vt:lpstr>
      <vt:lpstr>оценка!Заголовки_для_печати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</dc:creator>
  <cp:lastModifiedBy>informatik</cp:lastModifiedBy>
  <cp:lastPrinted>2024-02-09T11:40:34Z</cp:lastPrinted>
  <dcterms:created xsi:type="dcterms:W3CDTF">2015-01-30T07:14:52Z</dcterms:created>
  <dcterms:modified xsi:type="dcterms:W3CDTF">2025-04-25T02:35:30Z</dcterms:modified>
</cp:coreProperties>
</file>