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15180" windowHeight="8595" activeTab="0"/>
  </bookViews>
  <sheets>
    <sheet name="РАСЧЕТ ИНП" sheetId="1" r:id="rId1"/>
    <sheet name="РАСЧЕТ ИБР" sheetId="2" r:id="rId2"/>
    <sheet name="РАСЧЕТ ДОТАЦИИ" sheetId="3" r:id="rId3"/>
    <sheet name="Лист1" sheetId="4" r:id="rId4"/>
  </sheets>
  <definedNames>
    <definedName name="_xlnm.Print_Titles" localSheetId="2">'РАСЧЕТ ДОТАЦИИ'!$A:$B</definedName>
    <definedName name="_xlnm.Print_Titles" localSheetId="0">'РАСЧЕТ ИНП'!$A:$B,'РАСЧЕТ ИНП'!$3:$7</definedName>
    <definedName name="_xlnm.Print_Area" localSheetId="2">'РАСЧЕТ ДОТАЦИИ'!$A$1:$Q$33</definedName>
    <definedName name="_xlnm.Print_Area" localSheetId="1">'РАСЧЕТ ИБР'!$A$1:$S$30</definedName>
    <definedName name="_xlnm.Print_Area" localSheetId="0">'РАСЧЕТ ИНП'!$A$1:$Q$23</definedName>
  </definedNames>
  <calcPr fullCalcOnLoad="1" fullPrecision="0"/>
</workbook>
</file>

<file path=xl/comments1.xml><?xml version="1.0" encoding="utf-8"?>
<comments xmlns="http://schemas.openxmlformats.org/spreadsheetml/2006/main">
  <authors>
    <author>new</author>
  </authors>
  <commentList>
    <comment ref="I9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
</t>
        </r>
      </text>
    </comment>
    <comment ref="M9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</commentList>
</comments>
</file>

<file path=xl/sharedStrings.xml><?xml version="1.0" encoding="utf-8"?>
<sst xmlns="http://schemas.openxmlformats.org/spreadsheetml/2006/main" count="126" uniqueCount="105">
  <si>
    <t>налоговый потенциал (НП)</t>
  </si>
  <si>
    <r>
      <t>Налоговый потенциал (НП</t>
    </r>
    <r>
      <rPr>
        <b/>
        <vertAlign val="subscript"/>
        <sz val="10"/>
        <rFont val="Times New Roman Cyr"/>
        <family val="1"/>
      </rPr>
      <t>nk)</t>
    </r>
  </si>
  <si>
    <t>7=4*5*(6/6итог)</t>
  </si>
  <si>
    <t xml:space="preserve">Налог на доходы физических лиц </t>
  </si>
  <si>
    <r>
      <t>Расчет налогового потенциала  (НП</t>
    </r>
    <r>
      <rPr>
        <b/>
        <vertAlign val="subscript"/>
        <sz val="10"/>
        <rFont val="Times New Roman Cyr"/>
        <family val="1"/>
      </rPr>
      <t>k</t>
    </r>
    <r>
      <rPr>
        <b/>
        <sz val="10"/>
        <rFont val="Times New Roman Cyr"/>
        <family val="1"/>
      </rPr>
      <t>=ПД</t>
    </r>
    <r>
      <rPr>
        <b/>
        <vertAlign val="subscript"/>
        <sz val="10"/>
        <rFont val="Times New Roman Cyr"/>
        <family val="1"/>
      </rPr>
      <t>к</t>
    </r>
    <r>
      <rPr>
        <b/>
        <sz val="10"/>
        <rFont val="Times New Roman Cyr"/>
        <family val="1"/>
      </rPr>
      <t>*Норм</t>
    </r>
    <r>
      <rPr>
        <b/>
        <vertAlign val="subscript"/>
        <sz val="10"/>
        <rFont val="Times New Roman Cyr"/>
        <family val="1"/>
      </rPr>
      <t>к</t>
    </r>
    <r>
      <rPr>
        <b/>
        <sz val="10"/>
        <rFont val="Times New Roman Cyr"/>
        <family val="1"/>
      </rPr>
      <t>*(БН</t>
    </r>
    <r>
      <rPr>
        <b/>
        <vertAlign val="subscript"/>
        <sz val="10"/>
        <rFont val="Times New Roman Cyr"/>
        <family val="1"/>
      </rPr>
      <t>nk</t>
    </r>
    <r>
      <rPr>
        <b/>
        <sz val="10"/>
        <rFont val="Times New Roman Cyr"/>
        <family val="1"/>
      </rPr>
      <t>/БН</t>
    </r>
    <r>
      <rPr>
        <b/>
        <vertAlign val="subscript"/>
        <sz val="10"/>
        <rFont val="Times New Roman Cyr"/>
        <family val="1"/>
      </rPr>
      <t>k</t>
    </r>
    <r>
      <rPr>
        <b/>
        <sz val="10"/>
        <rFont val="Times New Roman Cyr"/>
        <family val="1"/>
      </rPr>
      <t>), НП=НП</t>
    </r>
    <r>
      <rPr>
        <b/>
        <vertAlign val="subscript"/>
        <sz val="10"/>
        <rFont val="Times New Roman Cyr"/>
        <family val="1"/>
      </rPr>
      <t>кn</t>
    </r>
    <r>
      <rPr>
        <b/>
        <sz val="10"/>
        <rFont val="Times New Roman Cyr"/>
        <family val="1"/>
      </rPr>
      <t>)</t>
    </r>
  </si>
  <si>
    <r>
      <t>Расчет индекса налогового потенциала (ИНП</t>
    </r>
    <r>
      <rPr>
        <b/>
        <vertAlign val="subscript"/>
        <sz val="10"/>
        <rFont val="Times New Roman Cyr"/>
        <family val="1"/>
      </rPr>
      <t>n</t>
    </r>
    <r>
      <rPr>
        <b/>
        <sz val="10"/>
        <rFont val="Times New Roman Cyr"/>
        <family val="1"/>
      </rPr>
      <t>=(НП</t>
    </r>
    <r>
      <rPr>
        <b/>
        <vertAlign val="subscript"/>
        <sz val="10"/>
        <rFont val="Times New Roman Cyr"/>
        <family val="1"/>
      </rPr>
      <t>n</t>
    </r>
    <r>
      <rPr>
        <b/>
        <sz val="10"/>
        <rFont val="Times New Roman Cyr"/>
        <family val="1"/>
      </rPr>
      <t>/Н</t>
    </r>
    <r>
      <rPr>
        <b/>
        <vertAlign val="subscript"/>
        <sz val="10"/>
        <rFont val="Times New Roman Cyr"/>
        <family val="1"/>
      </rPr>
      <t>n</t>
    </r>
    <r>
      <rPr>
        <b/>
        <sz val="10"/>
        <rFont val="Times New Roman Cyr"/>
        <family val="1"/>
      </rPr>
      <t>)/(НП/Н)</t>
    </r>
  </si>
  <si>
    <r>
      <t>налоговый потенциал (НП</t>
    </r>
    <r>
      <rPr>
        <b/>
        <vertAlign val="subscript"/>
        <sz val="8"/>
        <rFont val="Times New Roman Cyr"/>
        <family val="1"/>
      </rPr>
      <t>k</t>
    </r>
    <r>
      <rPr>
        <b/>
        <sz val="8"/>
        <rFont val="Times New Roman Cyr"/>
        <family val="1"/>
      </rPr>
      <t>)</t>
    </r>
  </si>
  <si>
    <r>
      <t>норматив отчисления в бюджеты муниципальных районов (Норм</t>
    </r>
    <r>
      <rPr>
        <b/>
        <vertAlign val="subscript"/>
        <sz val="8"/>
        <rFont val="Times New Roman Cyr"/>
        <family val="1"/>
      </rPr>
      <t>к)</t>
    </r>
    <r>
      <rPr>
        <b/>
        <sz val="8"/>
        <rFont val="Times New Roman Cyr"/>
        <family val="1"/>
      </rPr>
      <t>**</t>
    </r>
  </si>
  <si>
    <r>
      <t>база налого-обложения (БН</t>
    </r>
    <r>
      <rPr>
        <b/>
        <vertAlign val="subscript"/>
        <sz val="8"/>
        <rFont val="Times New Roman Cyr"/>
        <family val="1"/>
      </rPr>
      <t>nk)</t>
    </r>
  </si>
  <si>
    <r>
      <t>база налого-обложения (БН</t>
    </r>
    <r>
      <rPr>
        <b/>
        <vertAlign val="subscript"/>
        <sz val="8"/>
        <rFont val="Times New Roman Cyr"/>
        <family val="1"/>
      </rPr>
      <t>nk)</t>
    </r>
    <r>
      <rPr>
        <b/>
        <sz val="8"/>
        <rFont val="Times New Roman Cyr"/>
        <family val="1"/>
      </rPr>
      <t>*</t>
    </r>
  </si>
  <si>
    <r>
      <t>норматив отчисления в бюджеты муниципаль-ных районов (Норм</t>
    </r>
    <r>
      <rPr>
        <b/>
        <vertAlign val="subscript"/>
        <sz val="9"/>
        <rFont val="Times New Roman Cyr"/>
        <family val="1"/>
      </rPr>
      <t>к)</t>
    </r>
  </si>
  <si>
    <r>
      <t>норматив отчисления в бюджеты муници-пальных районов (Норм</t>
    </r>
    <r>
      <rPr>
        <b/>
        <vertAlign val="subscript"/>
        <sz val="8"/>
        <rFont val="Times New Roman Cyr"/>
        <family val="1"/>
      </rPr>
      <t>к)</t>
    </r>
  </si>
  <si>
    <t>№ п/п</t>
  </si>
  <si>
    <t>ИНП</t>
  </si>
  <si>
    <t>Численность</t>
  </si>
  <si>
    <r>
      <t>прогноз поступлений в КБ края (ПД</t>
    </r>
    <r>
      <rPr>
        <b/>
        <vertAlign val="subscript"/>
        <sz val="8"/>
        <rFont val="Times New Roman Cyr"/>
        <family val="1"/>
      </rPr>
      <t>к)</t>
    </r>
  </si>
  <si>
    <r>
      <t>прогноз поступлений в КБ края(ПД</t>
    </r>
    <r>
      <rPr>
        <b/>
        <vertAlign val="subscript"/>
        <sz val="8"/>
        <rFont val="Times New Roman Cyr"/>
        <family val="1"/>
      </rPr>
      <t>к)</t>
    </r>
  </si>
  <si>
    <t>Наименование коэффициента</t>
  </si>
  <si>
    <t>Формула</t>
  </si>
  <si>
    <t>Показатели для расчета</t>
  </si>
  <si>
    <t>ВСЕГО</t>
  </si>
  <si>
    <t>Коэффициент дифференциации заработной платы</t>
  </si>
  <si>
    <t xml:space="preserve">1. </t>
  </si>
  <si>
    <t>Коэффициент дифференциации прочих расходов</t>
  </si>
  <si>
    <t>ИБР</t>
  </si>
  <si>
    <t>БО</t>
  </si>
  <si>
    <t>1 этап</t>
  </si>
  <si>
    <t>2 этап</t>
  </si>
  <si>
    <t>Наименование муниципального образования</t>
  </si>
  <si>
    <t>У(1)</t>
  </si>
  <si>
    <t>БОn</t>
  </si>
  <si>
    <t>Размер Тn</t>
  </si>
  <si>
    <t xml:space="preserve"> </t>
  </si>
  <si>
    <t xml:space="preserve">Индекс налогового потенциала (ИНП) </t>
  </si>
  <si>
    <t>Всего по поселениям</t>
  </si>
  <si>
    <t>Наименование поселения</t>
  </si>
  <si>
    <t>Налог на имущество физических лиц</t>
  </si>
  <si>
    <t>Земельный налог</t>
  </si>
  <si>
    <t>Удельный вес расходов поселений на заработную плату с начисленими в общем объеме расходов поселений (доля)</t>
  </si>
  <si>
    <t>Удельный вес прочих расходов поселений в общем объеме расходов поселений (доля)</t>
  </si>
  <si>
    <t>Кзпj = 1+ Ксм</t>
  </si>
  <si>
    <r>
      <t>Ксм</t>
    </r>
    <r>
      <rPr>
        <b/>
        <i/>
        <sz val="12"/>
        <rFont val="Times New Roman"/>
        <family val="1"/>
      </rPr>
      <t>- повышающий коэффициент к окладам и тарифным ставкам специалистам бюджетной сферы за работу в сельской местности</t>
    </r>
  </si>
  <si>
    <t>Кзпj- коэффициент дифференциации заработной платы  j-го поселения</t>
  </si>
  <si>
    <t>КМ - коэффициент масштаба КМj = (0,6*Нj+0,4*Нсрj)/Нj</t>
  </si>
  <si>
    <t>Нj - численность постоянного населения j- го поселения</t>
  </si>
  <si>
    <t>Нсрj - средняя численность постоянного населения  j- го поселения</t>
  </si>
  <si>
    <t>КД- коэффициент дисперсности расселения в j- ом поселении КДj=1+УВj</t>
  </si>
  <si>
    <t>УВj -  удельный вес постоянного населения j-го поселения, проживающего в населенных пунктах с численностью населения менее 500 человек</t>
  </si>
  <si>
    <t>Численность населения j-го поселения, проживающего в населенных пунктах с численностью населения менее 500 человек</t>
  </si>
  <si>
    <t>Rj - расстояние от администратиного центра j- го поселения до административного центра муниципального района</t>
  </si>
  <si>
    <t>Коэффициент транспортной доступности КТДj = 1+Rj / Rср+Кj / К</t>
  </si>
  <si>
    <t>Rср - среднее расстояние от административных центров поселений до административного центра муниципального района</t>
  </si>
  <si>
    <t>К - количество населенных пунктов всех поселений, входящих в состав муниципального района</t>
  </si>
  <si>
    <t>Итого по поселениям</t>
  </si>
  <si>
    <t>Размер дотации на выравнивание бюджетной обеспеченности</t>
  </si>
  <si>
    <t>Размер подушевой дотации</t>
  </si>
  <si>
    <t>Объем дотации на выравнивание</t>
  </si>
  <si>
    <t>ПДкбмр - прогноз доходов консолидированного бюджета муниципального района</t>
  </si>
  <si>
    <t>ДПрасх - доля расходов бюджетов поселений в расходах консолидированного бюджета муниципального района</t>
  </si>
  <si>
    <t>ОДП - оценка объема налоговых и неналоговых доходов бюджетов поселений, вхлодящих в состав муниципального района в планируемом году</t>
  </si>
  <si>
    <t>Объем дотации подушевой</t>
  </si>
  <si>
    <t>Всего финансовой помощи поселениям</t>
  </si>
  <si>
    <t>Всего финансовой помощи</t>
  </si>
  <si>
    <t>КУj - коэффициент уровня урбанизации j-го поселения КУj = 1+УВГj</t>
  </si>
  <si>
    <t>УВГj - удельный вес городского населения j-го поселения</t>
  </si>
  <si>
    <t>Численность городского населения поселения</t>
  </si>
  <si>
    <t>Кj - количество населенных пунктов в j-ом поселении</t>
  </si>
  <si>
    <t>Кпрn=(КМj*КДj*КУj*КТДj)/   (КМср*КДср*КУср*КТДср)</t>
  </si>
  <si>
    <t>Внимание: заполнять только ячейки, выделенные желтым цветом!!!!!!!!</t>
  </si>
  <si>
    <t>А</t>
  </si>
  <si>
    <t>Алтан</t>
  </si>
  <si>
    <t>Билютуй</t>
  </si>
  <si>
    <t>Верхний-Ульхун</t>
  </si>
  <si>
    <t>Гавань</t>
  </si>
  <si>
    <t>Кыра</t>
  </si>
  <si>
    <t>Любовь</t>
  </si>
  <si>
    <t>Мангут</t>
  </si>
  <si>
    <t>Михайло-Павловск</t>
  </si>
  <si>
    <t>Мордой</t>
  </si>
  <si>
    <t>Надежный</t>
  </si>
  <si>
    <t>Тарбальджей</t>
  </si>
  <si>
    <t>Хапчеранга</t>
  </si>
  <si>
    <t>Шумунда</t>
  </si>
  <si>
    <t>Ульхун-Партия</t>
  </si>
  <si>
    <r>
      <t>прогноз поступлений в КБ края (ПД</t>
    </r>
    <r>
      <rPr>
        <b/>
        <vertAlign val="subscript"/>
        <sz val="10"/>
        <rFont val="Times New Roman Cyr"/>
        <family val="1"/>
      </rPr>
      <t>к)</t>
    </r>
  </si>
  <si>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Методика распределения бюджетам сельских поселений дотаций на выравнивание бюджетной обеспеченности из районного фонда финансовой поддержки поселений.</t>
    </r>
  </si>
  <si>
    <t xml:space="preserve">     </t>
  </si>
  <si>
    <t>Расчет индекса налогового потенциала для расчета дотации на выравнивание бюджетной обеспеченности поселений на 2023 год</t>
  </si>
  <si>
    <t>Численность населения по состоянию на 1.01.2022г.</t>
  </si>
  <si>
    <t>Показатели используемые в расчете распределения средств финансовой помощи из фонда выравнивания на 2023 год</t>
  </si>
  <si>
    <t>Численность постоянного населения по состоянию на 1.01.2022 года</t>
  </si>
  <si>
    <t>Расчет дотации на выравнивание бюджетной обеспеченности поселений на 2023 год</t>
  </si>
  <si>
    <t>Собственные доходы (налоговые, неналоговые) на 2023 год</t>
  </si>
  <si>
    <t>расчетный фот -12 м.</t>
  </si>
  <si>
    <t>потребность по данныс с/п  фот -12 м.</t>
  </si>
  <si>
    <t>разница от расчетного и потребности</t>
  </si>
  <si>
    <t>от потреб-ти 11 месяцев</t>
  </si>
  <si>
    <t>от расчетного 11 месяцев</t>
  </si>
  <si>
    <t>на 23 год</t>
  </si>
  <si>
    <t>ФОТ</t>
  </si>
  <si>
    <t>5=3/12*11</t>
  </si>
  <si>
    <t>6=4/12*11</t>
  </si>
  <si>
    <r>
      <t>разница до конца года от расчетного (</t>
    </r>
    <r>
      <rPr>
        <b/>
        <sz val="10"/>
        <rFont val="Arial Cyr"/>
        <family val="0"/>
      </rPr>
      <t>выделенные</t>
    </r>
    <r>
      <rPr>
        <sz val="10"/>
        <rFont val="Arial Cyr"/>
        <family val="0"/>
      </rPr>
      <t xml:space="preserve"> ,которые будут закреплены в перв.бюджете)</t>
    </r>
  </si>
  <si>
    <t>итого выделенный цвет</t>
  </si>
  <si>
    <t>5861 тыс. рублей     пойдет на сбалансированность на лимиты по ФОТ до конца года, от расчетного ФОТ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</si>
</sst>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\$#,##0\ ;\(\$#,##0\)"/>
    <numFmt numFmtId="177" formatCode="#,##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00"/>
    <numFmt numFmtId="185" formatCode="0.0"/>
    <numFmt numFmtId="186" formatCode="#,##0.0000"/>
    <numFmt numFmtId="187" formatCode="_-* #,##0.0_р_._-;\-* #,##0.0_р_._-;_-* &quot;-&quot;?_р_._-;_-@_-"/>
    <numFmt numFmtId="188" formatCode="_-* #,##0.000_р_._-;\-* #,##0.000_р_._-;_-* &quot;-&quot;???_р_._-;_-@_-"/>
    <numFmt numFmtId="189" formatCode="0.0%"/>
    <numFmt numFmtId="190" formatCode="#,##0.00000"/>
    <numFmt numFmtId="191" formatCode="_-* #,##0.00_р_._-;\-* #,##0.00_р_._-;_-* &quot;-&quot;???_р_._-;_-@_-"/>
    <numFmt numFmtId="192" formatCode="_-* #,##0.00_р_._-;\-* #,##0.00_р_._-;_-* &quot;-&quot;?_р_._-;_-@_-"/>
    <numFmt numFmtId="193" formatCode="_-* #,##0_р_._-;\-* #,##0_р_._-;_-* &quot;-&quot;?_р_._-;_-@_-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0.000%"/>
    <numFmt numFmtId="198" formatCode="_-* #,##0.0000_р_._-;\-* #,##0.0000_р_._-;_-* &quot;-&quot;???_р_._-;_-@_-"/>
    <numFmt numFmtId="199" formatCode="#,##0.000000"/>
    <numFmt numFmtId="200" formatCode="#,##0.0000000"/>
    <numFmt numFmtId="201" formatCode="0.0000%"/>
    <numFmt numFmtId="202" formatCode="0.00000%"/>
    <numFmt numFmtId="203" formatCode="_-* #,##0.0_р_._-;\-* #,##0.0_р_._-;_-* &quot;-&quot;???_р_._-;_-@_-"/>
    <numFmt numFmtId="204" formatCode="_-* #,##0_р_._-;\-* #,##0_р_._-;_-* &quot;-&quot;???_р_._-;_-@_-"/>
    <numFmt numFmtId="205" formatCode="0.000000%"/>
    <numFmt numFmtId="206" formatCode="_-* #,##0.000_р_._-;\-* #,##0.000_р_._-;_-* &quot;-&quot;?_р_._-;_-@_-"/>
    <numFmt numFmtId="207" formatCode="_-* #,##0.000000_р_._-;\-* #,##0.000000_р_._-;_-* &quot;-&quot;??????_р_._-;_-@_-"/>
    <numFmt numFmtId="208" formatCode="_-* #,##0.0000_р_._-;\-* #,##0.0000_р_._-;_-* &quot;-&quot;????_р_._-;_-@_-"/>
    <numFmt numFmtId="209" formatCode="#,##0.0_ ;\-#,##0.0\ "/>
    <numFmt numFmtId="210" formatCode="#,##0.000_ ;\-#,##0.000\ 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_-* #,##0.0\ _₽_-;\-* #,##0.0\ _₽_-;_-* &quot;-&quot;?\ _₽_-;_-@_-"/>
    <numFmt numFmtId="216" formatCode="_-* #,##0.000\ _₽_-;\-* #,##0.000\ _₽_-;_-* &quot;-&quot;???\ _₽_-;_-@_-"/>
  </numFmts>
  <fonts count="74">
    <font>
      <sz val="10"/>
      <name val="Arial Cyr"/>
      <family val="0"/>
    </font>
    <font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Arial"/>
      <family val="2"/>
    </font>
    <font>
      <sz val="8"/>
      <name val="Times New Roman Cyr"/>
      <family val="1"/>
    </font>
    <font>
      <b/>
      <sz val="10"/>
      <name val="Times New Roman Cyr"/>
      <family val="1"/>
    </font>
    <font>
      <b/>
      <sz val="8"/>
      <name val="Times New Roman Cyr"/>
      <family val="1"/>
    </font>
    <font>
      <b/>
      <sz val="10"/>
      <name val="Arial Cyr"/>
      <family val="0"/>
    </font>
    <font>
      <b/>
      <vertAlign val="subscript"/>
      <sz val="10"/>
      <name val="Times New Roman Cyr"/>
      <family val="1"/>
    </font>
    <font>
      <sz val="10"/>
      <name val="Times New Roman"/>
      <family val="1"/>
    </font>
    <font>
      <b/>
      <vertAlign val="subscript"/>
      <sz val="8"/>
      <name val="Times New Roman Cyr"/>
      <family val="1"/>
    </font>
    <font>
      <b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vertAlign val="subscript"/>
      <sz val="9"/>
      <name val="Times New Roman Cyr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9"/>
      <name val="Times New Roman Cyr"/>
      <family val="1"/>
    </font>
    <font>
      <sz val="14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sz val="7"/>
      <name val="Times New Roman"/>
      <family val="1"/>
    </font>
    <font>
      <sz val="12"/>
      <name val="Arial Cyr"/>
      <family val="0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3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" fillId="0" borderId="1" applyNumberFormat="0" applyFont="0" applyFill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2" applyNumberFormat="0" applyAlignment="0" applyProtection="0"/>
    <xf numFmtId="0" fontId="59" fillId="26" borderId="3" applyNumberFormat="0" applyAlignment="0" applyProtection="0"/>
    <xf numFmtId="0" fontId="60" fillId="26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27" borderId="8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8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70" fillId="0" borderId="10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2" fillId="0" borderId="0" xfId="0" applyFont="1" applyFill="1" applyAlignment="1">
      <alignment/>
    </xf>
    <xf numFmtId="0" fontId="4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187" fontId="12" fillId="0" borderId="0" xfId="0" applyNumberFormat="1" applyFont="1" applyFill="1" applyAlignment="1">
      <alignment/>
    </xf>
    <xf numFmtId="171" fontId="12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9" fillId="32" borderId="11" xfId="40" applyFont="1" applyFill="1" applyBorder="1">
      <alignment/>
      <protection/>
    </xf>
    <xf numFmtId="0" fontId="9" fillId="32" borderId="11" xfId="40" applyFont="1" applyFill="1" applyBorder="1" applyAlignment="1">
      <alignment wrapText="1"/>
      <protection/>
    </xf>
    <xf numFmtId="0" fontId="23" fillId="33" borderId="11" xfId="0" applyFont="1" applyFill="1" applyBorder="1" applyAlignment="1">
      <alignment horizontal="center" vertical="center" wrapText="1"/>
    </xf>
    <xf numFmtId="169" fontId="22" fillId="33" borderId="11" xfId="0" applyNumberFormat="1" applyFont="1" applyFill="1" applyBorder="1" applyAlignment="1">
      <alignment/>
    </xf>
    <xf numFmtId="3" fontId="9" fillId="33" borderId="11" xfId="0" applyNumberFormat="1" applyFont="1" applyFill="1" applyBorder="1" applyAlignment="1">
      <alignment wrapText="1"/>
    </xf>
    <xf numFmtId="169" fontId="4" fillId="33" borderId="0" xfId="0" applyNumberFormat="1" applyFont="1" applyFill="1" applyAlignment="1">
      <alignment/>
    </xf>
    <xf numFmtId="0" fontId="11" fillId="33" borderId="11" xfId="64" applyFont="1" applyFill="1" applyBorder="1" applyAlignment="1">
      <alignment horizontal="center" vertical="center" wrapText="1"/>
      <protection/>
    </xf>
    <xf numFmtId="0" fontId="16" fillId="33" borderId="11" xfId="0" applyFont="1" applyFill="1" applyBorder="1" applyAlignment="1">
      <alignment/>
    </xf>
    <xf numFmtId="177" fontId="16" fillId="33" borderId="11" xfId="64" applyNumberFormat="1" applyFont="1" applyFill="1" applyBorder="1" applyAlignment="1">
      <alignment wrapText="1"/>
      <protection/>
    </xf>
    <xf numFmtId="0" fontId="12" fillId="33" borderId="0" xfId="0" applyFont="1" applyFill="1" applyAlignment="1">
      <alignment/>
    </xf>
    <xf numFmtId="187" fontId="12" fillId="33" borderId="0" xfId="0" applyNumberFormat="1" applyFont="1" applyFill="1" applyAlignment="1">
      <alignment/>
    </xf>
    <xf numFmtId="3" fontId="24" fillId="33" borderId="11" xfId="64" applyNumberFormat="1" applyFont="1" applyFill="1" applyBorder="1" applyAlignment="1">
      <alignment wrapText="1"/>
      <protection/>
    </xf>
    <xf numFmtId="0" fontId="0" fillId="33" borderId="0" xfId="0" applyFill="1" applyAlignment="1">
      <alignment/>
    </xf>
    <xf numFmtId="169" fontId="22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4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7" fillId="34" borderId="11" xfId="0" applyFont="1" applyFill="1" applyBorder="1" applyAlignment="1">
      <alignment vertical="center" wrapText="1"/>
    </xf>
    <xf numFmtId="188" fontId="14" fillId="34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183" fontId="14" fillId="0" borderId="11" xfId="0" applyNumberFormat="1" applyFont="1" applyFill="1" applyBorder="1" applyAlignment="1">
      <alignment vertical="center" wrapText="1"/>
    </xf>
    <xf numFmtId="0" fontId="27" fillId="33" borderId="11" xfId="0" applyFont="1" applyFill="1" applyBorder="1" applyAlignment="1">
      <alignment vertical="center" wrapText="1"/>
    </xf>
    <xf numFmtId="0" fontId="29" fillId="33" borderId="11" xfId="62" applyFont="1" applyFill="1" applyBorder="1" applyAlignment="1" applyProtection="1">
      <alignment horizontal="center" vertical="top"/>
      <protection hidden="1"/>
    </xf>
    <xf numFmtId="0" fontId="11" fillId="35" borderId="11" xfId="64" applyFont="1" applyFill="1" applyBorder="1" applyAlignment="1">
      <alignment horizontal="center" vertical="center" wrapText="1"/>
      <protection/>
    </xf>
    <xf numFmtId="187" fontId="11" fillId="35" borderId="11" xfId="64" applyNumberFormat="1" applyFont="1" applyFill="1" applyBorder="1" applyAlignment="1">
      <alignment horizontal="center" vertical="center" wrapText="1"/>
      <protection/>
    </xf>
    <xf numFmtId="0" fontId="23" fillId="35" borderId="11" xfId="0" applyFont="1" applyFill="1" applyBorder="1" applyAlignment="1">
      <alignment horizontal="center" vertical="center" wrapText="1"/>
    </xf>
    <xf numFmtId="193" fontId="24" fillId="35" borderId="11" xfId="64" applyNumberFormat="1" applyFont="1" applyFill="1" applyBorder="1" applyAlignment="1">
      <alignment horizontal="center" wrapText="1"/>
      <protection/>
    </xf>
    <xf numFmtId="3" fontId="16" fillId="35" borderId="11" xfId="64" applyNumberFormat="1" applyFont="1" applyFill="1" applyBorder="1" applyAlignment="1">
      <alignment wrapText="1"/>
      <protection/>
    </xf>
    <xf numFmtId="193" fontId="16" fillId="35" borderId="11" xfId="64" applyNumberFormat="1" applyFont="1" applyFill="1" applyBorder="1" applyAlignment="1">
      <alignment wrapText="1"/>
      <protection/>
    </xf>
    <xf numFmtId="0" fontId="23" fillId="33" borderId="1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69" fontId="4" fillId="36" borderId="0" xfId="0" applyNumberFormat="1" applyFont="1" applyFill="1" applyAlignment="1">
      <alignment horizontal="center" vertical="center" wrapText="1"/>
    </xf>
    <xf numFmtId="169" fontId="4" fillId="36" borderId="0" xfId="0" applyNumberFormat="1" applyFont="1" applyFill="1" applyAlignment="1">
      <alignment/>
    </xf>
    <xf numFmtId="0" fontId="14" fillId="4" borderId="11" xfId="0" applyFont="1" applyFill="1" applyBorder="1" applyAlignment="1">
      <alignment vertical="center" wrapText="1"/>
    </xf>
    <xf numFmtId="0" fontId="33" fillId="0" borderId="0" xfId="0" applyFont="1" applyFill="1" applyAlignment="1">
      <alignment horizontal="center" vertical="center" wrapText="1"/>
    </xf>
    <xf numFmtId="0" fontId="29" fillId="33" borderId="11" xfId="62" applyFont="1" applyFill="1" applyBorder="1" applyAlignment="1" applyProtection="1">
      <alignment horizontal="center" vertical="center" wrapText="1"/>
      <protection hidden="1"/>
    </xf>
    <xf numFmtId="3" fontId="22" fillId="32" borderId="11" xfId="0" applyNumberFormat="1" applyFont="1" applyFill="1" applyBorder="1" applyAlignment="1">
      <alignment/>
    </xf>
    <xf numFmtId="9" fontId="24" fillId="32" borderId="11" xfId="64" applyNumberFormat="1" applyFont="1" applyFill="1" applyBorder="1" applyAlignment="1">
      <alignment wrapText="1"/>
      <protection/>
    </xf>
    <xf numFmtId="3" fontId="16" fillId="32" borderId="11" xfId="64" applyNumberFormat="1" applyFont="1" applyFill="1" applyBorder="1" applyAlignment="1">
      <alignment wrapText="1"/>
      <protection/>
    </xf>
    <xf numFmtId="9" fontId="24" fillId="32" borderId="11" xfId="64" applyNumberFormat="1" applyFont="1" applyFill="1" applyBorder="1" applyAlignment="1">
      <alignment wrapText="1"/>
      <protection/>
    </xf>
    <xf numFmtId="193" fontId="16" fillId="32" borderId="11" xfId="64" applyNumberFormat="1" applyFont="1" applyFill="1" applyBorder="1" applyAlignment="1">
      <alignment horizontal="center" wrapText="1"/>
      <protection/>
    </xf>
    <xf numFmtId="0" fontId="16" fillId="33" borderId="14" xfId="64" applyNumberFormat="1" applyFont="1" applyFill="1" applyBorder="1" applyAlignment="1">
      <alignment wrapText="1"/>
      <protection/>
    </xf>
    <xf numFmtId="0" fontId="14" fillId="32" borderId="11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left" vertical="center" wrapText="1"/>
    </xf>
    <xf numFmtId="188" fontId="27" fillId="33" borderId="11" xfId="0" applyNumberFormat="1" applyFont="1" applyFill="1" applyBorder="1" applyAlignment="1">
      <alignment vertical="center" wrapText="1"/>
    </xf>
    <xf numFmtId="0" fontId="27" fillId="33" borderId="11" xfId="0" applyNumberFormat="1" applyFont="1" applyFill="1" applyBorder="1" applyAlignment="1">
      <alignment vertical="center" wrapText="1"/>
    </xf>
    <xf numFmtId="188" fontId="27" fillId="32" borderId="11" xfId="0" applyNumberFormat="1" applyFont="1" applyFill="1" applyBorder="1" applyAlignment="1">
      <alignment vertical="center" wrapText="1"/>
    </xf>
    <xf numFmtId="0" fontId="28" fillId="34" borderId="11" xfId="0" applyFont="1" applyFill="1" applyBorder="1" applyAlignment="1">
      <alignment vertical="center" wrapText="1"/>
    </xf>
    <xf numFmtId="169" fontId="0" fillId="33" borderId="11" xfId="0" applyNumberFormat="1" applyFill="1" applyBorder="1" applyAlignment="1">
      <alignment/>
    </xf>
    <xf numFmtId="169" fontId="22" fillId="32" borderId="11" xfId="0" applyNumberFormat="1" applyFont="1" applyFill="1" applyBorder="1" applyAlignment="1">
      <alignment/>
    </xf>
    <xf numFmtId="0" fontId="0" fillId="32" borderId="11" xfId="0" applyFill="1" applyBorder="1" applyAlignment="1">
      <alignment/>
    </xf>
    <xf numFmtId="169" fontId="0" fillId="34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 horizontal="center" vertical="center" wrapText="1"/>
    </xf>
    <xf numFmtId="171" fontId="0" fillId="0" borderId="0" xfId="0" applyNumberFormat="1" applyFill="1" applyBorder="1" applyAlignment="1">
      <alignment/>
    </xf>
    <xf numFmtId="184" fontId="14" fillId="33" borderId="11" xfId="0" applyNumberFormat="1" applyFont="1" applyFill="1" applyBorder="1" applyAlignment="1">
      <alignment/>
    </xf>
    <xf numFmtId="0" fontId="14" fillId="33" borderId="11" xfId="0" applyFont="1" applyFill="1" applyBorder="1" applyAlignment="1">
      <alignment vertical="center" wrapText="1"/>
    </xf>
    <xf numFmtId="0" fontId="27" fillId="34" borderId="11" xfId="0" applyNumberFormat="1" applyFont="1" applyFill="1" applyBorder="1" applyAlignment="1">
      <alignment vertical="center" wrapText="1"/>
    </xf>
    <xf numFmtId="188" fontId="27" fillId="34" borderId="11" xfId="0" applyNumberFormat="1" applyFont="1" applyFill="1" applyBorder="1" applyAlignment="1">
      <alignment vertical="center" wrapText="1"/>
    </xf>
    <xf numFmtId="0" fontId="14" fillId="34" borderId="11" xfId="0" applyFont="1" applyFill="1" applyBorder="1" applyAlignment="1">
      <alignment vertical="center" wrapText="1"/>
    </xf>
    <xf numFmtId="169" fontId="25" fillId="36" borderId="0" xfId="0" applyNumberFormat="1" applyFont="1" applyFill="1" applyAlignment="1">
      <alignment/>
    </xf>
    <xf numFmtId="0" fontId="22" fillId="33" borderId="11" xfId="0" applyNumberFormat="1" applyFont="1" applyFill="1" applyBorder="1" applyAlignment="1">
      <alignment/>
    </xf>
    <xf numFmtId="0" fontId="26" fillId="32" borderId="11" xfId="0" applyFont="1" applyFill="1" applyBorder="1" applyAlignment="1">
      <alignment horizontal="center" vertical="center" wrapText="1"/>
    </xf>
    <xf numFmtId="187" fontId="0" fillId="0" borderId="0" xfId="0" applyNumberFormat="1" applyAlignment="1">
      <alignment/>
    </xf>
    <xf numFmtId="0" fontId="10" fillId="33" borderId="11" xfId="64" applyFont="1" applyFill="1" applyBorder="1" applyAlignment="1">
      <alignment horizontal="center" vertical="center" wrapText="1"/>
      <protection/>
    </xf>
    <xf numFmtId="188" fontId="14" fillId="0" borderId="11" xfId="0" applyNumberFormat="1" applyFont="1" applyFill="1" applyBorder="1" applyAlignment="1">
      <alignment horizontal="center" vertical="center" wrapText="1"/>
    </xf>
    <xf numFmtId="210" fontId="22" fillId="32" borderId="11" xfId="0" applyNumberFormat="1" applyFont="1" applyFill="1" applyBorder="1" applyAlignment="1">
      <alignment/>
    </xf>
    <xf numFmtId="187" fontId="27" fillId="32" borderId="11" xfId="0" applyNumberFormat="1" applyFont="1" applyFill="1" applyBorder="1" applyAlignment="1">
      <alignment vertical="center" wrapText="1"/>
    </xf>
    <xf numFmtId="0" fontId="20" fillId="0" borderId="11" xfId="0" applyFont="1" applyBorder="1" applyAlignment="1">
      <alignment/>
    </xf>
    <xf numFmtId="177" fontId="24" fillId="33" borderId="11" xfId="64" applyNumberFormat="1" applyFont="1" applyFill="1" applyBorder="1" applyAlignment="1">
      <alignment wrapText="1"/>
      <protection/>
    </xf>
    <xf numFmtId="185" fontId="24" fillId="33" borderId="11" xfId="64" applyNumberFormat="1" applyFont="1" applyFill="1" applyBorder="1" applyAlignment="1">
      <alignment wrapText="1"/>
      <protection/>
    </xf>
    <xf numFmtId="185" fontId="16" fillId="33" borderId="11" xfId="64" applyNumberFormat="1" applyFont="1" applyFill="1" applyBorder="1" applyAlignment="1">
      <alignment wrapText="1"/>
      <protection/>
    </xf>
    <xf numFmtId="0" fontId="0" fillId="0" borderId="14" xfId="0" applyBorder="1" applyAlignment="1">
      <alignment/>
    </xf>
    <xf numFmtId="215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Fill="1" applyBorder="1" applyAlignment="1">
      <alignment horizontal="center"/>
    </xf>
    <xf numFmtId="171" fontId="0" fillId="0" borderId="0" xfId="0" applyNumberFormat="1" applyBorder="1" applyAlignment="1">
      <alignment/>
    </xf>
    <xf numFmtId="0" fontId="35" fillId="37" borderId="11" xfId="0" applyFont="1" applyFill="1" applyBorder="1" applyAlignment="1">
      <alignment/>
    </xf>
    <xf numFmtId="0" fontId="0" fillId="37" borderId="11" xfId="0" applyFill="1" applyBorder="1" applyAlignment="1">
      <alignment/>
    </xf>
    <xf numFmtId="215" fontId="0" fillId="0" borderId="0" xfId="0" applyNumberFormat="1" applyFill="1" applyBorder="1" applyAlignment="1">
      <alignment/>
    </xf>
    <xf numFmtId="185" fontId="0" fillId="0" borderId="11" xfId="0" applyNumberFormat="1" applyBorder="1" applyAlignment="1">
      <alignment wrapText="1"/>
    </xf>
    <xf numFmtId="2" fontId="0" fillId="0" borderId="11" xfId="0" applyNumberFormat="1" applyBorder="1" applyAlignment="1">
      <alignment wrapText="1"/>
    </xf>
    <xf numFmtId="185" fontId="0" fillId="0" borderId="11" xfId="0" applyNumberFormat="1" applyBorder="1" applyAlignment="1">
      <alignment/>
    </xf>
    <xf numFmtId="169" fontId="25" fillId="36" borderId="11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185" fontId="0" fillId="0" borderId="11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185" fontId="0" fillId="13" borderId="11" xfId="0" applyNumberFormat="1" applyFill="1" applyBorder="1" applyAlignment="1">
      <alignment wrapText="1"/>
    </xf>
    <xf numFmtId="185" fontId="0" fillId="13" borderId="11" xfId="0" applyNumberFormat="1" applyFill="1" applyBorder="1" applyAlignment="1">
      <alignment/>
    </xf>
    <xf numFmtId="0" fontId="12" fillId="0" borderId="0" xfId="0" applyFont="1" applyAlignment="1">
      <alignment/>
    </xf>
    <xf numFmtId="185" fontId="12" fillId="0" borderId="0" xfId="0" applyNumberFormat="1" applyFont="1" applyAlignment="1">
      <alignment/>
    </xf>
    <xf numFmtId="0" fontId="36" fillId="33" borderId="11" xfId="62" applyFont="1" applyFill="1" applyBorder="1" applyAlignment="1" applyProtection="1">
      <alignment horizontal="center"/>
      <protection hidden="1"/>
    </xf>
    <xf numFmtId="0" fontId="37" fillId="33" borderId="11" xfId="63" applyFont="1" applyFill="1" applyBorder="1" applyProtection="1">
      <alignment/>
      <protection hidden="1"/>
    </xf>
    <xf numFmtId="0" fontId="37" fillId="32" borderId="11" xfId="63" applyFont="1" applyFill="1" applyBorder="1" applyProtection="1">
      <alignment/>
      <protection hidden="1"/>
    </xf>
    <xf numFmtId="187" fontId="38" fillId="33" borderId="11" xfId="0" applyNumberFormat="1" applyFont="1" applyFill="1" applyBorder="1" applyAlignment="1">
      <alignment horizontal="center" vertical="center" wrapText="1"/>
    </xf>
    <xf numFmtId="188" fontId="38" fillId="33" borderId="11" xfId="0" applyNumberFormat="1" applyFont="1" applyFill="1" applyBorder="1" applyAlignment="1">
      <alignment horizontal="center" vertical="center" wrapText="1"/>
    </xf>
    <xf numFmtId="185" fontId="38" fillId="33" borderId="11" xfId="0" applyNumberFormat="1" applyFont="1" applyFill="1" applyBorder="1" applyAlignment="1">
      <alignment/>
    </xf>
    <xf numFmtId="187" fontId="38" fillId="33" borderId="11" xfId="0" applyNumberFormat="1" applyFont="1" applyFill="1" applyBorder="1" applyAlignment="1">
      <alignment/>
    </xf>
    <xf numFmtId="0" fontId="38" fillId="0" borderId="11" xfId="0" applyFont="1" applyBorder="1" applyAlignment="1">
      <alignment/>
    </xf>
    <xf numFmtId="187" fontId="38" fillId="0" borderId="11" xfId="0" applyNumberFormat="1" applyFont="1" applyBorder="1" applyAlignment="1">
      <alignment/>
    </xf>
    <xf numFmtId="185" fontId="38" fillId="33" borderId="11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Border="1" applyAlignment="1">
      <alignment horizontal="center" vertical="center" wrapText="1"/>
    </xf>
    <xf numFmtId="169" fontId="4" fillId="33" borderId="11" xfId="0" applyNumberFormat="1" applyFont="1" applyFill="1" applyBorder="1" applyAlignment="1">
      <alignment horizontal="center" vertical="center" wrapText="1"/>
    </xf>
    <xf numFmtId="0" fontId="10" fillId="33" borderId="11" xfId="64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10" fillId="35" borderId="11" xfId="64" applyFont="1" applyFill="1" applyBorder="1" applyAlignment="1">
      <alignment horizontal="center" vertical="center" wrapText="1"/>
      <protection/>
    </xf>
    <xf numFmtId="0" fontId="10" fillId="33" borderId="14" xfId="64" applyFont="1" applyFill="1" applyBorder="1" applyAlignment="1">
      <alignment horizontal="center" vertical="center" wrapText="1"/>
      <protection/>
    </xf>
    <xf numFmtId="0" fontId="10" fillId="0" borderId="12" xfId="64" applyFont="1" applyFill="1" applyBorder="1" applyAlignment="1">
      <alignment horizontal="center" vertical="center" wrapText="1"/>
      <protection/>
    </xf>
    <xf numFmtId="0" fontId="10" fillId="0" borderId="16" xfId="64" applyFont="1" applyFill="1" applyBorder="1" applyAlignment="1">
      <alignment horizontal="center" vertical="center" wrapText="1"/>
      <protection/>
    </xf>
    <xf numFmtId="0" fontId="10" fillId="0" borderId="11" xfId="64" applyFont="1" applyFill="1" applyBorder="1" applyAlignment="1">
      <alignment horizontal="center" vertical="center" wrapText="1"/>
      <protection/>
    </xf>
    <xf numFmtId="0" fontId="10" fillId="0" borderId="14" xfId="64" applyFont="1" applyFill="1" applyBorder="1" applyAlignment="1">
      <alignment horizontal="center" vertical="center" wrapText="1"/>
      <protection/>
    </xf>
    <xf numFmtId="171" fontId="10" fillId="0" borderId="11" xfId="64" applyNumberFormat="1" applyFont="1" applyFill="1" applyBorder="1" applyAlignment="1">
      <alignment horizontal="center" vertical="center" wrapText="1"/>
      <protection/>
    </xf>
    <xf numFmtId="0" fontId="32" fillId="33" borderId="0" xfId="0" applyFont="1" applyFill="1" applyAlignment="1">
      <alignment horizontal="center"/>
    </xf>
    <xf numFmtId="0" fontId="30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4" fillId="34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0" fillId="33" borderId="11" xfId="0" applyFill="1" applyBorder="1" applyAlignment="1">
      <alignment wrapText="1"/>
    </xf>
    <xf numFmtId="0" fontId="12" fillId="34" borderId="11" xfId="0" applyFont="1" applyFill="1" applyBorder="1" applyAlignment="1">
      <alignment horizontal="left"/>
    </xf>
    <xf numFmtId="0" fontId="12" fillId="34" borderId="14" xfId="0" applyFont="1" applyFill="1" applyBorder="1" applyAlignment="1">
      <alignment horizontal="left"/>
    </xf>
    <xf numFmtId="0" fontId="12" fillId="34" borderId="17" xfId="0" applyFont="1" applyFill="1" applyBorder="1" applyAlignment="1">
      <alignment horizontal="left"/>
    </xf>
    <xf numFmtId="0" fontId="29" fillId="33" borderId="11" xfId="62" applyFont="1" applyFill="1" applyBorder="1" applyAlignment="1" applyProtection="1">
      <alignment horizontal="center" vertical="center" wrapText="1"/>
      <protection hidden="1"/>
    </xf>
    <xf numFmtId="0" fontId="12" fillId="34" borderId="11" xfId="0" applyFont="1" applyFill="1" applyBorder="1" applyAlignment="1">
      <alignment horizontal="left" wrapText="1"/>
    </xf>
    <xf numFmtId="171" fontId="38" fillId="32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0" fillId="0" borderId="11" xfId="0" applyBorder="1" applyAlignment="1">
      <alignment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_002-rev-wod" xfId="39"/>
    <cellStyle name="Normal_Regional Data for IGR" xfId="40"/>
    <cellStyle name="Total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_Лист1" xfId="62"/>
    <cellStyle name="Обычный_Лист2" xfId="63"/>
    <cellStyle name="Обычный_пр3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Q24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10" sqref="B10:B24"/>
    </sheetView>
  </sheetViews>
  <sheetFormatPr defaultColWidth="9.00390625" defaultRowHeight="12.75"/>
  <cols>
    <col min="1" max="1" width="5.00390625" style="3" customWidth="1"/>
    <col min="2" max="2" width="20.375" style="48" customWidth="1"/>
    <col min="3" max="3" width="12.25390625" style="21" customWidth="1"/>
    <col min="4" max="4" width="10.75390625" style="25" customWidth="1"/>
    <col min="5" max="5" width="9.25390625" style="25" customWidth="1"/>
    <col min="6" max="6" width="13.375" style="25" customWidth="1"/>
    <col min="7" max="7" width="13.00390625" style="25" customWidth="1"/>
    <col min="8" max="8" width="13.00390625" style="4" customWidth="1"/>
    <col min="9" max="9" width="9.875" style="4" customWidth="1"/>
    <col min="10" max="10" width="13.875" style="26" customWidth="1"/>
    <col min="11" max="11" width="11.00390625" style="10" customWidth="1"/>
    <col min="12" max="12" width="10.25390625" style="4" customWidth="1"/>
    <col min="13" max="13" width="9.625" style="4" customWidth="1"/>
    <col min="14" max="14" width="13.625" style="25" customWidth="1"/>
    <col min="15" max="15" width="12.00390625" style="4" customWidth="1"/>
    <col min="16" max="16" width="11.25390625" style="25" customWidth="1"/>
    <col min="17" max="17" width="10.375" style="11" customWidth="1"/>
    <col min="18" max="16384" width="9.125" style="5" customWidth="1"/>
  </cols>
  <sheetData>
    <row r="1" spans="6:17" ht="36" customHeight="1">
      <c r="F1" s="134" t="s">
        <v>85</v>
      </c>
      <c r="G1" s="135"/>
      <c r="H1" s="135"/>
      <c r="I1" s="135"/>
      <c r="J1" s="135"/>
      <c r="K1" s="135"/>
      <c r="L1" s="135"/>
      <c r="M1" s="135"/>
      <c r="N1" s="135"/>
      <c r="P1" s="133"/>
      <c r="Q1" s="133"/>
    </row>
    <row r="2" spans="2:17" s="3" customFormat="1" ht="44.25" customHeight="1">
      <c r="B2" s="47"/>
      <c r="C2" s="125" t="s">
        <v>87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 s="3" customFormat="1" ht="12.75" customHeight="1">
      <c r="A3" s="122"/>
      <c r="B3" s="123" t="s">
        <v>35</v>
      </c>
      <c r="C3" s="123" t="s">
        <v>88</v>
      </c>
      <c r="D3" s="128" t="s">
        <v>5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9"/>
    </row>
    <row r="4" spans="1:17" s="3" customFormat="1" ht="12.75" customHeight="1">
      <c r="A4" s="122"/>
      <c r="B4" s="123"/>
      <c r="C4" s="123"/>
      <c r="D4" s="130" t="s">
        <v>4</v>
      </c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1"/>
      <c r="Q4" s="132" t="s">
        <v>33</v>
      </c>
    </row>
    <row r="5" spans="1:17" s="3" customFormat="1" ht="15" customHeight="1">
      <c r="A5" s="122"/>
      <c r="B5" s="123"/>
      <c r="C5" s="123"/>
      <c r="D5" s="124" t="s">
        <v>3</v>
      </c>
      <c r="E5" s="124"/>
      <c r="F5" s="124"/>
      <c r="G5" s="124"/>
      <c r="H5" s="126" t="s">
        <v>36</v>
      </c>
      <c r="I5" s="126"/>
      <c r="J5" s="126"/>
      <c r="K5" s="126"/>
      <c r="L5" s="124" t="s">
        <v>37</v>
      </c>
      <c r="M5" s="124"/>
      <c r="N5" s="124"/>
      <c r="O5" s="124"/>
      <c r="P5" s="127" t="s">
        <v>1</v>
      </c>
      <c r="Q5" s="132"/>
    </row>
    <row r="6" spans="1:17" s="3" customFormat="1" ht="14.25" customHeight="1">
      <c r="A6" s="122"/>
      <c r="B6" s="123"/>
      <c r="C6" s="123"/>
      <c r="D6" s="124"/>
      <c r="E6" s="124"/>
      <c r="F6" s="124"/>
      <c r="G6" s="124"/>
      <c r="H6" s="126"/>
      <c r="I6" s="126"/>
      <c r="J6" s="126"/>
      <c r="K6" s="126"/>
      <c r="L6" s="124"/>
      <c r="M6" s="124"/>
      <c r="N6" s="124"/>
      <c r="O6" s="124"/>
      <c r="P6" s="127"/>
      <c r="Q6" s="132"/>
    </row>
    <row r="7" spans="1:17" ht="87" customHeight="1">
      <c r="A7" s="122"/>
      <c r="B7" s="123"/>
      <c r="C7" s="123"/>
      <c r="D7" s="83" t="s">
        <v>84</v>
      </c>
      <c r="E7" s="22" t="s">
        <v>11</v>
      </c>
      <c r="F7" s="22" t="s">
        <v>9</v>
      </c>
      <c r="G7" s="22" t="s">
        <v>6</v>
      </c>
      <c r="H7" s="39" t="s">
        <v>15</v>
      </c>
      <c r="I7" s="39" t="s">
        <v>7</v>
      </c>
      <c r="J7" s="40" t="s">
        <v>8</v>
      </c>
      <c r="K7" s="40" t="s">
        <v>0</v>
      </c>
      <c r="L7" s="22" t="s">
        <v>16</v>
      </c>
      <c r="M7" s="22" t="s">
        <v>10</v>
      </c>
      <c r="N7" s="22" t="s">
        <v>8</v>
      </c>
      <c r="O7" s="22" t="s">
        <v>0</v>
      </c>
      <c r="P7" s="127"/>
      <c r="Q7" s="132"/>
    </row>
    <row r="8" spans="1:17" s="7" customFormat="1" ht="17.25" customHeight="1">
      <c r="A8" s="6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 t="s">
        <v>2</v>
      </c>
      <c r="H8" s="41">
        <v>7</v>
      </c>
      <c r="I8" s="41">
        <v>8</v>
      </c>
      <c r="J8" s="41">
        <v>9</v>
      </c>
      <c r="K8" s="41">
        <v>9</v>
      </c>
      <c r="L8" s="18">
        <v>10</v>
      </c>
      <c r="M8" s="18">
        <v>11</v>
      </c>
      <c r="N8" s="18">
        <v>13</v>
      </c>
      <c r="O8" s="18">
        <v>12</v>
      </c>
      <c r="P8" s="45">
        <v>13</v>
      </c>
      <c r="Q8" s="46">
        <v>14</v>
      </c>
    </row>
    <row r="9" spans="1:17" s="8" customFormat="1" ht="27.75" customHeight="1">
      <c r="A9" s="9"/>
      <c r="B9" s="29" t="s">
        <v>34</v>
      </c>
      <c r="C9" s="19">
        <f>SUM(C10:C23)</f>
        <v>11388</v>
      </c>
      <c r="D9" s="52">
        <v>324303</v>
      </c>
      <c r="E9" s="53">
        <v>0.07</v>
      </c>
      <c r="F9" s="27">
        <f>SUM(F10:F23)</f>
        <v>1708872</v>
      </c>
      <c r="G9" s="88">
        <f>SUM(G10:G23)</f>
        <v>22701</v>
      </c>
      <c r="H9" s="52">
        <v>947</v>
      </c>
      <c r="I9" s="55">
        <v>1</v>
      </c>
      <c r="J9" s="42">
        <v>947000</v>
      </c>
      <c r="K9" s="42">
        <f>SUM(K10:K23)</f>
        <v>947</v>
      </c>
      <c r="L9" s="52">
        <v>3486</v>
      </c>
      <c r="M9" s="55">
        <v>1</v>
      </c>
      <c r="N9" s="27">
        <v>3486000</v>
      </c>
      <c r="O9" s="89">
        <f>SUM(O10:O23)</f>
        <v>3486</v>
      </c>
      <c r="P9" s="27">
        <f>SUM(P10:P22)</f>
        <v>26787</v>
      </c>
      <c r="Q9" s="27"/>
    </row>
    <row r="10" spans="1:17" s="2" customFormat="1" ht="14.25" customHeight="1">
      <c r="A10" s="1">
        <v>1</v>
      </c>
      <c r="B10" s="16" t="s">
        <v>70</v>
      </c>
      <c r="C10" s="20">
        <v>605</v>
      </c>
      <c r="D10" s="23"/>
      <c r="E10" s="23"/>
      <c r="F10" s="54">
        <f>60335-20500</f>
        <v>39835</v>
      </c>
      <c r="G10" s="24">
        <f>$D$9*$E$9*F10/$F$9-28.7-71.9</f>
        <v>428.6</v>
      </c>
      <c r="H10" s="43"/>
      <c r="I10" s="43"/>
      <c r="J10" s="56">
        <v>15000</v>
      </c>
      <c r="K10" s="44">
        <f>$H$9*$I$9*J10/$J$9</f>
        <v>15</v>
      </c>
      <c r="L10" s="23"/>
      <c r="M10" s="23"/>
      <c r="N10" s="56">
        <v>150000</v>
      </c>
      <c r="O10" s="90">
        <f>$L$9*$M$9*N10/$N$9</f>
        <v>150</v>
      </c>
      <c r="P10" s="57">
        <f>G10+K10+O10</f>
        <v>593.6</v>
      </c>
      <c r="Q10" s="80">
        <f>(P10/C10)/($P$9/$C$9)</f>
        <v>0.417120849604178</v>
      </c>
    </row>
    <row r="11" spans="1:17" s="2" customFormat="1" ht="14.25" customHeight="1">
      <c r="A11" s="1">
        <v>2</v>
      </c>
      <c r="B11" s="16" t="s">
        <v>71</v>
      </c>
      <c r="C11" s="20">
        <v>750</v>
      </c>
      <c r="D11" s="23"/>
      <c r="E11" s="23"/>
      <c r="F11" s="54">
        <f>25783-4500</f>
        <v>21283</v>
      </c>
      <c r="G11" s="24">
        <f>$D$9*$E$9*F11/$F$9-21.1-31.9-8.8</f>
        <v>220.9</v>
      </c>
      <c r="H11" s="43"/>
      <c r="I11" s="43"/>
      <c r="J11" s="56">
        <v>45000</v>
      </c>
      <c r="K11" s="44">
        <f aca="true" t="shared" si="0" ref="K11:K23">$H$9*$I$9*J11/$J$9</f>
        <v>45</v>
      </c>
      <c r="L11" s="23"/>
      <c r="M11" s="23"/>
      <c r="N11" s="56">
        <v>110000</v>
      </c>
      <c r="O11" s="90">
        <f aca="true" t="shared" si="1" ref="O11:O23">$L$9*$M$9*N11/$N$9</f>
        <v>110</v>
      </c>
      <c r="P11" s="57">
        <f aca="true" t="shared" si="2" ref="P11:P23">G11+K11+O11</f>
        <v>375.9</v>
      </c>
      <c r="Q11" s="80">
        <f aca="true" t="shared" si="3" ref="Q11:Q23">(P11/C11)/($P$9/$C$9)</f>
        <v>0.213075954754172</v>
      </c>
    </row>
    <row r="12" spans="1:17" s="2" customFormat="1" ht="14.25" customHeight="1">
      <c r="A12" s="1">
        <v>3</v>
      </c>
      <c r="B12" s="16" t="s">
        <v>72</v>
      </c>
      <c r="C12" s="20">
        <v>828</v>
      </c>
      <c r="D12" s="23"/>
      <c r="E12" s="23"/>
      <c r="F12" s="54">
        <f>48069-9000</f>
        <v>39069</v>
      </c>
      <c r="G12" s="24">
        <f>$D$9*$E$9*F12/$F$9-33.3-70.9</f>
        <v>414.8</v>
      </c>
      <c r="H12" s="43"/>
      <c r="I12" s="43"/>
      <c r="J12" s="56">
        <v>4000</v>
      </c>
      <c r="K12" s="44">
        <f t="shared" si="0"/>
        <v>4</v>
      </c>
      <c r="L12" s="23"/>
      <c r="M12" s="23"/>
      <c r="N12" s="56">
        <v>320000</v>
      </c>
      <c r="O12" s="90">
        <f t="shared" si="1"/>
        <v>320</v>
      </c>
      <c r="P12" s="57">
        <f t="shared" si="2"/>
        <v>738.8</v>
      </c>
      <c r="Q12" s="80">
        <f t="shared" si="3"/>
        <v>0.379332393011319</v>
      </c>
    </row>
    <row r="13" spans="1:17" s="2" customFormat="1" ht="14.25" customHeight="1">
      <c r="A13" s="1">
        <v>4</v>
      </c>
      <c r="B13" s="16" t="s">
        <v>73</v>
      </c>
      <c r="C13" s="20">
        <v>296</v>
      </c>
      <c r="D13" s="23"/>
      <c r="E13" s="23"/>
      <c r="F13" s="54">
        <f>11070+29000</f>
        <v>40070</v>
      </c>
      <c r="G13" s="24">
        <f>$D$9*$E$9*F13/$F$9-35.1+118.8</f>
        <v>616</v>
      </c>
      <c r="H13" s="43"/>
      <c r="I13" s="43"/>
      <c r="J13" s="56">
        <v>0</v>
      </c>
      <c r="K13" s="44">
        <f t="shared" si="0"/>
        <v>0</v>
      </c>
      <c r="L13" s="23"/>
      <c r="M13" s="23"/>
      <c r="N13" s="56">
        <v>105000</v>
      </c>
      <c r="O13" s="90">
        <f t="shared" si="1"/>
        <v>105</v>
      </c>
      <c r="P13" s="57">
        <f t="shared" si="2"/>
        <v>721</v>
      </c>
      <c r="Q13" s="80">
        <f t="shared" si="3"/>
        <v>1.03554013191151</v>
      </c>
    </row>
    <row r="14" spans="1:17" s="2" customFormat="1" ht="14.25" customHeight="1">
      <c r="A14" s="1">
        <v>5</v>
      </c>
      <c r="B14" s="16" t="s">
        <v>74</v>
      </c>
      <c r="C14" s="20">
        <v>3809</v>
      </c>
      <c r="D14" s="23"/>
      <c r="E14" s="23"/>
      <c r="F14" s="54">
        <f>944026-312000</f>
        <v>632026</v>
      </c>
      <c r="G14" s="24">
        <f>$D$9*$E$9*F14/$F$9+549.4+41.6</f>
        <v>8987</v>
      </c>
      <c r="H14" s="43"/>
      <c r="I14" s="43"/>
      <c r="J14" s="56">
        <v>675000</v>
      </c>
      <c r="K14" s="44">
        <f t="shared" si="0"/>
        <v>675</v>
      </c>
      <c r="L14" s="23"/>
      <c r="M14" s="23"/>
      <c r="N14" s="56">
        <v>1270000</v>
      </c>
      <c r="O14" s="90">
        <f>$L$9*$M$9*N14/$N$9</f>
        <v>1270</v>
      </c>
      <c r="P14" s="57">
        <f t="shared" si="2"/>
        <v>10932</v>
      </c>
      <c r="Q14" s="80">
        <f t="shared" si="3"/>
        <v>1.22014664797796</v>
      </c>
    </row>
    <row r="15" spans="1:17" s="2" customFormat="1" ht="14.25" customHeight="1">
      <c r="A15" s="1">
        <v>6</v>
      </c>
      <c r="B15" s="16" t="s">
        <v>75</v>
      </c>
      <c r="C15" s="20">
        <v>594</v>
      </c>
      <c r="D15" s="23"/>
      <c r="E15" s="23"/>
      <c r="F15" s="54">
        <f>196882-110000</f>
        <v>86882</v>
      </c>
      <c r="G15" s="24">
        <f>$D$9*$E$9*F15/$F$9+144.7-898.1</f>
        <v>400.8</v>
      </c>
      <c r="H15" s="43"/>
      <c r="I15" s="43"/>
      <c r="J15" s="56">
        <v>28000</v>
      </c>
      <c r="K15" s="44">
        <f t="shared" si="0"/>
        <v>28</v>
      </c>
      <c r="L15" s="23"/>
      <c r="M15" s="23"/>
      <c r="N15" s="56">
        <v>55000</v>
      </c>
      <c r="O15" s="90">
        <f t="shared" si="1"/>
        <v>55</v>
      </c>
      <c r="P15" s="57">
        <f t="shared" si="2"/>
        <v>483.8</v>
      </c>
      <c r="Q15" s="80">
        <f t="shared" si="3"/>
        <v>0.346260378828416</v>
      </c>
    </row>
    <row r="16" spans="1:17" s="2" customFormat="1" ht="14.25" customHeight="1">
      <c r="A16" s="1">
        <v>7</v>
      </c>
      <c r="B16" s="16" t="s">
        <v>76</v>
      </c>
      <c r="C16" s="20">
        <v>1999</v>
      </c>
      <c r="D16" s="23"/>
      <c r="E16" s="23"/>
      <c r="F16" s="54">
        <f>94925+500000</f>
        <v>594925</v>
      </c>
      <c r="G16" s="24">
        <f>$D$9*$E$9*F16/$F$9-866.7+235.8</f>
        <v>7272.3</v>
      </c>
      <c r="H16" s="43"/>
      <c r="I16" s="43"/>
      <c r="J16" s="56">
        <v>144000</v>
      </c>
      <c r="K16" s="44">
        <f t="shared" si="0"/>
        <v>144</v>
      </c>
      <c r="L16" s="23"/>
      <c r="M16" s="23"/>
      <c r="N16" s="56">
        <v>389000</v>
      </c>
      <c r="O16" s="90">
        <f>$L$9*$M$9*N16/$N$9</f>
        <v>389</v>
      </c>
      <c r="P16" s="57">
        <f t="shared" si="2"/>
        <v>7805.3</v>
      </c>
      <c r="Q16" s="80">
        <f t="shared" si="3"/>
        <v>1.65996979898842</v>
      </c>
    </row>
    <row r="17" spans="1:17" s="2" customFormat="1" ht="14.25" customHeight="1">
      <c r="A17" s="1">
        <v>8</v>
      </c>
      <c r="B17" s="16" t="s">
        <v>77</v>
      </c>
      <c r="C17" s="20">
        <v>380</v>
      </c>
      <c r="D17" s="23"/>
      <c r="E17" s="23"/>
      <c r="F17" s="54">
        <f>15682-3000</f>
        <v>12682</v>
      </c>
      <c r="G17" s="24">
        <f>$D$9*$E$9*F17/$F$9-17.9-18.1</f>
        <v>132.5</v>
      </c>
      <c r="H17" s="43"/>
      <c r="I17" s="43"/>
      <c r="J17" s="56">
        <v>1000</v>
      </c>
      <c r="K17" s="44">
        <f t="shared" si="0"/>
        <v>1</v>
      </c>
      <c r="L17" s="23"/>
      <c r="M17" s="23"/>
      <c r="N17" s="56">
        <v>115000</v>
      </c>
      <c r="O17" s="90">
        <f t="shared" si="1"/>
        <v>115</v>
      </c>
      <c r="P17" s="57">
        <f t="shared" si="2"/>
        <v>248.5</v>
      </c>
      <c r="Q17" s="80">
        <f t="shared" si="3"/>
        <v>0.278013686921975</v>
      </c>
    </row>
    <row r="18" spans="1:17" s="2" customFormat="1" ht="14.25" customHeight="1">
      <c r="A18" s="1">
        <v>9</v>
      </c>
      <c r="B18" s="16" t="s">
        <v>78</v>
      </c>
      <c r="C18" s="20">
        <v>406</v>
      </c>
      <c r="D18" s="23"/>
      <c r="E18" s="23"/>
      <c r="F18" s="54">
        <f>18782-5000</f>
        <v>13782</v>
      </c>
      <c r="G18" s="24">
        <f>$D$9*$E$9*F18/$F$9-17.5-11.6</f>
        <v>154</v>
      </c>
      <c r="H18" s="43"/>
      <c r="I18" s="43"/>
      <c r="J18" s="56">
        <v>12000</v>
      </c>
      <c r="K18" s="44">
        <f t="shared" si="0"/>
        <v>12</v>
      </c>
      <c r="L18" s="23"/>
      <c r="M18" s="23"/>
      <c r="N18" s="56">
        <v>95000</v>
      </c>
      <c r="O18" s="90">
        <f t="shared" si="1"/>
        <v>95</v>
      </c>
      <c r="P18" s="57">
        <f t="shared" si="2"/>
        <v>261</v>
      </c>
      <c r="Q18" s="80">
        <f t="shared" si="3"/>
        <v>0.273298881653681</v>
      </c>
    </row>
    <row r="19" spans="1:17" s="2" customFormat="1" ht="14.25" customHeight="1">
      <c r="A19" s="1">
        <v>10</v>
      </c>
      <c r="B19" s="16" t="s">
        <v>79</v>
      </c>
      <c r="C19" s="20">
        <v>48</v>
      </c>
      <c r="D19" s="23"/>
      <c r="E19" s="23"/>
      <c r="F19" s="54">
        <v>1220</v>
      </c>
      <c r="G19" s="24">
        <f>$D$9*$E$9*F19/$F$9-2.2-2.5</f>
        <v>11.5</v>
      </c>
      <c r="H19" s="43"/>
      <c r="I19" s="43"/>
      <c r="J19" s="56">
        <v>0</v>
      </c>
      <c r="K19" s="44">
        <f t="shared" si="0"/>
        <v>0</v>
      </c>
      <c r="L19" s="23"/>
      <c r="M19" s="23"/>
      <c r="N19" s="56">
        <v>2000</v>
      </c>
      <c r="O19" s="90">
        <f t="shared" si="1"/>
        <v>2</v>
      </c>
      <c r="P19" s="57">
        <f t="shared" si="2"/>
        <v>13.5</v>
      </c>
      <c r="Q19" s="80">
        <f t="shared" si="3"/>
        <v>0.119568260723485</v>
      </c>
    </row>
    <row r="20" spans="1:17" s="2" customFormat="1" ht="14.25" customHeight="1">
      <c r="A20" s="1">
        <v>11</v>
      </c>
      <c r="B20" s="16" t="s">
        <v>80</v>
      </c>
      <c r="C20" s="20">
        <v>326</v>
      </c>
      <c r="D20" s="23"/>
      <c r="E20" s="23"/>
      <c r="F20" s="54">
        <f>26920-5000</f>
        <v>21920</v>
      </c>
      <c r="G20" s="24">
        <f>$D$9*$E$9*F20/$F$9-38.3-40.9</f>
        <v>212</v>
      </c>
      <c r="H20" s="43"/>
      <c r="I20" s="43"/>
      <c r="J20" s="56">
        <v>10000</v>
      </c>
      <c r="K20" s="44">
        <f t="shared" si="0"/>
        <v>10</v>
      </c>
      <c r="L20" s="23"/>
      <c r="M20" s="23"/>
      <c r="N20" s="56">
        <v>120000</v>
      </c>
      <c r="O20" s="90">
        <f t="shared" si="1"/>
        <v>120</v>
      </c>
      <c r="P20" s="57">
        <f t="shared" si="2"/>
        <v>342</v>
      </c>
      <c r="Q20" s="80">
        <f t="shared" si="3"/>
        <v>0.445996947974718</v>
      </c>
    </row>
    <row r="21" spans="1:17" s="2" customFormat="1" ht="24.75" customHeight="1">
      <c r="A21" s="1">
        <v>12</v>
      </c>
      <c r="B21" s="17" t="s">
        <v>81</v>
      </c>
      <c r="C21" s="20">
        <v>705</v>
      </c>
      <c r="D21" s="23"/>
      <c r="E21" s="23"/>
      <c r="F21" s="54">
        <f>219112-85000</f>
        <v>134112</v>
      </c>
      <c r="G21" s="24">
        <f>$D$9*$E$9*F21/$F$9-98.8+977.8</f>
        <v>2660.6</v>
      </c>
      <c r="H21" s="43"/>
      <c r="I21" s="43"/>
      <c r="J21" s="56">
        <v>5000</v>
      </c>
      <c r="K21" s="44">
        <f t="shared" si="0"/>
        <v>5</v>
      </c>
      <c r="L21" s="23"/>
      <c r="M21" s="23"/>
      <c r="N21" s="56">
        <v>595000</v>
      </c>
      <c r="O21" s="90">
        <f t="shared" si="1"/>
        <v>595</v>
      </c>
      <c r="P21" s="57">
        <f t="shared" si="2"/>
        <v>3260.6</v>
      </c>
      <c r="Q21" s="80">
        <f t="shared" si="3"/>
        <v>1.96621854519777</v>
      </c>
    </row>
    <row r="22" spans="1:17" s="2" customFormat="1" ht="14.25" customHeight="1">
      <c r="A22" s="1">
        <v>13</v>
      </c>
      <c r="B22" s="16" t="s">
        <v>82</v>
      </c>
      <c r="C22" s="20">
        <v>166</v>
      </c>
      <c r="D22" s="23"/>
      <c r="E22" s="23"/>
      <c r="F22" s="54">
        <f>153457-100000</f>
        <v>53457</v>
      </c>
      <c r="G22" s="24">
        <f>$D$9*$E$9*F22/$F$9-151.1+441</f>
        <v>1000</v>
      </c>
      <c r="H22" s="43"/>
      <c r="I22" s="43"/>
      <c r="J22" s="56">
        <v>1000</v>
      </c>
      <c r="K22" s="44">
        <f t="shared" si="0"/>
        <v>1</v>
      </c>
      <c r="L22" s="23"/>
      <c r="M22" s="23"/>
      <c r="N22" s="56">
        <v>10000</v>
      </c>
      <c r="O22" s="90">
        <f t="shared" si="1"/>
        <v>10</v>
      </c>
      <c r="P22" s="57">
        <f t="shared" si="2"/>
        <v>1011</v>
      </c>
      <c r="Q22" s="80">
        <f t="shared" si="3"/>
        <v>2.58920506755435</v>
      </c>
    </row>
    <row r="23" spans="1:17" s="2" customFormat="1" ht="14.25" customHeight="1">
      <c r="A23" s="1">
        <v>14</v>
      </c>
      <c r="B23" s="16" t="s">
        <v>83</v>
      </c>
      <c r="C23" s="20">
        <v>476</v>
      </c>
      <c r="D23" s="23"/>
      <c r="E23" s="23"/>
      <c r="F23" s="54">
        <f>20609-3000</f>
        <v>17609</v>
      </c>
      <c r="G23" s="24">
        <f>$D$9*$E$9*F23/$F$9-21.4-22.5</f>
        <v>190</v>
      </c>
      <c r="H23" s="43"/>
      <c r="I23" s="43"/>
      <c r="J23" s="56">
        <v>7000</v>
      </c>
      <c r="K23" s="44">
        <f t="shared" si="0"/>
        <v>7</v>
      </c>
      <c r="L23" s="23"/>
      <c r="M23" s="23"/>
      <c r="N23" s="56">
        <v>150000</v>
      </c>
      <c r="O23" s="90">
        <f t="shared" si="1"/>
        <v>150</v>
      </c>
      <c r="P23" s="57">
        <f t="shared" si="2"/>
        <v>347</v>
      </c>
      <c r="Q23" s="80">
        <f t="shared" si="3"/>
        <v>0.309917359260873</v>
      </c>
    </row>
    <row r="24" spans="1:2" ht="20.25">
      <c r="A24" s="3" t="s">
        <v>69</v>
      </c>
      <c r="B24" s="79" t="s">
        <v>68</v>
      </c>
    </row>
  </sheetData>
  <sheetProtection/>
  <mergeCells count="13">
    <mergeCell ref="P1:Q1"/>
    <mergeCell ref="B3:B7"/>
    <mergeCell ref="F1:N1"/>
    <mergeCell ref="A3:A7"/>
    <mergeCell ref="C3:C7"/>
    <mergeCell ref="D5:G6"/>
    <mergeCell ref="C2:Q2"/>
    <mergeCell ref="H5:K6"/>
    <mergeCell ref="L5:O6"/>
    <mergeCell ref="P5:P7"/>
    <mergeCell ref="D3:Q3"/>
    <mergeCell ref="D4:P4"/>
    <mergeCell ref="Q4:Q7"/>
  </mergeCells>
  <printOptions horizontalCentered="1"/>
  <pageMargins left="0.1968503937007874" right="0.1968503937007874" top="0.17" bottom="0.4724409448818898" header="0.17" footer="0.1968503937007874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S31"/>
  <sheetViews>
    <sheetView view="pageBreakPreview" zoomScale="60" zoomScalePageLayoutView="0" workbookViewId="0" topLeftCell="A1">
      <pane xSplit="3" ySplit="4" topLeftCell="D2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5" sqref="D25"/>
    </sheetView>
  </sheetViews>
  <sheetFormatPr defaultColWidth="9.00390625" defaultRowHeight="12.75"/>
  <cols>
    <col min="1" max="1" width="4.625" style="31" customWidth="1"/>
    <col min="2" max="2" width="12.125" style="31" customWidth="1"/>
    <col min="3" max="3" width="23.625" style="31" customWidth="1"/>
    <col min="4" max="4" width="35.75390625" style="31" customWidth="1"/>
    <col min="5" max="5" width="13.25390625" style="31" customWidth="1"/>
    <col min="6" max="6" width="19.125" style="31" customWidth="1"/>
    <col min="7" max="7" width="20.00390625" style="31" customWidth="1"/>
    <col min="8" max="8" width="17.00390625" style="31" bestFit="1" customWidth="1"/>
    <col min="9" max="9" width="16.375" style="31" bestFit="1" customWidth="1"/>
    <col min="10" max="10" width="16.625" style="31" customWidth="1"/>
    <col min="11" max="11" width="16.375" style="31" bestFit="1" customWidth="1"/>
    <col min="12" max="12" width="16.875" style="31" customWidth="1"/>
    <col min="13" max="18" width="16.375" style="31" bestFit="1" customWidth="1"/>
    <col min="19" max="19" width="15.625" style="31" customWidth="1"/>
    <col min="20" max="16384" width="9.125" style="31" customWidth="1"/>
  </cols>
  <sheetData>
    <row r="1" spans="17:18" ht="18.75">
      <c r="Q1" s="50"/>
      <c r="R1" s="50"/>
    </row>
    <row r="2" spans="4:18" ht="38.25" customHeight="1">
      <c r="D2" s="32"/>
      <c r="E2" s="141" t="s">
        <v>89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</row>
    <row r="3" spans="6:19" ht="18" customHeight="1">
      <c r="F3" s="59">
        <v>1</v>
      </c>
      <c r="G3" s="59">
        <v>2</v>
      </c>
      <c r="H3" s="59">
        <v>3</v>
      </c>
      <c r="I3" s="59">
        <v>4</v>
      </c>
      <c r="J3" s="59">
        <v>5</v>
      </c>
      <c r="K3" s="59">
        <v>6</v>
      </c>
      <c r="L3" s="59">
        <v>7</v>
      </c>
      <c r="M3" s="59">
        <v>8</v>
      </c>
      <c r="N3" s="59">
        <v>9</v>
      </c>
      <c r="O3" s="59">
        <v>10</v>
      </c>
      <c r="P3" s="59">
        <v>11</v>
      </c>
      <c r="Q3" s="59">
        <v>12</v>
      </c>
      <c r="R3" s="59">
        <v>13</v>
      </c>
      <c r="S3" s="59">
        <v>14</v>
      </c>
    </row>
    <row r="4" spans="1:19" s="12" customFormat="1" ht="56.25" customHeight="1">
      <c r="A4" s="13" t="s">
        <v>12</v>
      </c>
      <c r="B4" s="13" t="s">
        <v>17</v>
      </c>
      <c r="C4" s="13" t="s">
        <v>18</v>
      </c>
      <c r="D4" s="13" t="s">
        <v>19</v>
      </c>
      <c r="E4" s="13" t="s">
        <v>20</v>
      </c>
      <c r="F4" s="60" t="str">
        <f>'РАСЧЕТ ИНП'!B10</f>
        <v>Алтан</v>
      </c>
      <c r="G4" s="60" t="str">
        <f>'РАСЧЕТ ИНП'!B11</f>
        <v>Билютуй</v>
      </c>
      <c r="H4" s="60" t="str">
        <f>'РАСЧЕТ ИНП'!B12</f>
        <v>Верхний-Ульхун</v>
      </c>
      <c r="I4" s="60" t="str">
        <f>'РАСЧЕТ ИНП'!B13</f>
        <v>Гавань</v>
      </c>
      <c r="J4" s="60" t="str">
        <f>'РАСЧЕТ ИНП'!B14</f>
        <v>Кыра</v>
      </c>
      <c r="K4" s="60" t="str">
        <f>'РАСЧЕТ ИНП'!B15</f>
        <v>Любовь</v>
      </c>
      <c r="L4" s="60" t="str">
        <f>'РАСЧЕТ ИНП'!B16</f>
        <v>Мангут</v>
      </c>
      <c r="M4" s="60" t="str">
        <f>'РАСЧЕТ ИНП'!B17</f>
        <v>Михайло-Павловск</v>
      </c>
      <c r="N4" s="60" t="str">
        <f>'РАСЧЕТ ИНП'!B18</f>
        <v>Мордой</v>
      </c>
      <c r="O4" s="60" t="str">
        <f>'РАСЧЕТ ИНП'!B19</f>
        <v>Надежный</v>
      </c>
      <c r="P4" s="60" t="str">
        <f>'РАСЧЕТ ИНП'!B20</f>
        <v>Тарбальджей</v>
      </c>
      <c r="Q4" s="60" t="str">
        <f>'РАСЧЕТ ИНП'!B21</f>
        <v>Хапчеранга</v>
      </c>
      <c r="R4" s="60" t="str">
        <f>'РАСЧЕТ ИНП'!B22</f>
        <v>Шумунда</v>
      </c>
      <c r="S4" s="60" t="str">
        <f>'РАСЧЕТ ИНП'!B23</f>
        <v>Ульхун-Партия</v>
      </c>
    </row>
    <row r="5" spans="1:19" s="12" customFormat="1" ht="33" customHeight="1">
      <c r="A5" s="14"/>
      <c r="B5" s="14"/>
      <c r="C5" s="14"/>
      <c r="D5" s="60" t="s">
        <v>90</v>
      </c>
      <c r="E5" s="84">
        <f>SUM(F5:S5)</f>
        <v>11388</v>
      </c>
      <c r="F5" s="64">
        <f>'РАСЧЕТ ИНП'!C10</f>
        <v>605</v>
      </c>
      <c r="G5" s="64">
        <f>'РАСЧЕТ ИНП'!C11</f>
        <v>750</v>
      </c>
      <c r="H5" s="64">
        <f>'РАСЧЕТ ИНП'!C12</f>
        <v>828</v>
      </c>
      <c r="I5" s="64">
        <f>'РАСЧЕТ ИНП'!C13</f>
        <v>296</v>
      </c>
      <c r="J5" s="86">
        <f>'РАСЧЕТ ИНП'!C14</f>
        <v>3809</v>
      </c>
      <c r="K5" s="64">
        <f>'РАСЧЕТ ИНП'!C15</f>
        <v>594</v>
      </c>
      <c r="L5" s="64">
        <f>'РАСЧЕТ ИНП'!C16</f>
        <v>1999</v>
      </c>
      <c r="M5" s="64">
        <f>'РАСЧЕТ ИНП'!C17</f>
        <v>380</v>
      </c>
      <c r="N5" s="64">
        <f>'РАСЧЕТ ИНП'!C18</f>
        <v>406</v>
      </c>
      <c r="O5" s="64">
        <f>'РАСЧЕТ ИНП'!C19</f>
        <v>48</v>
      </c>
      <c r="P5" s="64">
        <f>'РАСЧЕТ ИНП'!C20</f>
        <v>326</v>
      </c>
      <c r="Q5" s="64">
        <f>'РАСЧЕТ ИНП'!C21</f>
        <v>705</v>
      </c>
      <c r="R5" s="64">
        <f>'РАСЧЕТ ИНП'!C22</f>
        <v>166</v>
      </c>
      <c r="S5" s="64">
        <f>'РАСЧЕТ ИНП'!C23</f>
        <v>476</v>
      </c>
    </row>
    <row r="6" spans="1:19" s="12" customFormat="1" ht="74.25" customHeight="1">
      <c r="A6" s="139" t="s">
        <v>22</v>
      </c>
      <c r="B6" s="142" t="s">
        <v>21</v>
      </c>
      <c r="C6" s="144" t="s">
        <v>40</v>
      </c>
      <c r="D6" s="33" t="s">
        <v>42</v>
      </c>
      <c r="E6" s="13"/>
      <c r="F6" s="34">
        <f>1+F7</f>
        <v>1.25</v>
      </c>
      <c r="G6" s="34">
        <f aca="true" t="shared" si="0" ref="G6:S6">1+G7</f>
        <v>1.25</v>
      </c>
      <c r="H6" s="34">
        <f t="shared" si="0"/>
        <v>1.25</v>
      </c>
      <c r="I6" s="34">
        <f t="shared" si="0"/>
        <v>1.25</v>
      </c>
      <c r="J6" s="34">
        <f t="shared" si="0"/>
        <v>1.25</v>
      </c>
      <c r="K6" s="34">
        <f t="shared" si="0"/>
        <v>1.25</v>
      </c>
      <c r="L6" s="34">
        <f t="shared" si="0"/>
        <v>1.25</v>
      </c>
      <c r="M6" s="34">
        <f t="shared" si="0"/>
        <v>1.25</v>
      </c>
      <c r="N6" s="34">
        <f t="shared" si="0"/>
        <v>1.25</v>
      </c>
      <c r="O6" s="34">
        <f t="shared" si="0"/>
        <v>1.25</v>
      </c>
      <c r="P6" s="34">
        <f t="shared" si="0"/>
        <v>1.25</v>
      </c>
      <c r="Q6" s="34">
        <f t="shared" si="0"/>
        <v>1.25</v>
      </c>
      <c r="R6" s="34">
        <f t="shared" si="0"/>
        <v>1.25</v>
      </c>
      <c r="S6" s="34">
        <f t="shared" si="0"/>
        <v>1.25</v>
      </c>
    </row>
    <row r="7" spans="1:19" s="12" customFormat="1" ht="95.25" customHeight="1">
      <c r="A7" s="140"/>
      <c r="B7" s="143"/>
      <c r="C7" s="145"/>
      <c r="D7" s="61" t="s">
        <v>41</v>
      </c>
      <c r="E7" s="36"/>
      <c r="F7" s="81">
        <v>0.25</v>
      </c>
      <c r="G7" s="81">
        <v>0.25</v>
      </c>
      <c r="H7" s="81">
        <v>0.25</v>
      </c>
      <c r="I7" s="81">
        <v>0.25</v>
      </c>
      <c r="J7" s="81">
        <v>0.25</v>
      </c>
      <c r="K7" s="81">
        <v>0.25</v>
      </c>
      <c r="L7" s="81">
        <v>0.25</v>
      </c>
      <c r="M7" s="81">
        <v>0.25</v>
      </c>
      <c r="N7" s="81">
        <v>0.25</v>
      </c>
      <c r="O7" s="81">
        <v>0.25</v>
      </c>
      <c r="P7" s="81">
        <v>0.25</v>
      </c>
      <c r="Q7" s="81">
        <v>0.25</v>
      </c>
      <c r="R7" s="81">
        <v>0.25</v>
      </c>
      <c r="S7" s="81">
        <v>0.25</v>
      </c>
    </row>
    <row r="8" spans="1:19" ht="60" customHeight="1">
      <c r="A8" s="15"/>
      <c r="B8" s="136" t="s">
        <v>23</v>
      </c>
      <c r="C8" s="137" t="s">
        <v>67</v>
      </c>
      <c r="D8" s="33" t="s">
        <v>23</v>
      </c>
      <c r="E8" s="35"/>
      <c r="F8" s="77">
        <f>(F9*F12*F15*F18)/($E$9*$E$12*$E$15*$E$18)</f>
        <v>0.593</v>
      </c>
      <c r="G8" s="77">
        <f aca="true" t="shared" si="1" ref="G8:S8">(G9*G12*G15*G18)/($E$9*$E$12*$E$15*$E$18)</f>
        <v>0.523</v>
      </c>
      <c r="H8" s="77">
        <f t="shared" si="1"/>
        <v>0.87</v>
      </c>
      <c r="I8" s="77">
        <f t="shared" si="1"/>
        <v>0.973</v>
      </c>
      <c r="J8" s="77">
        <f t="shared" si="1"/>
        <v>0.349</v>
      </c>
      <c r="K8" s="77">
        <f t="shared" si="1"/>
        <v>0.487</v>
      </c>
      <c r="L8" s="77">
        <f t="shared" si="1"/>
        <v>0.78</v>
      </c>
      <c r="M8" s="77">
        <f t="shared" si="1"/>
        <v>1.982</v>
      </c>
      <c r="N8" s="77">
        <f t="shared" si="1"/>
        <v>0.881</v>
      </c>
      <c r="O8" s="77">
        <f t="shared" si="1"/>
        <v>1.649</v>
      </c>
      <c r="P8" s="77">
        <f t="shared" si="1"/>
        <v>1.474</v>
      </c>
      <c r="Q8" s="77">
        <f t="shared" si="1"/>
        <v>0.665</v>
      </c>
      <c r="R8" s="77">
        <f t="shared" si="1"/>
        <v>1.442</v>
      </c>
      <c r="S8" s="77">
        <f t="shared" si="1"/>
        <v>1.732</v>
      </c>
    </row>
    <row r="9" spans="1:19" ht="60" customHeight="1">
      <c r="A9" s="15"/>
      <c r="B9" s="136"/>
      <c r="C9" s="138"/>
      <c r="D9" s="33" t="s">
        <v>43</v>
      </c>
      <c r="E9" s="78">
        <f>(SUM(F9:S9))/14</f>
        <v>1</v>
      </c>
      <c r="F9" s="76">
        <f>(0.6*F10+0.4*F11)/F10</f>
        <v>1</v>
      </c>
      <c r="G9" s="76">
        <f aca="true" t="shared" si="2" ref="G9:S9">(0.6*G10+0.4*G11)/G10</f>
        <v>1</v>
      </c>
      <c r="H9" s="76">
        <f t="shared" si="2"/>
        <v>1</v>
      </c>
      <c r="I9" s="76">
        <f t="shared" si="2"/>
        <v>1</v>
      </c>
      <c r="J9" s="76">
        <f t="shared" si="2"/>
        <v>1</v>
      </c>
      <c r="K9" s="76">
        <f t="shared" si="2"/>
        <v>1</v>
      </c>
      <c r="L9" s="76">
        <f t="shared" si="2"/>
        <v>1</v>
      </c>
      <c r="M9" s="76">
        <f t="shared" si="2"/>
        <v>1</v>
      </c>
      <c r="N9" s="76">
        <f t="shared" si="2"/>
        <v>1</v>
      </c>
      <c r="O9" s="76">
        <f t="shared" si="2"/>
        <v>1</v>
      </c>
      <c r="P9" s="76">
        <f t="shared" si="2"/>
        <v>1</v>
      </c>
      <c r="Q9" s="76">
        <f t="shared" si="2"/>
        <v>1</v>
      </c>
      <c r="R9" s="76">
        <f t="shared" si="2"/>
        <v>1</v>
      </c>
      <c r="S9" s="76">
        <f t="shared" si="2"/>
        <v>1</v>
      </c>
    </row>
    <row r="10" spans="1:19" ht="60" customHeight="1">
      <c r="A10" s="15"/>
      <c r="B10" s="136"/>
      <c r="C10" s="138"/>
      <c r="D10" s="37" t="s">
        <v>44</v>
      </c>
      <c r="E10" s="35"/>
      <c r="F10" s="62">
        <f>F5</f>
        <v>605</v>
      </c>
      <c r="G10" s="62">
        <f aca="true" t="shared" si="3" ref="G10:S10">G5</f>
        <v>750</v>
      </c>
      <c r="H10" s="62">
        <f t="shared" si="3"/>
        <v>828</v>
      </c>
      <c r="I10" s="62">
        <f t="shared" si="3"/>
        <v>296</v>
      </c>
      <c r="J10" s="62">
        <f t="shared" si="3"/>
        <v>3809</v>
      </c>
      <c r="K10" s="62">
        <f t="shared" si="3"/>
        <v>594</v>
      </c>
      <c r="L10" s="62">
        <f t="shared" si="3"/>
        <v>1999</v>
      </c>
      <c r="M10" s="62">
        <f t="shared" si="3"/>
        <v>380</v>
      </c>
      <c r="N10" s="62">
        <f t="shared" si="3"/>
        <v>406</v>
      </c>
      <c r="O10" s="62">
        <f t="shared" si="3"/>
        <v>48</v>
      </c>
      <c r="P10" s="62">
        <f t="shared" si="3"/>
        <v>326</v>
      </c>
      <c r="Q10" s="62">
        <f t="shared" si="3"/>
        <v>705</v>
      </c>
      <c r="R10" s="62">
        <f t="shared" si="3"/>
        <v>166</v>
      </c>
      <c r="S10" s="62">
        <f t="shared" si="3"/>
        <v>476</v>
      </c>
    </row>
    <row r="11" spans="1:19" ht="60" customHeight="1">
      <c r="A11" s="15"/>
      <c r="B11" s="136"/>
      <c r="C11" s="138"/>
      <c r="D11" s="37" t="s">
        <v>45</v>
      </c>
      <c r="E11" s="35"/>
      <c r="F11" s="64">
        <f>F10</f>
        <v>605</v>
      </c>
      <c r="G11" s="64">
        <f aca="true" t="shared" si="4" ref="G11:S11">G10</f>
        <v>750</v>
      </c>
      <c r="H11" s="64">
        <f t="shared" si="4"/>
        <v>828</v>
      </c>
      <c r="I11" s="64">
        <f t="shared" si="4"/>
        <v>296</v>
      </c>
      <c r="J11" s="64">
        <f t="shared" si="4"/>
        <v>3809</v>
      </c>
      <c r="K11" s="64">
        <f t="shared" si="4"/>
        <v>594</v>
      </c>
      <c r="L11" s="64">
        <f t="shared" si="4"/>
        <v>1999</v>
      </c>
      <c r="M11" s="64">
        <f t="shared" si="4"/>
        <v>380</v>
      </c>
      <c r="N11" s="64">
        <f t="shared" si="4"/>
        <v>406</v>
      </c>
      <c r="O11" s="64">
        <f t="shared" si="4"/>
        <v>48</v>
      </c>
      <c r="P11" s="64">
        <f t="shared" si="4"/>
        <v>326</v>
      </c>
      <c r="Q11" s="64">
        <f t="shared" si="4"/>
        <v>705</v>
      </c>
      <c r="R11" s="64">
        <f t="shared" si="4"/>
        <v>166</v>
      </c>
      <c r="S11" s="64">
        <f t="shared" si="4"/>
        <v>476</v>
      </c>
    </row>
    <row r="12" spans="1:19" ht="60" customHeight="1">
      <c r="A12" s="15"/>
      <c r="B12" s="136"/>
      <c r="C12" s="138"/>
      <c r="D12" s="33" t="s">
        <v>46</v>
      </c>
      <c r="E12" s="78">
        <f>(SUM(F12:S12))/14</f>
        <v>1.5</v>
      </c>
      <c r="F12" s="77">
        <f>1+F13</f>
        <v>1</v>
      </c>
      <c r="G12" s="77">
        <f aca="true" t="shared" si="5" ref="G12:S12">1+G13</f>
        <v>1</v>
      </c>
      <c r="H12" s="77">
        <f t="shared" si="5"/>
        <v>1</v>
      </c>
      <c r="I12" s="77">
        <f t="shared" si="5"/>
        <v>2</v>
      </c>
      <c r="J12" s="77">
        <f t="shared" si="5"/>
        <v>1</v>
      </c>
      <c r="K12" s="77">
        <f t="shared" si="5"/>
        <v>1</v>
      </c>
      <c r="L12" s="77">
        <f t="shared" si="5"/>
        <v>1</v>
      </c>
      <c r="M12" s="77">
        <f t="shared" si="5"/>
        <v>2</v>
      </c>
      <c r="N12" s="77">
        <f t="shared" si="5"/>
        <v>2</v>
      </c>
      <c r="O12" s="77">
        <f t="shared" si="5"/>
        <v>2</v>
      </c>
      <c r="P12" s="77">
        <f t="shared" si="5"/>
        <v>2</v>
      </c>
      <c r="Q12" s="77">
        <f t="shared" si="5"/>
        <v>1</v>
      </c>
      <c r="R12" s="77">
        <f t="shared" si="5"/>
        <v>2</v>
      </c>
      <c r="S12" s="77">
        <f t="shared" si="5"/>
        <v>2</v>
      </c>
    </row>
    <row r="13" spans="1:19" ht="123" customHeight="1">
      <c r="A13" s="15"/>
      <c r="B13" s="136"/>
      <c r="C13" s="138"/>
      <c r="D13" s="37" t="s">
        <v>47</v>
      </c>
      <c r="E13" s="35"/>
      <c r="F13" s="63">
        <f>F14/F5</f>
        <v>0</v>
      </c>
      <c r="G13" s="63">
        <f aca="true" t="shared" si="6" ref="G13:S13">G14/G5</f>
        <v>0</v>
      </c>
      <c r="H13" s="63">
        <f t="shared" si="6"/>
        <v>0</v>
      </c>
      <c r="I13" s="63">
        <f t="shared" si="6"/>
        <v>1</v>
      </c>
      <c r="J13" s="63">
        <f t="shared" si="6"/>
        <v>0</v>
      </c>
      <c r="K13" s="63">
        <f t="shared" si="6"/>
        <v>0</v>
      </c>
      <c r="L13" s="63">
        <f t="shared" si="6"/>
        <v>0</v>
      </c>
      <c r="M13" s="63">
        <f t="shared" si="6"/>
        <v>1</v>
      </c>
      <c r="N13" s="63">
        <f t="shared" si="6"/>
        <v>1</v>
      </c>
      <c r="O13" s="63">
        <f t="shared" si="6"/>
        <v>1</v>
      </c>
      <c r="P13" s="63">
        <f t="shared" si="6"/>
        <v>1</v>
      </c>
      <c r="Q13" s="63">
        <f t="shared" si="6"/>
        <v>0</v>
      </c>
      <c r="R13" s="63">
        <f t="shared" si="6"/>
        <v>1</v>
      </c>
      <c r="S13" s="63">
        <f t="shared" si="6"/>
        <v>1</v>
      </c>
    </row>
    <row r="14" spans="1:19" ht="100.5" customHeight="1">
      <c r="A14" s="15"/>
      <c r="B14" s="136"/>
      <c r="C14" s="138"/>
      <c r="D14" s="37" t="s">
        <v>48</v>
      </c>
      <c r="E14" s="35"/>
      <c r="F14" s="64"/>
      <c r="G14" s="64"/>
      <c r="H14" s="64"/>
      <c r="I14" s="64">
        <v>296</v>
      </c>
      <c r="J14" s="64"/>
      <c r="K14" s="64"/>
      <c r="L14" s="64"/>
      <c r="M14" s="64">
        <v>380</v>
      </c>
      <c r="N14" s="64">
        <v>406</v>
      </c>
      <c r="O14" s="64">
        <v>48</v>
      </c>
      <c r="P14" s="64">
        <v>326</v>
      </c>
      <c r="Q14" s="64"/>
      <c r="R14" s="64">
        <v>166</v>
      </c>
      <c r="S14" s="64">
        <v>476</v>
      </c>
    </row>
    <row r="15" spans="1:19" ht="74.25" customHeight="1">
      <c r="A15" s="15"/>
      <c r="B15" s="136"/>
      <c r="C15" s="138"/>
      <c r="D15" s="33" t="s">
        <v>63</v>
      </c>
      <c r="E15" s="78">
        <f>(SUM(F15:S15))/14</f>
        <v>1</v>
      </c>
      <c r="F15" s="77">
        <f>1+F16</f>
        <v>1</v>
      </c>
      <c r="G15" s="77">
        <f aca="true" t="shared" si="7" ref="G15:S15">1+G16</f>
        <v>1</v>
      </c>
      <c r="H15" s="77">
        <f t="shared" si="7"/>
        <v>1</v>
      </c>
      <c r="I15" s="77">
        <f t="shared" si="7"/>
        <v>1</v>
      </c>
      <c r="J15" s="77">
        <f t="shared" si="7"/>
        <v>1</v>
      </c>
      <c r="K15" s="77">
        <f t="shared" si="7"/>
        <v>1</v>
      </c>
      <c r="L15" s="77">
        <f t="shared" si="7"/>
        <v>1</v>
      </c>
      <c r="M15" s="77">
        <f t="shared" si="7"/>
        <v>1</v>
      </c>
      <c r="N15" s="77">
        <f t="shared" si="7"/>
        <v>1</v>
      </c>
      <c r="O15" s="77">
        <f t="shared" si="7"/>
        <v>1</v>
      </c>
      <c r="P15" s="77">
        <f t="shared" si="7"/>
        <v>1</v>
      </c>
      <c r="Q15" s="77">
        <f t="shared" si="7"/>
        <v>1</v>
      </c>
      <c r="R15" s="77">
        <f t="shared" si="7"/>
        <v>1</v>
      </c>
      <c r="S15" s="77">
        <f t="shared" si="7"/>
        <v>1</v>
      </c>
    </row>
    <row r="16" spans="1:19" ht="74.25" customHeight="1">
      <c r="A16" s="15"/>
      <c r="B16" s="136"/>
      <c r="C16" s="138"/>
      <c r="D16" s="37" t="s">
        <v>64</v>
      </c>
      <c r="E16" s="35"/>
      <c r="F16" s="63">
        <f>F17/F5</f>
        <v>0</v>
      </c>
      <c r="G16" s="63">
        <f aca="true" t="shared" si="8" ref="G16:S16">G17/G5</f>
        <v>0</v>
      </c>
      <c r="H16" s="63">
        <f t="shared" si="8"/>
        <v>0</v>
      </c>
      <c r="I16" s="63">
        <f t="shared" si="8"/>
        <v>0</v>
      </c>
      <c r="J16" s="63">
        <f t="shared" si="8"/>
        <v>0</v>
      </c>
      <c r="K16" s="63">
        <f t="shared" si="8"/>
        <v>0</v>
      </c>
      <c r="L16" s="63">
        <f t="shared" si="8"/>
        <v>0</v>
      </c>
      <c r="M16" s="63">
        <f t="shared" si="8"/>
        <v>0</v>
      </c>
      <c r="N16" s="63">
        <f t="shared" si="8"/>
        <v>0</v>
      </c>
      <c r="O16" s="63">
        <f t="shared" si="8"/>
        <v>0</v>
      </c>
      <c r="P16" s="63">
        <f t="shared" si="8"/>
        <v>0</v>
      </c>
      <c r="Q16" s="63">
        <f t="shared" si="8"/>
        <v>0</v>
      </c>
      <c r="R16" s="63">
        <f t="shared" si="8"/>
        <v>0</v>
      </c>
      <c r="S16" s="63">
        <f t="shared" si="8"/>
        <v>0</v>
      </c>
    </row>
    <row r="17" spans="1:19" ht="74.25" customHeight="1">
      <c r="A17" s="15"/>
      <c r="B17" s="136"/>
      <c r="C17" s="138"/>
      <c r="D17" s="37" t="s">
        <v>65</v>
      </c>
      <c r="E17" s="35"/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</row>
    <row r="18" spans="1:19" ht="100.5" customHeight="1">
      <c r="A18" s="15"/>
      <c r="B18" s="136"/>
      <c r="C18" s="138"/>
      <c r="D18" s="65" t="s">
        <v>50</v>
      </c>
      <c r="E18" s="78">
        <f>(SUM(F18:S18))/14</f>
        <v>2.00114285714286</v>
      </c>
      <c r="F18" s="77">
        <f>1+F19/$E$20+F21/$E$22</f>
        <v>1.78</v>
      </c>
      <c r="G18" s="77">
        <f aca="true" t="shared" si="9" ref="G18:S18">1+G19/$E$20+G21/$E$22</f>
        <v>1.569</v>
      </c>
      <c r="H18" s="77">
        <f t="shared" si="9"/>
        <v>2.612</v>
      </c>
      <c r="I18" s="77">
        <f t="shared" si="9"/>
        <v>1.461</v>
      </c>
      <c r="J18" s="77">
        <f t="shared" si="9"/>
        <v>1.048</v>
      </c>
      <c r="K18" s="77">
        <f t="shared" si="9"/>
        <v>1.461</v>
      </c>
      <c r="L18" s="77">
        <f t="shared" si="9"/>
        <v>2.341</v>
      </c>
      <c r="M18" s="77">
        <f t="shared" si="9"/>
        <v>2.975</v>
      </c>
      <c r="N18" s="77">
        <f t="shared" si="9"/>
        <v>1.323</v>
      </c>
      <c r="O18" s="77">
        <f t="shared" si="9"/>
        <v>2.475</v>
      </c>
      <c r="P18" s="77">
        <f t="shared" si="9"/>
        <v>2.212</v>
      </c>
      <c r="Q18" s="77">
        <f t="shared" si="9"/>
        <v>1.996</v>
      </c>
      <c r="R18" s="77">
        <f t="shared" si="9"/>
        <v>2.164</v>
      </c>
      <c r="S18" s="77">
        <f t="shared" si="9"/>
        <v>2.599</v>
      </c>
    </row>
    <row r="19" spans="1:19" ht="100.5" customHeight="1">
      <c r="A19" s="15"/>
      <c r="B19" s="136"/>
      <c r="C19" s="138"/>
      <c r="D19" s="37" t="s">
        <v>49</v>
      </c>
      <c r="E19" s="35"/>
      <c r="F19" s="64">
        <v>42.5</v>
      </c>
      <c r="G19" s="64">
        <v>27.5</v>
      </c>
      <c r="H19" s="64">
        <v>88</v>
      </c>
      <c r="I19" s="64">
        <v>24</v>
      </c>
      <c r="J19" s="64">
        <v>0</v>
      </c>
      <c r="K19" s="64">
        <v>24</v>
      </c>
      <c r="L19" s="64">
        <v>75</v>
      </c>
      <c r="M19" s="64">
        <v>109</v>
      </c>
      <c r="N19" s="64">
        <v>16</v>
      </c>
      <c r="O19" s="64">
        <v>80</v>
      </c>
      <c r="P19" s="64">
        <v>62</v>
      </c>
      <c r="Q19" s="64">
        <v>55</v>
      </c>
      <c r="R19" s="64">
        <v>62</v>
      </c>
      <c r="S19" s="64">
        <v>90</v>
      </c>
    </row>
    <row r="20" spans="1:19" ht="100.5" customHeight="1">
      <c r="A20" s="15"/>
      <c r="B20" s="136"/>
      <c r="C20" s="138"/>
      <c r="D20" s="37" t="s">
        <v>51</v>
      </c>
      <c r="E20" s="58">
        <v>58</v>
      </c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</row>
    <row r="21" spans="1:19" ht="50.25" customHeight="1">
      <c r="A21" s="15"/>
      <c r="B21" s="136"/>
      <c r="C21" s="138"/>
      <c r="D21" s="37" t="s">
        <v>66</v>
      </c>
      <c r="E21" s="35"/>
      <c r="F21" s="64">
        <v>1</v>
      </c>
      <c r="G21" s="64">
        <v>2</v>
      </c>
      <c r="H21" s="64">
        <v>2</v>
      </c>
      <c r="I21" s="64">
        <v>1</v>
      </c>
      <c r="J21" s="64">
        <v>1</v>
      </c>
      <c r="K21" s="64">
        <v>1</v>
      </c>
      <c r="L21" s="64">
        <v>1</v>
      </c>
      <c r="M21" s="64">
        <v>2</v>
      </c>
      <c r="N21" s="64">
        <v>1</v>
      </c>
      <c r="O21" s="64">
        <v>2</v>
      </c>
      <c r="P21" s="64">
        <v>3</v>
      </c>
      <c r="Q21" s="64">
        <v>1</v>
      </c>
      <c r="R21" s="64">
        <v>2</v>
      </c>
      <c r="S21" s="64">
        <v>1</v>
      </c>
    </row>
    <row r="22" spans="1:19" ht="84.75" customHeight="1">
      <c r="A22" s="15"/>
      <c r="B22" s="136"/>
      <c r="C22" s="138"/>
      <c r="D22" s="37" t="s">
        <v>52</v>
      </c>
      <c r="E22" s="58">
        <v>21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</row>
    <row r="24" spans="4:5" ht="38.25">
      <c r="D24" s="49" t="s">
        <v>38</v>
      </c>
      <c r="E24" s="58">
        <v>0.694</v>
      </c>
    </row>
    <row r="25" spans="4:5" ht="38.25">
      <c r="D25" s="49" t="s">
        <v>39</v>
      </c>
      <c r="E25" s="58">
        <v>0.402</v>
      </c>
    </row>
    <row r="26" spans="5:19" ht="12.75">
      <c r="E26" s="75" t="s">
        <v>24</v>
      </c>
      <c r="F26" s="74">
        <f>F6*$E$24+F8*$E$25</f>
        <v>1.106</v>
      </c>
      <c r="G26" s="74">
        <f aca="true" t="shared" si="10" ref="G26:S26">G6*$E$24+G8*$E$25</f>
        <v>1.078</v>
      </c>
      <c r="H26" s="74">
        <f t="shared" si="10"/>
        <v>1.217</v>
      </c>
      <c r="I26" s="74">
        <f t="shared" si="10"/>
        <v>1.259</v>
      </c>
      <c r="J26" s="74">
        <f t="shared" si="10"/>
        <v>1.008</v>
      </c>
      <c r="K26" s="74">
        <f t="shared" si="10"/>
        <v>1.063</v>
      </c>
      <c r="L26" s="74">
        <f t="shared" si="10"/>
        <v>1.181</v>
      </c>
      <c r="M26" s="74">
        <f t="shared" si="10"/>
        <v>1.664</v>
      </c>
      <c r="N26" s="74">
        <f t="shared" si="10"/>
        <v>1.222</v>
      </c>
      <c r="O26" s="74">
        <f t="shared" si="10"/>
        <v>1.53</v>
      </c>
      <c r="P26" s="74">
        <f t="shared" si="10"/>
        <v>1.46</v>
      </c>
      <c r="Q26" s="74">
        <f t="shared" si="10"/>
        <v>1.135</v>
      </c>
      <c r="R26" s="74">
        <f t="shared" si="10"/>
        <v>1.447</v>
      </c>
      <c r="S26" s="74">
        <f t="shared" si="10"/>
        <v>1.564</v>
      </c>
    </row>
    <row r="27" spans="5:19" ht="12.75">
      <c r="E27" s="75" t="s">
        <v>13</v>
      </c>
      <c r="F27" s="74">
        <f>'РАСЧЕТ ИНП'!Q10</f>
        <v>0.417</v>
      </c>
      <c r="G27" s="74">
        <f>'РАСЧЕТ ИНП'!Q11</f>
        <v>0.213</v>
      </c>
      <c r="H27" s="74">
        <f>'РАСЧЕТ ИНП'!Q12</f>
        <v>0.379</v>
      </c>
      <c r="I27" s="74">
        <f>'РАСЧЕТ ИНП'!Q13</f>
        <v>1.036</v>
      </c>
      <c r="J27" s="74">
        <f>'РАСЧЕТ ИНП'!Q14</f>
        <v>1.22</v>
      </c>
      <c r="K27" s="74">
        <f>'РАСЧЕТ ИНП'!Q15</f>
        <v>0.346</v>
      </c>
      <c r="L27" s="74">
        <f>'РАСЧЕТ ИНП'!Q16</f>
        <v>1.66</v>
      </c>
      <c r="M27" s="74">
        <f>'РАСЧЕТ ИНП'!Q17</f>
        <v>0.278</v>
      </c>
      <c r="N27" s="74">
        <f>'РАСЧЕТ ИНП'!Q18</f>
        <v>0.273</v>
      </c>
      <c r="O27" s="74">
        <f>'РАСЧЕТ ИНП'!Q19</f>
        <v>0.12</v>
      </c>
      <c r="P27" s="74">
        <f>'РАСЧЕТ ИНП'!Q20</f>
        <v>0.446</v>
      </c>
      <c r="Q27" s="74">
        <f>'РАСЧЕТ ИНП'!Q21</f>
        <v>1.966</v>
      </c>
      <c r="R27" s="74">
        <f>'РАСЧЕТ ИНП'!Q22</f>
        <v>2.589</v>
      </c>
      <c r="S27" s="74">
        <f>'РАСЧЕТ ИНП'!Q23</f>
        <v>0.31</v>
      </c>
    </row>
    <row r="28" spans="5:19" ht="12.75">
      <c r="E28" s="75" t="s">
        <v>25</v>
      </c>
      <c r="F28" s="74">
        <f>F27/F26</f>
        <v>0.377</v>
      </c>
      <c r="G28" s="74">
        <f aca="true" t="shared" si="11" ref="G28:R28">G27/G26</f>
        <v>0.198</v>
      </c>
      <c r="H28" s="74">
        <f t="shared" si="11"/>
        <v>0.311</v>
      </c>
      <c r="I28" s="74">
        <f t="shared" si="11"/>
        <v>0.823</v>
      </c>
      <c r="J28" s="74">
        <f t="shared" si="11"/>
        <v>1.21</v>
      </c>
      <c r="K28" s="74">
        <f t="shared" si="11"/>
        <v>0.325</v>
      </c>
      <c r="L28" s="74">
        <f t="shared" si="11"/>
        <v>1.406</v>
      </c>
      <c r="M28" s="74">
        <f t="shared" si="11"/>
        <v>0.167</v>
      </c>
      <c r="N28" s="74">
        <f t="shared" si="11"/>
        <v>0.223</v>
      </c>
      <c r="O28" s="74">
        <f t="shared" si="11"/>
        <v>0.078</v>
      </c>
      <c r="P28" s="74">
        <f t="shared" si="11"/>
        <v>0.305</v>
      </c>
      <c r="Q28" s="74">
        <f t="shared" si="11"/>
        <v>1.732</v>
      </c>
      <c r="R28" s="74">
        <f t="shared" si="11"/>
        <v>1.789</v>
      </c>
      <c r="S28" s="74">
        <f>S27/S26</f>
        <v>0.198</v>
      </c>
    </row>
    <row r="29" spans="6:19" ht="12.75">
      <c r="F29" s="60">
        <v>1</v>
      </c>
      <c r="G29" s="60">
        <v>2</v>
      </c>
      <c r="H29" s="60">
        <v>3</v>
      </c>
      <c r="I29" s="60">
        <v>4</v>
      </c>
      <c r="J29" s="60">
        <v>5</v>
      </c>
      <c r="K29" s="60">
        <v>6</v>
      </c>
      <c r="L29" s="60">
        <v>7</v>
      </c>
      <c r="M29" s="60">
        <v>8</v>
      </c>
      <c r="N29" s="60">
        <v>9</v>
      </c>
      <c r="O29" s="60">
        <v>10</v>
      </c>
      <c r="P29" s="60">
        <v>11</v>
      </c>
      <c r="Q29" s="60">
        <v>12</v>
      </c>
      <c r="R29" s="60">
        <v>13</v>
      </c>
      <c r="S29" s="60">
        <v>14</v>
      </c>
    </row>
    <row r="31" ht="20.25">
      <c r="C31" s="79" t="s">
        <v>68</v>
      </c>
    </row>
  </sheetData>
  <sheetProtection/>
  <mergeCells count="6">
    <mergeCell ref="B8:B22"/>
    <mergeCell ref="C8:C22"/>
    <mergeCell ref="A6:A7"/>
    <mergeCell ref="E2:R2"/>
    <mergeCell ref="B6:B7"/>
    <mergeCell ref="C6:C7"/>
  </mergeCells>
  <printOptions/>
  <pageMargins left="0.1968503937007874" right="0.2362204724409449" top="0.31496062992125984" bottom="0.1968503937007874" header="0.5118110236220472" footer="0.5118110236220472"/>
  <pageSetup fitToWidth="2" horizontalDpi="600" verticalDpi="600" orientation="landscape" paperSize="8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N41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8" sqref="A28:B28"/>
    </sheetView>
  </sheetViews>
  <sheetFormatPr defaultColWidth="9.00390625" defaultRowHeight="12.75"/>
  <cols>
    <col min="2" max="2" width="31.25390625" style="0" customWidth="1"/>
    <col min="3" max="3" width="17.25390625" style="0" customWidth="1"/>
    <col min="4" max="4" width="12.75390625" style="0" customWidth="1"/>
    <col min="5" max="5" width="11.25390625" style="0" customWidth="1"/>
    <col min="6" max="6" width="11.625" style="0" customWidth="1"/>
    <col min="7" max="7" width="11.25390625" style="0" customWidth="1"/>
    <col min="8" max="8" width="15.125" style="0" customWidth="1"/>
    <col min="9" max="9" width="13.625" style="28" customWidth="1"/>
    <col min="10" max="10" width="14.375" style="0" customWidth="1"/>
    <col min="11" max="11" width="15.25390625" style="0" customWidth="1"/>
    <col min="12" max="12" width="10.00390625" style="0" hidden="1" customWidth="1"/>
    <col min="13" max="13" width="10.375" style="0" hidden="1" customWidth="1"/>
    <col min="14" max="14" width="11.125" style="0" hidden="1" customWidth="1"/>
  </cols>
  <sheetData>
    <row r="2" spans="2:11" ht="18">
      <c r="B2" s="146" t="s">
        <v>91</v>
      </c>
      <c r="C2" s="146"/>
      <c r="D2" s="146"/>
      <c r="E2" s="146"/>
      <c r="F2" s="146"/>
      <c r="G2" s="146"/>
      <c r="H2" s="146"/>
      <c r="I2" s="146"/>
      <c r="J2" s="146"/>
      <c r="K2" s="146"/>
    </row>
    <row r="4" spans="1:11" ht="12.75" customHeight="1">
      <c r="A4" s="151" t="s">
        <v>12</v>
      </c>
      <c r="B4" s="151" t="s">
        <v>28</v>
      </c>
      <c r="C4" s="51"/>
      <c r="D4" s="154" t="s">
        <v>26</v>
      </c>
      <c r="E4" s="154"/>
      <c r="F4" s="154"/>
      <c r="G4" s="154"/>
      <c r="H4" s="154"/>
      <c r="I4" s="154"/>
      <c r="J4" s="30" t="s">
        <v>27</v>
      </c>
      <c r="K4" s="151" t="s">
        <v>62</v>
      </c>
    </row>
    <row r="5" spans="1:11" ht="12.75" customHeight="1">
      <c r="A5" s="151"/>
      <c r="B5" s="151"/>
      <c r="C5" s="151" t="s">
        <v>92</v>
      </c>
      <c r="D5" s="151" t="s">
        <v>14</v>
      </c>
      <c r="E5" s="151" t="s">
        <v>29</v>
      </c>
      <c r="F5" s="151" t="s">
        <v>30</v>
      </c>
      <c r="G5" s="151" t="s">
        <v>24</v>
      </c>
      <c r="H5" s="151" t="s">
        <v>31</v>
      </c>
      <c r="I5" s="151" t="s">
        <v>54</v>
      </c>
      <c r="J5" s="151" t="s">
        <v>55</v>
      </c>
      <c r="K5" s="151"/>
    </row>
    <row r="6" spans="1:11" ht="36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</row>
    <row r="7" spans="1:11" ht="27.75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</row>
    <row r="8" spans="1:14" ht="58.5" customHeight="1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87"/>
      <c r="M8" s="87"/>
      <c r="N8" s="91"/>
    </row>
    <row r="9" spans="1:14" ht="48" customHeight="1">
      <c r="A9" s="38">
        <v>1</v>
      </c>
      <c r="B9" s="38">
        <v>2</v>
      </c>
      <c r="C9" s="38">
        <v>2</v>
      </c>
      <c r="D9" s="38">
        <v>3</v>
      </c>
      <c r="E9" s="38">
        <v>5</v>
      </c>
      <c r="F9" s="38">
        <v>6</v>
      </c>
      <c r="G9" s="38">
        <v>7</v>
      </c>
      <c r="H9" s="38">
        <v>8</v>
      </c>
      <c r="I9" s="38">
        <v>9</v>
      </c>
      <c r="J9" s="38">
        <v>10</v>
      </c>
      <c r="K9" s="38">
        <v>11</v>
      </c>
      <c r="L9" s="30"/>
      <c r="M9" s="30"/>
      <c r="N9" s="91"/>
    </row>
    <row r="10" spans="1:14" ht="16.5">
      <c r="A10" s="112">
        <v>1</v>
      </c>
      <c r="B10" s="113" t="str">
        <f>'РАСЧЕТ ИНП'!B10</f>
        <v>Алтан</v>
      </c>
      <c r="C10" s="114">
        <v>686.4</v>
      </c>
      <c r="D10" s="115">
        <f>'РАСЧЕТ ИНП'!C10</f>
        <v>605</v>
      </c>
      <c r="E10" s="153">
        <v>1</v>
      </c>
      <c r="F10" s="116">
        <f>'РАСЧЕТ ИБР'!F28</f>
        <v>0.377</v>
      </c>
      <c r="G10" s="116">
        <f>'РАСЧЕТ ИБР'!F26</f>
        <v>1.106</v>
      </c>
      <c r="H10" s="115">
        <f>($E$10-F10)*G10*D10+900</f>
        <v>1316.9</v>
      </c>
      <c r="I10" s="115">
        <v>3838.5</v>
      </c>
      <c r="J10" s="117">
        <f aca="true" t="shared" si="0" ref="J10:J23">$J$24/$D$24*D10</f>
        <v>88.9</v>
      </c>
      <c r="K10" s="118">
        <f>I10+J10</f>
        <v>3927.4</v>
      </c>
      <c r="L10" s="119"/>
      <c r="M10" s="120"/>
      <c r="N10" s="120"/>
    </row>
    <row r="11" spans="1:14" ht="16.5">
      <c r="A11" s="112">
        <v>2</v>
      </c>
      <c r="B11" s="113" t="str">
        <f>'РАСЧЕТ ИНП'!B11</f>
        <v>Билютуй</v>
      </c>
      <c r="C11" s="114">
        <v>376.9</v>
      </c>
      <c r="D11" s="115">
        <f>'РАСЧЕТ ИНП'!C11</f>
        <v>750</v>
      </c>
      <c r="E11" s="153"/>
      <c r="F11" s="116">
        <f>'РАСЧЕТ ИБР'!G28</f>
        <v>0.198</v>
      </c>
      <c r="G11" s="116">
        <f>'РАСЧЕТ ИБР'!G26</f>
        <v>1.078</v>
      </c>
      <c r="H11" s="115">
        <f>($E$10-F11)*G11*D11+900</f>
        <v>1548.4</v>
      </c>
      <c r="I11" s="115">
        <v>4415.5</v>
      </c>
      <c r="J11" s="117">
        <f t="shared" si="0"/>
        <v>110.2</v>
      </c>
      <c r="K11" s="118">
        <f aca="true" t="shared" si="1" ref="K11:K23">I11+J11</f>
        <v>4525.7</v>
      </c>
      <c r="L11" s="119"/>
      <c r="M11" s="120"/>
      <c r="N11" s="120"/>
    </row>
    <row r="12" spans="1:14" ht="16.5">
      <c r="A12" s="112">
        <v>3</v>
      </c>
      <c r="B12" s="113" t="str">
        <f>'РАСЧЕТ ИНП'!B12</f>
        <v>Верхний-Ульхун</v>
      </c>
      <c r="C12" s="114">
        <v>1551.8</v>
      </c>
      <c r="D12" s="115">
        <f>'РАСЧЕТ ИНП'!C12</f>
        <v>828</v>
      </c>
      <c r="E12" s="153"/>
      <c r="F12" s="116">
        <f>'РАСЧЕТ ИБР'!H28</f>
        <v>0.311</v>
      </c>
      <c r="G12" s="116">
        <f>'РАСЧЕТ ИБР'!H26</f>
        <v>1.217</v>
      </c>
      <c r="H12" s="115">
        <f>($E$10-F12)*G12*D12+900</f>
        <v>1594.3</v>
      </c>
      <c r="I12" s="115">
        <v>4123.4</v>
      </c>
      <c r="J12" s="117">
        <f t="shared" si="0"/>
        <v>121.7</v>
      </c>
      <c r="K12" s="118">
        <f t="shared" si="1"/>
        <v>4245.1</v>
      </c>
      <c r="L12" s="119"/>
      <c r="M12" s="120"/>
      <c r="N12" s="120"/>
    </row>
    <row r="13" spans="1:14" ht="16.5">
      <c r="A13" s="112">
        <v>4</v>
      </c>
      <c r="B13" s="113" t="str">
        <f>'РАСЧЕТ ИНП'!B13</f>
        <v>Гавань</v>
      </c>
      <c r="C13" s="114">
        <v>821</v>
      </c>
      <c r="D13" s="115">
        <f>'РАСЧЕТ ИНП'!C13</f>
        <v>296</v>
      </c>
      <c r="E13" s="153"/>
      <c r="F13" s="116">
        <f>'РАСЧЕТ ИБР'!I28</f>
        <v>0.823</v>
      </c>
      <c r="G13" s="116">
        <f>'РАСЧЕТ ИБР'!I26</f>
        <v>1.259</v>
      </c>
      <c r="H13" s="115">
        <f>($E$10-F13)*G13*D13+900</f>
        <v>966</v>
      </c>
      <c r="I13" s="115">
        <v>2410</v>
      </c>
      <c r="J13" s="117">
        <f t="shared" si="0"/>
        <v>43.5</v>
      </c>
      <c r="K13" s="118">
        <f t="shared" si="1"/>
        <v>2453.5</v>
      </c>
      <c r="L13" s="119"/>
      <c r="M13" s="120"/>
      <c r="N13" s="120"/>
    </row>
    <row r="14" spans="1:14" ht="16.5">
      <c r="A14" s="112">
        <v>5</v>
      </c>
      <c r="B14" s="113" t="str">
        <f>'РАСЧЕТ ИНП'!B14</f>
        <v>Кыра</v>
      </c>
      <c r="C14" s="114">
        <v>10933.2</v>
      </c>
      <c r="D14" s="115">
        <f>'РАСЧЕТ ИНП'!C14</f>
        <v>3809</v>
      </c>
      <c r="E14" s="153"/>
      <c r="F14" s="116">
        <f>'РАСЧЕТ ИБР'!J28</f>
        <v>1.21</v>
      </c>
      <c r="G14" s="116">
        <f>'РАСЧЕТ ИБР'!J26</f>
        <v>1.008</v>
      </c>
      <c r="H14" s="115">
        <f>($E$10-F14)*G14*D14</f>
        <v>-806.3</v>
      </c>
      <c r="I14" s="115">
        <v>369</v>
      </c>
      <c r="J14" s="117">
        <f t="shared" si="0"/>
        <v>559.9</v>
      </c>
      <c r="K14" s="118">
        <f t="shared" si="1"/>
        <v>928.9</v>
      </c>
      <c r="L14" s="119"/>
      <c r="M14" s="120"/>
      <c r="N14" s="120"/>
    </row>
    <row r="15" spans="1:14" ht="16.5">
      <c r="A15" s="112">
        <v>6</v>
      </c>
      <c r="B15" s="113" t="str">
        <f>'РАСЧЕТ ИНП'!B15</f>
        <v>Любовь</v>
      </c>
      <c r="C15" s="114">
        <v>941.8</v>
      </c>
      <c r="D15" s="115">
        <f>'РАСЧЕТ ИНП'!C15</f>
        <v>594</v>
      </c>
      <c r="E15" s="153"/>
      <c r="F15" s="116">
        <f>'РАСЧЕТ ИБР'!K28</f>
        <v>0.325</v>
      </c>
      <c r="G15" s="116">
        <f>'РАСЧЕТ ИБР'!K26</f>
        <v>1.063</v>
      </c>
      <c r="H15" s="115">
        <f>($E$10-F15)*G15*D15</f>
        <v>426.2</v>
      </c>
      <c r="I15" s="115">
        <v>2756.1</v>
      </c>
      <c r="J15" s="117">
        <f t="shared" si="0"/>
        <v>87.3</v>
      </c>
      <c r="K15" s="118">
        <f t="shared" si="1"/>
        <v>2843.4</v>
      </c>
      <c r="L15" s="119"/>
      <c r="M15" s="120"/>
      <c r="N15" s="120"/>
    </row>
    <row r="16" spans="1:14" ht="16.5">
      <c r="A16" s="112">
        <v>7</v>
      </c>
      <c r="B16" s="113" t="str">
        <f>'РАСЧЕТ ИНП'!B16</f>
        <v>Мангут</v>
      </c>
      <c r="C16" s="114">
        <v>8093.3</v>
      </c>
      <c r="D16" s="115">
        <f>'РАСЧЕТ ИНП'!C16</f>
        <v>1999</v>
      </c>
      <c r="E16" s="153"/>
      <c r="F16" s="116">
        <f>'РАСЧЕТ ИБР'!L28</f>
        <v>1.406</v>
      </c>
      <c r="G16" s="116">
        <f>'РАСЧЕТ ИБР'!L26</f>
        <v>1.181</v>
      </c>
      <c r="H16" s="115">
        <f>($E$10-F16)*G16*D16+1000+900</f>
        <v>941.5</v>
      </c>
      <c r="I16" s="115">
        <v>1930</v>
      </c>
      <c r="J16" s="117">
        <f t="shared" si="0"/>
        <v>293.8</v>
      </c>
      <c r="K16" s="118">
        <f t="shared" si="1"/>
        <v>2223.8</v>
      </c>
      <c r="L16" s="119"/>
      <c r="M16" s="120"/>
      <c r="N16" s="120"/>
    </row>
    <row r="17" spans="1:14" ht="16.5">
      <c r="A17" s="112">
        <v>8</v>
      </c>
      <c r="B17" s="113" t="str">
        <f>'РАСЧЕТ ИНП'!B17</f>
        <v>Михайло-Павловск</v>
      </c>
      <c r="C17" s="114">
        <v>256.5</v>
      </c>
      <c r="D17" s="115">
        <f>'РАСЧЕТ ИНП'!C17</f>
        <v>380</v>
      </c>
      <c r="E17" s="153"/>
      <c r="F17" s="116">
        <f>'РАСЧЕТ ИБР'!M28</f>
        <v>0.167</v>
      </c>
      <c r="G17" s="116">
        <f>'РАСЧЕТ ИБР'!M26</f>
        <v>1.664</v>
      </c>
      <c r="H17" s="115">
        <f>($E$10-F17)*G17*D17+900</f>
        <v>1426.7</v>
      </c>
      <c r="I17" s="115">
        <v>3669</v>
      </c>
      <c r="J17" s="117">
        <f t="shared" si="0"/>
        <v>55.9</v>
      </c>
      <c r="K17" s="118">
        <f t="shared" si="1"/>
        <v>3724.9</v>
      </c>
      <c r="L17" s="119"/>
      <c r="M17" s="120"/>
      <c r="N17" s="120"/>
    </row>
    <row r="18" spans="1:14" ht="16.5">
      <c r="A18" s="112">
        <v>9</v>
      </c>
      <c r="B18" s="113" t="str">
        <f>'РАСЧЕТ ИНП'!B18</f>
        <v>Мордой</v>
      </c>
      <c r="C18" s="114">
        <v>303</v>
      </c>
      <c r="D18" s="115">
        <f>'РАСЧЕТ ИНП'!C18</f>
        <v>406</v>
      </c>
      <c r="E18" s="153"/>
      <c r="F18" s="116">
        <f>'РАСЧЕТ ИБР'!N28</f>
        <v>0.223</v>
      </c>
      <c r="G18" s="116">
        <f>'РАСЧЕТ ИБР'!N26</f>
        <v>1.222</v>
      </c>
      <c r="H18" s="115">
        <f>($E$10-F18)*G18*D18+900</f>
        <v>1285.5</v>
      </c>
      <c r="I18" s="115">
        <v>4007.6</v>
      </c>
      <c r="J18" s="117">
        <f t="shared" si="0"/>
        <v>59.7</v>
      </c>
      <c r="K18" s="118">
        <f t="shared" si="1"/>
        <v>4067.3</v>
      </c>
      <c r="L18" s="119"/>
      <c r="M18" s="120"/>
      <c r="N18" s="120"/>
    </row>
    <row r="19" spans="1:14" ht="16.5">
      <c r="A19" s="112">
        <v>10</v>
      </c>
      <c r="B19" s="113" t="str">
        <f>'РАСЧЕТ ИНП'!B19</f>
        <v>Надежный</v>
      </c>
      <c r="C19" s="114">
        <v>13.5</v>
      </c>
      <c r="D19" s="115">
        <f>'РАСЧЕТ ИНП'!C19</f>
        <v>48</v>
      </c>
      <c r="E19" s="153"/>
      <c r="F19" s="116">
        <f>'РАСЧЕТ ИБР'!O28</f>
        <v>0.078</v>
      </c>
      <c r="G19" s="116">
        <f>'РАСЧЕТ ИБР'!O26</f>
        <v>1.53</v>
      </c>
      <c r="H19" s="115">
        <f>($E$10-F19)*G19*D19+900</f>
        <v>967.7</v>
      </c>
      <c r="I19" s="115">
        <v>1030</v>
      </c>
      <c r="J19" s="117">
        <f t="shared" si="0"/>
        <v>7.1</v>
      </c>
      <c r="K19" s="118">
        <f t="shared" si="1"/>
        <v>1037.1</v>
      </c>
      <c r="L19" s="119"/>
      <c r="M19" s="120"/>
      <c r="N19" s="120"/>
    </row>
    <row r="20" spans="1:14" ht="16.5">
      <c r="A20" s="112">
        <v>11</v>
      </c>
      <c r="B20" s="113" t="str">
        <f>'РАСЧЕТ ИНП'!B20</f>
        <v>Тарбальджей</v>
      </c>
      <c r="C20" s="114">
        <v>363</v>
      </c>
      <c r="D20" s="115">
        <f>'РАСЧЕТ ИНП'!C20</f>
        <v>326</v>
      </c>
      <c r="E20" s="153"/>
      <c r="F20" s="116">
        <f>'РАСЧЕТ ИБР'!P28</f>
        <v>0.305</v>
      </c>
      <c r="G20" s="116">
        <f>'РАСЧЕТ ИБР'!P26</f>
        <v>1.46</v>
      </c>
      <c r="H20" s="115">
        <f>($E$10-F20)*G20*D20+900</f>
        <v>1230.8</v>
      </c>
      <c r="I20" s="115">
        <v>4080.6</v>
      </c>
      <c r="J20" s="117">
        <f t="shared" si="0"/>
        <v>47.9</v>
      </c>
      <c r="K20" s="118">
        <f t="shared" si="1"/>
        <v>4128.5</v>
      </c>
      <c r="L20" s="119"/>
      <c r="M20" s="120"/>
      <c r="N20" s="120"/>
    </row>
    <row r="21" spans="1:14" ht="16.5">
      <c r="A21" s="112">
        <v>12</v>
      </c>
      <c r="B21" s="113" t="str">
        <f>'РАСЧЕТ ИНП'!B21</f>
        <v>Хапчеранга</v>
      </c>
      <c r="C21" s="114">
        <v>3291.6</v>
      </c>
      <c r="D21" s="115">
        <f>'РАСЧЕТ ИНП'!C21</f>
        <v>705</v>
      </c>
      <c r="E21" s="153"/>
      <c r="F21" s="116">
        <f>'РАСЧЕТ ИБР'!Q28</f>
        <v>1.732</v>
      </c>
      <c r="G21" s="116">
        <f>'РАСЧЕТ ИБР'!Q26</f>
        <v>1.135</v>
      </c>
      <c r="H21" s="115">
        <f>($E$10-F21)*G21*D21+900</f>
        <v>314.3</v>
      </c>
      <c r="I21" s="115">
        <v>2400</v>
      </c>
      <c r="J21" s="117">
        <f t="shared" si="0"/>
        <v>103.6</v>
      </c>
      <c r="K21" s="118">
        <f t="shared" si="1"/>
        <v>2503.6</v>
      </c>
      <c r="L21" s="119"/>
      <c r="M21" s="120"/>
      <c r="N21" s="120"/>
    </row>
    <row r="22" spans="1:14" ht="16.5">
      <c r="A22" s="112">
        <v>13</v>
      </c>
      <c r="B22" s="113" t="str">
        <f>'РАСЧЕТ ИНП'!B22</f>
        <v>Шумунда</v>
      </c>
      <c r="C22" s="114">
        <v>1011</v>
      </c>
      <c r="D22" s="115">
        <f>'РАСЧЕТ ИНП'!C22</f>
        <v>166</v>
      </c>
      <c r="E22" s="153"/>
      <c r="F22" s="116">
        <f>'РАСЧЕТ ИБР'!R28</f>
        <v>1.789</v>
      </c>
      <c r="G22" s="116">
        <f>'РАСЧЕТ ИБР'!R26</f>
        <v>1.447</v>
      </c>
      <c r="H22" s="115">
        <f>500+900</f>
        <v>1400</v>
      </c>
      <c r="I22" s="115">
        <v>3036</v>
      </c>
      <c r="J22" s="117">
        <f t="shared" si="0"/>
        <v>24.4</v>
      </c>
      <c r="K22" s="118">
        <f t="shared" si="1"/>
        <v>3060.4</v>
      </c>
      <c r="L22" s="119"/>
      <c r="M22" s="120"/>
      <c r="N22" s="120"/>
    </row>
    <row r="23" spans="1:14" ht="16.5">
      <c r="A23" s="112">
        <v>14</v>
      </c>
      <c r="B23" s="113" t="str">
        <f>'РАСЧЕТ ИНП'!B23</f>
        <v>Ульхун-Партия</v>
      </c>
      <c r="C23" s="114">
        <v>347</v>
      </c>
      <c r="D23" s="115">
        <f>'РАСЧЕТ ИНП'!C23</f>
        <v>476</v>
      </c>
      <c r="E23" s="153"/>
      <c r="F23" s="116">
        <f>'РАСЧЕТ ИБР'!S28</f>
        <v>0.198</v>
      </c>
      <c r="G23" s="116">
        <f>'РАСЧЕТ ИБР'!S26</f>
        <v>1.564</v>
      </c>
      <c r="H23" s="115">
        <f>($E$10-F23)*G23*D23+900</f>
        <v>1497.1</v>
      </c>
      <c r="I23" s="115">
        <v>3605.9</v>
      </c>
      <c r="J23" s="117">
        <f t="shared" si="0"/>
        <v>70</v>
      </c>
      <c r="K23" s="118">
        <f t="shared" si="1"/>
        <v>3675.9</v>
      </c>
      <c r="L23" s="119"/>
      <c r="M23" s="120"/>
      <c r="N23" s="120"/>
    </row>
    <row r="24" spans="1:14" ht="27" customHeight="1">
      <c r="A24" s="112"/>
      <c r="B24" s="113" t="s">
        <v>53</v>
      </c>
      <c r="C24" s="113">
        <f>SUM(C10:C23)</f>
        <v>28990</v>
      </c>
      <c r="D24" s="113">
        <f>SUM(D10:D23)</f>
        <v>11388</v>
      </c>
      <c r="E24" s="153"/>
      <c r="F24" s="116"/>
      <c r="G24" s="116"/>
      <c r="H24" s="115">
        <f>SUM(H10:H23)</f>
        <v>14109.1</v>
      </c>
      <c r="I24" s="115">
        <f>SUM(I10:I23)</f>
        <v>41671.6</v>
      </c>
      <c r="J24" s="121">
        <f>C30</f>
        <v>1674</v>
      </c>
      <c r="K24" s="115">
        <f>SUM(K10:K23)</f>
        <v>43345.5</v>
      </c>
      <c r="L24" s="119"/>
      <c r="M24" s="120"/>
      <c r="N24" s="120"/>
    </row>
    <row r="25" spans="1:13" ht="12.75">
      <c r="A25" t="s">
        <v>32</v>
      </c>
      <c r="F25" s="72"/>
      <c r="M25" s="82"/>
    </row>
    <row r="26" spans="1:9" ht="21.75" customHeight="1">
      <c r="A26" s="152" t="s">
        <v>56</v>
      </c>
      <c r="B26" s="152"/>
      <c r="C26" s="19">
        <v>41672</v>
      </c>
      <c r="E26" s="71"/>
      <c r="F26" s="72"/>
      <c r="G26" s="70"/>
      <c r="H26" s="73"/>
      <c r="I26" s="93"/>
    </row>
    <row r="27" spans="1:10" ht="42.75" customHeight="1">
      <c r="A27" s="147" t="s">
        <v>57</v>
      </c>
      <c r="B27" s="147"/>
      <c r="C27" s="67">
        <f>110750+286179</f>
        <v>396929</v>
      </c>
      <c r="E27" s="94"/>
      <c r="F27" s="72"/>
      <c r="G27" s="99"/>
      <c r="H27" s="73"/>
      <c r="I27" s="95"/>
      <c r="J27" s="92"/>
    </row>
    <row r="28" spans="1:11" ht="55.5" customHeight="1">
      <c r="A28" s="147" t="s">
        <v>58</v>
      </c>
      <c r="B28" s="147"/>
      <c r="C28" s="85">
        <v>0.175</v>
      </c>
      <c r="E28" s="94"/>
      <c r="F28" s="72"/>
      <c r="G28" s="70"/>
      <c r="H28" s="73"/>
      <c r="I28" s="95"/>
      <c r="J28" s="92"/>
      <c r="K28" t="s">
        <v>86</v>
      </c>
    </row>
    <row r="29" spans="1:10" ht="59.25" customHeight="1">
      <c r="A29" s="147" t="s">
        <v>59</v>
      </c>
      <c r="B29" s="147"/>
      <c r="C29" s="66">
        <f>C24</f>
        <v>28990</v>
      </c>
      <c r="E29" s="94"/>
      <c r="F29" s="94"/>
      <c r="G29" s="94"/>
      <c r="H29" s="96"/>
      <c r="I29" s="95"/>
      <c r="J29" s="92"/>
    </row>
    <row r="30" spans="1:10" ht="12.75">
      <c r="A30" s="148" t="s">
        <v>60</v>
      </c>
      <c r="B30" s="148"/>
      <c r="C30" s="68">
        <v>1674</v>
      </c>
      <c r="E30" s="94"/>
      <c r="F30" s="94"/>
      <c r="G30" s="94"/>
      <c r="H30" s="94"/>
      <c r="I30" s="95"/>
      <c r="J30" s="92"/>
    </row>
    <row r="31" spans="1:10" ht="12.75">
      <c r="A31" s="149" t="s">
        <v>61</v>
      </c>
      <c r="B31" s="150"/>
      <c r="C31" s="69">
        <f>C30+C26</f>
        <v>43346</v>
      </c>
      <c r="E31" s="94"/>
      <c r="F31" s="94"/>
      <c r="G31" s="94"/>
      <c r="H31" s="94"/>
      <c r="I31" s="95"/>
      <c r="J31" s="92"/>
    </row>
    <row r="32" spans="5:10" ht="12.75">
      <c r="E32" s="94"/>
      <c r="F32" s="94"/>
      <c r="G32" s="94"/>
      <c r="H32" s="94"/>
      <c r="I32" s="95"/>
      <c r="J32" s="92"/>
    </row>
    <row r="33" spans="2:10" ht="20.25">
      <c r="B33" s="79" t="s">
        <v>68</v>
      </c>
      <c r="E33" s="94"/>
      <c r="F33" s="94"/>
      <c r="G33" s="94"/>
      <c r="H33" s="94"/>
      <c r="I33" s="95"/>
      <c r="J33" s="92"/>
    </row>
    <row r="34" spans="5:10" ht="12.75">
      <c r="E34" s="94"/>
      <c r="F34" s="94"/>
      <c r="G34" s="94"/>
      <c r="H34" s="94"/>
      <c r="I34" s="95"/>
      <c r="J34" s="92"/>
    </row>
    <row r="35" spans="5:10" ht="12.75">
      <c r="E35" s="94"/>
      <c r="F35" s="94"/>
      <c r="G35" s="94"/>
      <c r="H35" s="94"/>
      <c r="I35" s="95"/>
      <c r="J35" s="92"/>
    </row>
    <row r="36" spans="5:10" ht="12.75">
      <c r="E36" s="94"/>
      <c r="F36" s="94"/>
      <c r="G36" s="94"/>
      <c r="H36" s="94"/>
      <c r="I36" s="95"/>
      <c r="J36" s="92"/>
    </row>
    <row r="37" spans="5:10" ht="12.75">
      <c r="E37" s="94"/>
      <c r="F37" s="94"/>
      <c r="G37" s="94"/>
      <c r="H37" s="94"/>
      <c r="I37" s="95"/>
      <c r="J37" s="92"/>
    </row>
    <row r="38" spans="5:10" ht="12.75">
      <c r="E38" s="94"/>
      <c r="F38" s="94"/>
      <c r="G38" s="94"/>
      <c r="H38" s="94"/>
      <c r="I38" s="95"/>
      <c r="J38" s="92"/>
    </row>
    <row r="39" spans="5:10" ht="12.75">
      <c r="E39" s="94"/>
      <c r="F39" s="94"/>
      <c r="G39" s="94"/>
      <c r="H39" s="94"/>
      <c r="I39" s="95"/>
      <c r="J39" s="92"/>
    </row>
    <row r="40" spans="5:10" ht="12.75">
      <c r="E40" s="94"/>
      <c r="F40" s="94"/>
      <c r="G40" s="94"/>
      <c r="H40" s="94"/>
      <c r="I40" s="95"/>
      <c r="J40" s="92"/>
    </row>
    <row r="41" spans="5:10" ht="12.75">
      <c r="E41" s="94"/>
      <c r="F41" s="94"/>
      <c r="G41" s="94"/>
      <c r="H41" s="94"/>
      <c r="I41" s="95"/>
      <c r="J41" s="92"/>
    </row>
  </sheetData>
  <sheetProtection/>
  <mergeCells count="20">
    <mergeCell ref="A4:A8"/>
    <mergeCell ref="D4:I4"/>
    <mergeCell ref="C5:C8"/>
    <mergeCell ref="D5:D8"/>
    <mergeCell ref="E5:E8"/>
    <mergeCell ref="F5:F8"/>
    <mergeCell ref="H5:H8"/>
    <mergeCell ref="I5:I8"/>
    <mergeCell ref="G5:G8"/>
    <mergeCell ref="B4:B8"/>
    <mergeCell ref="B2:K2"/>
    <mergeCell ref="A29:B29"/>
    <mergeCell ref="A30:B30"/>
    <mergeCell ref="A31:B31"/>
    <mergeCell ref="K4:K8"/>
    <mergeCell ref="J5:J8"/>
    <mergeCell ref="A26:B26"/>
    <mergeCell ref="A27:B27"/>
    <mergeCell ref="A28:B28"/>
    <mergeCell ref="E10:E24"/>
  </mergeCells>
  <printOptions/>
  <pageMargins left="0.31496062992125984" right="0.1968503937007874" top="0.4724409448818898" bottom="0.35433070866141736" header="0.5118110236220472" footer="0.5118110236220472"/>
  <pageSetup fitToHeight="1" fitToWidth="1" horizontalDpi="600" verticalDpi="600" orientation="landscape" paperSize="9" scale="63" r:id="rId1"/>
  <colBreaks count="1" manualBreakCount="1">
    <brk id="11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18.375" style="0" customWidth="1"/>
    <col min="2" max="2" width="12.875" style="0" customWidth="1"/>
    <col min="3" max="3" width="14.25390625" style="0" customWidth="1"/>
    <col min="4" max="4" width="13.25390625" style="0" customWidth="1"/>
    <col min="6" max="6" width="15.125" style="0" customWidth="1"/>
    <col min="7" max="7" width="14.875" style="0" customWidth="1"/>
    <col min="8" max="8" width="20.375" style="0" customWidth="1"/>
    <col min="9" max="10" width="9.125" style="0" customWidth="1"/>
  </cols>
  <sheetData>
    <row r="1" spans="1:2" ht="12.75">
      <c r="A1" t="s">
        <v>98</v>
      </c>
      <c r="B1" t="s">
        <v>99</v>
      </c>
    </row>
    <row r="3" spans="1:8" ht="12.75">
      <c r="A3" s="30"/>
      <c r="B3" s="155" t="s">
        <v>93</v>
      </c>
      <c r="C3" s="155" t="s">
        <v>94</v>
      </c>
      <c r="D3" s="155" t="s">
        <v>95</v>
      </c>
      <c r="E3" s="30"/>
      <c r="F3" s="30"/>
      <c r="G3" s="30"/>
      <c r="H3" s="30"/>
    </row>
    <row r="4" spans="1:8" ht="81.75" customHeight="1">
      <c r="A4" s="30"/>
      <c r="B4" s="155"/>
      <c r="C4" s="155"/>
      <c r="D4" s="155"/>
      <c r="E4" s="30"/>
      <c r="F4" s="100" t="s">
        <v>96</v>
      </c>
      <c r="G4" s="100" t="s">
        <v>97</v>
      </c>
      <c r="H4" s="101" t="s">
        <v>102</v>
      </c>
    </row>
    <row r="5" spans="1:8" ht="16.5" customHeight="1">
      <c r="A5" s="104">
        <v>1</v>
      </c>
      <c r="B5" s="105">
        <v>2</v>
      </c>
      <c r="C5" s="105">
        <v>3</v>
      </c>
      <c r="D5" s="105">
        <v>4</v>
      </c>
      <c r="E5" s="104"/>
      <c r="F5" s="106" t="s">
        <v>100</v>
      </c>
      <c r="G5" s="106" t="s">
        <v>101</v>
      </c>
      <c r="H5" s="107"/>
    </row>
    <row r="6" spans="1:8" ht="15">
      <c r="A6" s="16" t="s">
        <v>70</v>
      </c>
      <c r="B6" s="97">
        <v>4269.5</v>
      </c>
      <c r="C6" s="30">
        <v>4037.5</v>
      </c>
      <c r="D6" s="30">
        <f>B6-C6</f>
        <v>232</v>
      </c>
      <c r="E6" s="30"/>
      <c r="F6" s="108">
        <f>C6/12*11</f>
        <v>3701</v>
      </c>
      <c r="G6" s="102">
        <f>B6/12*11</f>
        <v>3913.7</v>
      </c>
      <c r="H6" s="102">
        <f>B6-F6</f>
        <v>568.5</v>
      </c>
    </row>
    <row r="7" spans="1:8" ht="15">
      <c r="A7" s="16" t="s">
        <v>71</v>
      </c>
      <c r="B7" s="97">
        <v>4513.8</v>
      </c>
      <c r="C7" s="30">
        <v>4935</v>
      </c>
      <c r="D7" s="30">
        <f aca="true" t="shared" si="0" ref="D7:D19">B7-C7</f>
        <v>-421.2</v>
      </c>
      <c r="E7" s="30"/>
      <c r="F7" s="100">
        <f aca="true" t="shared" si="1" ref="F7:F19">C7/12*11</f>
        <v>4523.8</v>
      </c>
      <c r="G7" s="109">
        <f aca="true" t="shared" si="2" ref="G7:G19">B7/12*11</f>
        <v>4137.7</v>
      </c>
      <c r="H7" s="102">
        <f>B7-G7</f>
        <v>376.1</v>
      </c>
    </row>
    <row r="8" spans="1:8" ht="15">
      <c r="A8" s="16" t="s">
        <v>72</v>
      </c>
      <c r="B8" s="97">
        <v>5710.4</v>
      </c>
      <c r="C8" s="30">
        <v>5563.4</v>
      </c>
      <c r="D8" s="30">
        <f t="shared" si="0"/>
        <v>147</v>
      </c>
      <c r="E8" s="30"/>
      <c r="F8" s="108">
        <f>C8/12*11-600</f>
        <v>4499.8</v>
      </c>
      <c r="G8" s="102">
        <f t="shared" si="2"/>
        <v>5234.5</v>
      </c>
      <c r="H8" s="102">
        <f>B8-F8</f>
        <v>1210.6</v>
      </c>
    </row>
    <row r="9" spans="1:8" ht="15">
      <c r="A9" s="16" t="s">
        <v>73</v>
      </c>
      <c r="B9" s="97">
        <v>3073.8</v>
      </c>
      <c r="C9" s="30">
        <v>3055.5</v>
      </c>
      <c r="D9" s="30">
        <f t="shared" si="0"/>
        <v>18.3000000000002</v>
      </c>
      <c r="E9" s="30"/>
      <c r="F9" s="100">
        <f t="shared" si="1"/>
        <v>2800.9</v>
      </c>
      <c r="G9" s="109">
        <f t="shared" si="2"/>
        <v>2817.7</v>
      </c>
      <c r="H9" s="102">
        <f>B9-G9</f>
        <v>256.1</v>
      </c>
    </row>
    <row r="10" spans="1:8" ht="15">
      <c r="A10" s="16" t="s">
        <v>74</v>
      </c>
      <c r="B10" s="97">
        <v>4178.8</v>
      </c>
      <c r="C10" s="30">
        <v>4110</v>
      </c>
      <c r="D10" s="30">
        <f t="shared" si="0"/>
        <v>68.8000000000002</v>
      </c>
      <c r="E10" s="30"/>
      <c r="F10" s="108">
        <v>4110</v>
      </c>
      <c r="G10" s="102"/>
      <c r="H10" s="102">
        <f>B10-F10</f>
        <v>68.8</v>
      </c>
    </row>
    <row r="11" spans="1:8" ht="15">
      <c r="A11" s="16" t="s">
        <v>75</v>
      </c>
      <c r="B11" s="97">
        <v>2305</v>
      </c>
      <c r="C11" s="30">
        <v>2407.2</v>
      </c>
      <c r="D11" s="30">
        <f t="shared" si="0"/>
        <v>-102.2</v>
      </c>
      <c r="E11" s="30"/>
      <c r="F11" s="100">
        <f t="shared" si="1"/>
        <v>2206.6</v>
      </c>
      <c r="G11" s="109">
        <f>B11/12*11-600</f>
        <v>1512.9</v>
      </c>
      <c r="H11" s="102">
        <f>B11-G11</f>
        <v>792.1</v>
      </c>
    </row>
    <row r="12" spans="1:8" ht="15">
      <c r="A12" s="16" t="s">
        <v>76</v>
      </c>
      <c r="B12" s="97">
        <v>5967</v>
      </c>
      <c r="C12" s="30">
        <v>6368.4</v>
      </c>
      <c r="D12" s="30">
        <f t="shared" si="0"/>
        <v>-401.4</v>
      </c>
      <c r="E12" s="30"/>
      <c r="F12" s="100"/>
      <c r="G12" s="109">
        <v>5967</v>
      </c>
      <c r="H12" s="102">
        <f>B12-G12</f>
        <v>0</v>
      </c>
    </row>
    <row r="13" spans="1:8" ht="15">
      <c r="A13" s="16" t="s">
        <v>77</v>
      </c>
      <c r="B13" s="97">
        <v>3941.8</v>
      </c>
      <c r="C13" s="30">
        <v>3390.6</v>
      </c>
      <c r="D13" s="30">
        <f t="shared" si="0"/>
        <v>551.2</v>
      </c>
      <c r="E13" s="30"/>
      <c r="F13" s="108">
        <f>C13/12*11+159.4</f>
        <v>3267.5</v>
      </c>
      <c r="G13" s="102">
        <f t="shared" si="2"/>
        <v>3613.3</v>
      </c>
      <c r="H13" s="102">
        <f>B13-F13</f>
        <v>674.3</v>
      </c>
    </row>
    <row r="14" spans="1:8" ht="15">
      <c r="A14" s="16" t="s">
        <v>78</v>
      </c>
      <c r="B14" s="97">
        <v>3966.8</v>
      </c>
      <c r="C14" s="30">
        <v>3771.2</v>
      </c>
      <c r="D14" s="30">
        <f t="shared" si="0"/>
        <v>195.6</v>
      </c>
      <c r="E14" s="30"/>
      <c r="F14" s="108">
        <f t="shared" si="1"/>
        <v>3456.9</v>
      </c>
      <c r="G14" s="102">
        <f t="shared" si="2"/>
        <v>3636.2</v>
      </c>
      <c r="H14" s="102">
        <f>B14-F14</f>
        <v>509.9</v>
      </c>
    </row>
    <row r="15" spans="1:8" ht="15">
      <c r="A15" s="16" t="s">
        <v>79</v>
      </c>
      <c r="B15" s="97">
        <v>1123.8</v>
      </c>
      <c r="C15" s="30">
        <v>1328.9</v>
      </c>
      <c r="D15" s="30">
        <f t="shared" si="0"/>
        <v>-205.1</v>
      </c>
      <c r="E15" s="30"/>
      <c r="F15" s="100">
        <f t="shared" si="1"/>
        <v>1218.2</v>
      </c>
      <c r="G15" s="109">
        <f t="shared" si="2"/>
        <v>1030.2</v>
      </c>
      <c r="H15" s="102">
        <f>B15-G15</f>
        <v>93.6</v>
      </c>
    </row>
    <row r="16" spans="1:8" ht="15">
      <c r="A16" s="16" t="s">
        <v>80</v>
      </c>
      <c r="B16" s="97">
        <v>4232.7</v>
      </c>
      <c r="C16" s="30">
        <v>4186.8</v>
      </c>
      <c r="D16" s="30">
        <f t="shared" si="0"/>
        <v>45.8999999999996</v>
      </c>
      <c r="E16" s="30"/>
      <c r="F16" s="108">
        <f t="shared" si="1"/>
        <v>3837.9</v>
      </c>
      <c r="G16" s="102">
        <f t="shared" si="2"/>
        <v>3880</v>
      </c>
      <c r="H16" s="102">
        <f>B16-F16</f>
        <v>394.8</v>
      </c>
    </row>
    <row r="17" spans="1:8" ht="15">
      <c r="A17" s="17" t="s">
        <v>81</v>
      </c>
      <c r="B17" s="97">
        <v>4613.2</v>
      </c>
      <c r="C17" s="30">
        <v>4884.2</v>
      </c>
      <c r="D17" s="30">
        <f t="shared" si="0"/>
        <v>-271</v>
      </c>
      <c r="E17" s="30"/>
      <c r="F17" s="108">
        <f t="shared" si="1"/>
        <v>4477.2</v>
      </c>
      <c r="G17" s="102">
        <f t="shared" si="2"/>
        <v>4228.8</v>
      </c>
      <c r="H17" s="102">
        <f>B17-F17</f>
        <v>136</v>
      </c>
    </row>
    <row r="18" spans="1:8" ht="15">
      <c r="A18" s="16" t="s">
        <v>82</v>
      </c>
      <c r="B18" s="97">
        <v>3711.6</v>
      </c>
      <c r="C18" s="30">
        <v>3562.8</v>
      </c>
      <c r="D18" s="30">
        <f t="shared" si="0"/>
        <v>148.8</v>
      </c>
      <c r="E18" s="30"/>
      <c r="F18" s="108">
        <f t="shared" si="1"/>
        <v>3265.9</v>
      </c>
      <c r="G18" s="102">
        <f t="shared" si="2"/>
        <v>3402.3</v>
      </c>
      <c r="H18" s="102">
        <f>B18-F18</f>
        <v>445.7</v>
      </c>
    </row>
    <row r="19" spans="1:8" ht="15">
      <c r="A19" s="16" t="s">
        <v>83</v>
      </c>
      <c r="B19" s="97">
        <v>3748.2</v>
      </c>
      <c r="C19" s="30">
        <v>3724</v>
      </c>
      <c r="D19" s="30">
        <f t="shared" si="0"/>
        <v>24.1999999999998</v>
      </c>
      <c r="E19" s="30"/>
      <c r="F19" s="108">
        <f t="shared" si="1"/>
        <v>3413.7</v>
      </c>
      <c r="G19" s="102">
        <f t="shared" si="2"/>
        <v>3435.9</v>
      </c>
      <c r="H19" s="102">
        <f>B19-F19</f>
        <v>334.5</v>
      </c>
    </row>
    <row r="20" spans="1:8" ht="20.25">
      <c r="A20" s="103"/>
      <c r="B20" s="98">
        <f aca="true" t="shared" si="3" ref="B20:H20">SUM(B6:B19)</f>
        <v>55356.4</v>
      </c>
      <c r="C20" s="98">
        <f t="shared" si="3"/>
        <v>55325.5</v>
      </c>
      <c r="D20" s="98">
        <f t="shared" si="3"/>
        <v>30.8999999999999</v>
      </c>
      <c r="E20" s="30"/>
      <c r="F20" s="98">
        <f t="shared" si="3"/>
        <v>44779.4</v>
      </c>
      <c r="G20" s="98">
        <f t="shared" si="3"/>
        <v>46810.2</v>
      </c>
      <c r="H20" s="98">
        <f t="shared" si="3"/>
        <v>5861</v>
      </c>
    </row>
    <row r="22" spans="4:8" ht="12.75">
      <c r="D22" s="110" t="s">
        <v>103</v>
      </c>
      <c r="E22" s="110"/>
      <c r="F22" s="110"/>
      <c r="G22" s="111">
        <f>F6+F8+F10+F13+F14+F16+F17+F18+F19+G7+G9+G11+G12+G15</f>
        <v>49495.4</v>
      </c>
      <c r="H22" s="111">
        <f>B20-G22</f>
        <v>5861</v>
      </c>
    </row>
    <row r="24" ht="12.75">
      <c r="A24" t="s">
        <v>104</v>
      </c>
    </row>
  </sheetData>
  <sheetProtection/>
  <mergeCells count="3"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kompofin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Пользователь Windows</cp:lastModifiedBy>
  <cp:lastPrinted>2022-11-03T07:56:52Z</cp:lastPrinted>
  <dcterms:created xsi:type="dcterms:W3CDTF">2005-08-24T23:16:42Z</dcterms:created>
  <dcterms:modified xsi:type="dcterms:W3CDTF">2023-02-06T04:27:54Z</dcterms:modified>
  <cp:category/>
  <cp:version/>
  <cp:contentType/>
  <cp:contentStatus/>
</cp:coreProperties>
</file>