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firstSheet="1" activeTab="1"/>
  </bookViews>
  <sheets>
    <sheet name="Лист1" sheetId="1" state="hidden" r:id="rId1"/>
    <sheet name="оценка" sheetId="2" r:id="rId2"/>
    <sheet name="степень" sheetId="3" r:id="rId3"/>
  </sheets>
  <definedNames>
    <definedName name="_xlnm._FilterDatabase" localSheetId="1" hidden="1">'оценка'!$A$11:$BB$11</definedName>
    <definedName name="_xlnm.Print_Titles" localSheetId="1">'оценка'!$B:$B</definedName>
  </definedNames>
  <calcPr fullCalcOnLoad="1"/>
</workbook>
</file>

<file path=xl/sharedStrings.xml><?xml version="1.0" encoding="utf-8"?>
<sst xmlns="http://schemas.openxmlformats.org/spreadsheetml/2006/main" count="378" uniqueCount="146">
  <si>
    <t>№ п/п</t>
  </si>
  <si>
    <t>Наименование муниципальных образований</t>
  </si>
  <si>
    <t>Качество финансового планирования</t>
  </si>
  <si>
    <t>Качество исполнения бюджета</t>
  </si>
  <si>
    <t>Степень прозрачности бюджетного процесса</t>
  </si>
  <si>
    <t>Доходы</t>
  </si>
  <si>
    <t>расходы</t>
  </si>
  <si>
    <t>Бюджет</t>
  </si>
  <si>
    <t>отчет</t>
  </si>
  <si>
    <t>сайт</t>
  </si>
  <si>
    <t xml:space="preserve">публичные слушания </t>
  </si>
  <si>
    <t xml:space="preserve">изучение мнения населения     </t>
  </si>
  <si>
    <t>среднеарифметическое значение оценки качества</t>
  </si>
  <si>
    <t>Максимальное значение оценки качества</t>
  </si>
  <si>
    <t>Минимальное значение оценки качества</t>
  </si>
  <si>
    <t>Степень качества управления муниципальными финансами</t>
  </si>
  <si>
    <t>первоначально утвержденный план по доходам  (без учета безв.)</t>
  </si>
  <si>
    <t>Уточненный объем доходов (без учета беззвозмездных)</t>
  </si>
  <si>
    <t>Отношение доходов бюджета поселения, без учета безвозмездных к первоначально утвержденным доходам бюджета поселения, без учета безвозмездных (удельный вес)</t>
  </si>
  <si>
    <t xml:space="preserve">Оценка </t>
  </si>
  <si>
    <t>Фактическое исполнение по неналоговым доходам за отчетный год 2014 г.</t>
  </si>
  <si>
    <t>Фактическое исполнение по неналоговым доходам за год, предшествующий отчетному году 2013 г</t>
  </si>
  <si>
    <t>Темп роста неналоговых доходов бюджета поселения</t>
  </si>
  <si>
    <t>Оценка</t>
  </si>
  <si>
    <t>Общий объем доходов от поступления местных налогов в i-м поселении в отчетном финансовом году</t>
  </si>
  <si>
    <t>Отношение недоимки по местным налогам к сумме налоговых доходов бюджета поселенияот местных налогов</t>
  </si>
  <si>
    <t xml:space="preserve">Уточненные бюджетные назначения по расходам (без учета субвенций из краевого и федерального бюджетов) за отчетный период </t>
  </si>
  <si>
    <t xml:space="preserve">Кассовые расходы (без учета субвенций из краевого и федерального бюджетов) </t>
  </si>
  <si>
    <t>Исполнение бюджета поселения по расходам (без учета субвенций из краевого и федерального бюджетов) к уточненным бюджетным назначениям</t>
  </si>
  <si>
    <t>Утверждение бюджета на очередной финансовый год и плановый период</t>
  </si>
  <si>
    <t>Объем фактически полученных за отчетный период межбюджетных трансфертов из других бюджетов бюджетной системы, рассчитываемый в соответствии п. 4 ст. 136 БК РФ бюджета i-го поселения</t>
  </si>
  <si>
    <t>Объем фактически полученных собственных доходов (без учета субвенций) бюджета i-го поселения</t>
  </si>
  <si>
    <t>Доля межбюджетных трансфертов из других бюджетов бюджетной системы, определяемая в соответствии с пунктом 4 статьи 136 Бюджетного кодекса Российской Федерации</t>
  </si>
  <si>
    <t>Фактические поступления по налоговым и неналоговым доходам в отчетном финансовом году в бюджет i-го поселения</t>
  </si>
  <si>
    <t>Фактические поступления по налоговым и неналоговым доходам в году предшествующем отчетному финансовому году в бюджет i-го поселения</t>
  </si>
  <si>
    <t>Динамика поступлений по налоговым и неналоговым доходам поселения</t>
  </si>
  <si>
    <t xml:space="preserve"> количество месяцев в отч. фин. году, за которые бюджетная отчетность представленна позже установленного срока</t>
  </si>
  <si>
    <t>Своевременность и качество предоставления бюджетной отчетности в Комитет по финансам</t>
  </si>
  <si>
    <t xml:space="preserve">Размещение нормативных правовых актов на офиц. сайте     </t>
  </si>
  <si>
    <t xml:space="preserve"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           </t>
  </si>
  <si>
    <t>Проведение внешней проверки годового отчета об исполнении местного бюджета уполномоченныморганом</t>
  </si>
  <si>
    <t>Объем недоимки по местным налогам на конец года</t>
  </si>
  <si>
    <t>5=4/3</t>
  </si>
  <si>
    <t>9=7/8</t>
  </si>
  <si>
    <t>17=(15-16)/15</t>
  </si>
  <si>
    <t>23=21/22</t>
  </si>
  <si>
    <t>30=1-(29/12)</t>
  </si>
  <si>
    <t>Сельское поселения</t>
  </si>
  <si>
    <t>13=11/12</t>
  </si>
  <si>
    <t>сельское поселение "Бадинское"</t>
  </si>
  <si>
    <t>да</t>
  </si>
  <si>
    <t>0</t>
  </si>
  <si>
    <t>1</t>
  </si>
  <si>
    <t>размещено</t>
  </si>
  <si>
    <t>сельское поселение "Глинкинское"</t>
  </si>
  <si>
    <t>сельское поселение "Закультинское"</t>
  </si>
  <si>
    <t>сельское поселение "Жипхегенское"</t>
  </si>
  <si>
    <t>сельское поселение "Линево Озерское"</t>
  </si>
  <si>
    <t>сельское поселение "Хушенгинское"</t>
  </si>
  <si>
    <t>сельское поселение "Харагунское"</t>
  </si>
  <si>
    <t>сельское поселение "Энгорокское"</t>
  </si>
  <si>
    <t>сельское поселение "Укурикское"</t>
  </si>
  <si>
    <t>нет</t>
  </si>
  <si>
    <t>сельское поселение "Хилогосонское"</t>
  </si>
  <si>
    <t>Итого сельские</t>
  </si>
  <si>
    <t>Городские поселения</t>
  </si>
  <si>
    <t>Городское поселение "Могзонское"</t>
  </si>
  <si>
    <t>Городское поселение "Хилокское"</t>
  </si>
  <si>
    <t>итого городские</t>
  </si>
  <si>
    <t>Всего по муниципальным образованиям</t>
  </si>
  <si>
    <t>Оценка качества управления муниципальными финансами муниципальными образованиями  Хилокского района за 2015 год</t>
  </si>
  <si>
    <t>Сельские поселения</t>
  </si>
  <si>
    <t>Фактическое исполнение по налоговым и неналоговым доходам в отчетном году</t>
  </si>
  <si>
    <t>Фактическое исполнение по налоговым и неналоговым доходам в прешествующем году</t>
  </si>
  <si>
    <t>Качество бюджетного планирования</t>
  </si>
  <si>
    <t>Изменение бюджета МО по налоговым и неналоговым доходам к первоначально утвержденному уровню</t>
  </si>
  <si>
    <t>Объём первоначально утвержденных налоговых и неналоговых доходов бюджетов поселений</t>
  </si>
  <si>
    <t>Уточненный объём расходов бюджетов поселений, за исключением расходов, осуществляемых за счет МБТ на отчетный год</t>
  </si>
  <si>
    <t>Первоначально утвержденный объём расходов бюджетов поселений, за исключением расходов, осуществляемых за счет МБТ на отчетный год</t>
  </si>
  <si>
    <t>Отклонение уточненного объёма расходов бюджетов поселений за счет средств местного бюджета к первоначально утвержденному объему расходов</t>
  </si>
  <si>
    <t>Динамика поступлений по налоговым и неналоговым доходам в бюджеты поселений</t>
  </si>
  <si>
    <t>14=12/13</t>
  </si>
  <si>
    <t>Объем недоимки по местным налогам на начало года</t>
  </si>
  <si>
    <t>Динамика недоимки по платежам в бюджет поселений</t>
  </si>
  <si>
    <t>18=17-16</t>
  </si>
  <si>
    <t>Объем просроченной кредиторской задолженности бюджетов поселений по вопросам местного значения</t>
  </si>
  <si>
    <t>Объем расходов бюджетов поселений, осуществляемых за счет средств местных бюджетов</t>
  </si>
  <si>
    <t>Доля просроченной кредиторской задолженности бюджетов поселений по вопросам местного значения в объеме расходов бюджетов поселений, осуществляемых за счет средств местных бюджетов</t>
  </si>
  <si>
    <t>Объем просроченной кредиторской задолженности бюджетов поселений по выплате заработной платы и начислений на оплату труда</t>
  </si>
  <si>
    <t>30=28/29</t>
  </si>
  <si>
    <t>Уровень финансовой зависимости бюджета поселения</t>
  </si>
  <si>
    <t>Объем доходов бюджетных учреждений от приносящей доход деятельности за отчетный финансовый год бюджета поселения</t>
  </si>
  <si>
    <t>Объем доходов бюджетных учреждений от приносящей доход деятельности за год, предшествующий отчетному финансовому году, бюджета поселения</t>
  </si>
  <si>
    <t>Прирост объема доходов бюджетных учреждений от приносящей доход детельности</t>
  </si>
  <si>
    <t>34=32/33</t>
  </si>
  <si>
    <t>Среднедушевые расходы бюджета поселения на содержание органов местного самоуправления за отчетный финансовый год</t>
  </si>
  <si>
    <t>Среднедушевые расходы бюджета поселения на содержание органов местного самоуправления за год, предшествующий отчетному финансовому году</t>
  </si>
  <si>
    <t>Темп роста среднедушевых расходов бюджета поселения на содержание органов местного самоуправления</t>
  </si>
  <si>
    <t>38=36/37</t>
  </si>
  <si>
    <t>Размещение на официальном сайте органа местного самоуправления поселения решений о бюджете, об исполнении бюджета, ежеквартальных сведений о ходе исполнения бюджета</t>
  </si>
  <si>
    <t>выполняется</t>
  </si>
  <si>
    <t>Количество месяцев в отчетном финансовом году, за которые бюджетная отчетность представлена позже установленного срока</t>
  </si>
  <si>
    <t>44=1-(В/12)</t>
  </si>
  <si>
    <t>Оценка качества 1 направления</t>
  </si>
  <si>
    <t>Оценка качества 2 направления</t>
  </si>
  <si>
    <t>Оценка качества 3 направления</t>
  </si>
  <si>
    <t>осуществляется</t>
  </si>
  <si>
    <t>Комплексная оценка качества для поселений</t>
  </si>
  <si>
    <t>Проведение внешней проверки годового отчета об исполнении местного бюджета уполномоченным органом</t>
  </si>
  <si>
    <t>Объём уточненных налоговых и неналоговых доходов бюджетов поселений</t>
  </si>
  <si>
    <t>Степень качества управления  муниципальными финансами</t>
  </si>
  <si>
    <t>Мониторинг качества управления муниципальными финансами в муниципальном районе "Хилокский район"</t>
  </si>
  <si>
    <t xml:space="preserve"> </t>
  </si>
  <si>
    <t>старая</t>
  </si>
  <si>
    <t>п/п</t>
  </si>
  <si>
    <t>Наименование муниципального образования</t>
  </si>
  <si>
    <t>Комплексная оценка качества управления муниципальными финансами - из программы</t>
  </si>
  <si>
    <t>Интервальная оценка - из программы</t>
  </si>
  <si>
    <t>Интервальная оценка 2/3</t>
  </si>
  <si>
    <t>3/4</t>
  </si>
  <si>
    <t>X</t>
  </si>
  <si>
    <t>сельское поселение "Алтанское""</t>
  </si>
  <si>
    <t>сельское поселение "Билютуйское"</t>
  </si>
  <si>
    <t>сельское поселение "Верхне-Ульхунское"</t>
  </si>
  <si>
    <t>сельское поселение "Гаваньское"</t>
  </si>
  <si>
    <t>сельское поселение "Кыринское"</t>
  </si>
  <si>
    <t>сельское поселение "Любавинское"</t>
  </si>
  <si>
    <t>сельское поселение "Мангутское"</t>
  </si>
  <si>
    <t>сельское поселение "Михайло-Павловское"</t>
  </si>
  <si>
    <t>сельское поселение "Мордойское"</t>
  </si>
  <si>
    <t>сельское поселение "Надежнинское"</t>
  </si>
  <si>
    <t>сельское поселение "Тарбальджейское"</t>
  </si>
  <si>
    <t>сельское поселение "Ульхун-Партионское</t>
  </si>
  <si>
    <t>сельское поселение "Хапчерангинское"</t>
  </si>
  <si>
    <t>сельское поселение "Шумундинское"</t>
  </si>
  <si>
    <t xml:space="preserve">Утверждение бюджета на очередной финансовый год </t>
  </si>
  <si>
    <t>5 прилож</t>
  </si>
  <si>
    <t>Объем просроченной кредиторской задолженности бюджетов поселений по оплате коммунальных услуг</t>
  </si>
  <si>
    <t>Объем просроченной кредиторской задолженности бюджетов поселений по налогам</t>
  </si>
  <si>
    <t>Объем фактически полученных собственных доходов (без учета межбюджетных трансфертов) бюджета i-го поселения</t>
  </si>
  <si>
    <t>налоговые неналог</t>
  </si>
  <si>
    <t xml:space="preserve">дотация+подушевая+сбал-ть </t>
  </si>
  <si>
    <t>6=(5-4)/4</t>
  </si>
  <si>
    <t>Оценка качества управления муниципальными финансами муниципальными образованиями  Кыринского района за 2021 год</t>
  </si>
  <si>
    <t>737 форм нет</t>
  </si>
  <si>
    <t>Отчётный период: 2021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</si>
</sst>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"/>
    <numFmt numFmtId="167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56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vertical="center" wrapText="1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164" fontId="58" fillId="35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0" fillId="9" borderId="10" xfId="0" applyFill="1" applyBorder="1" applyAlignment="1">
      <alignment/>
    </xf>
    <xf numFmtId="0" fontId="59" fillId="9" borderId="10" xfId="0" applyFont="1" applyFill="1" applyBorder="1" applyAlignment="1">
      <alignment/>
    </xf>
    <xf numFmtId="0" fontId="0" fillId="9" borderId="10" xfId="0" applyFill="1" applyBorder="1" applyAlignment="1">
      <alignment horizontal="center"/>
    </xf>
    <xf numFmtId="49" fontId="0" fillId="9" borderId="10" xfId="0" applyNumberFormat="1" applyFill="1" applyBorder="1" applyAlignment="1">
      <alignment/>
    </xf>
    <xf numFmtId="164" fontId="0" fillId="9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166" fontId="0" fillId="34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7" fontId="4" fillId="34" borderId="10" xfId="0" applyNumberFormat="1" applyFont="1" applyFill="1" applyBorder="1" applyAlignment="1" applyProtection="1">
      <alignment/>
      <protection hidden="1"/>
    </xf>
    <xf numFmtId="164" fontId="4" fillId="33" borderId="10" xfId="0" applyNumberFormat="1" applyFont="1" applyFill="1" applyBorder="1" applyAlignment="1" applyProtection="1">
      <alignment/>
      <protection hidden="1"/>
    </xf>
    <xf numFmtId="2" fontId="4" fillId="33" borderId="10" xfId="0" applyNumberFormat="1" applyFont="1" applyFill="1" applyBorder="1" applyAlignment="1" applyProtection="1">
      <alignment/>
      <protection hidden="1"/>
    </xf>
    <xf numFmtId="166" fontId="0" fillId="0" borderId="10" xfId="0" applyNumberFormat="1" applyBorder="1" applyAlignment="1">
      <alignment/>
    </xf>
    <xf numFmtId="165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 horizontal="right" wrapText="1"/>
    </xf>
    <xf numFmtId="49" fontId="0" fillId="0" borderId="10" xfId="0" applyNumberFormat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64" fontId="0" fillId="35" borderId="10" xfId="0" applyNumberFormat="1" applyFill="1" applyBorder="1" applyAlignment="1">
      <alignment horizontal="right"/>
    </xf>
    <xf numFmtId="2" fontId="0" fillId="0" borderId="10" xfId="0" applyNumberFormat="1" applyBorder="1" applyAlignment="1">
      <alignment/>
    </xf>
    <xf numFmtId="165" fontId="0" fillId="9" borderId="10" xfId="0" applyNumberFormat="1" applyFill="1" applyBorder="1" applyAlignment="1">
      <alignment/>
    </xf>
    <xf numFmtId="166" fontId="0" fillId="9" borderId="10" xfId="0" applyNumberFormat="1" applyFill="1" applyBorder="1" applyAlignment="1">
      <alignment/>
    </xf>
    <xf numFmtId="167" fontId="4" fillId="9" borderId="10" xfId="0" applyNumberFormat="1" applyFont="1" applyFill="1" applyBorder="1" applyAlignment="1" applyProtection="1">
      <alignment/>
      <protection hidden="1"/>
    </xf>
    <xf numFmtId="164" fontId="4" fillId="9" borderId="10" xfId="0" applyNumberFormat="1" applyFont="1" applyFill="1" applyBorder="1" applyAlignment="1" applyProtection="1">
      <alignment/>
      <protection hidden="1"/>
    </xf>
    <xf numFmtId="2" fontId="4" fillId="9" borderId="10" xfId="0" applyNumberFormat="1" applyFont="1" applyFill="1" applyBorder="1" applyAlignment="1" applyProtection="1">
      <alignment/>
      <protection hidden="1"/>
    </xf>
    <xf numFmtId="49" fontId="0" fillId="9" borderId="10" xfId="0" applyNumberFormat="1" applyFill="1" applyBorder="1" applyAlignment="1">
      <alignment horizontal="right"/>
    </xf>
    <xf numFmtId="165" fontId="0" fillId="9" borderId="10" xfId="0" applyNumberFormat="1" applyFill="1" applyBorder="1" applyAlignment="1">
      <alignment horizontal="right"/>
    </xf>
    <xf numFmtId="3" fontId="0" fillId="9" borderId="10" xfId="0" applyNumberForma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167" fontId="4" fillId="33" borderId="10" xfId="0" applyNumberFormat="1" applyFont="1" applyFill="1" applyBorder="1" applyAlignment="1" applyProtection="1">
      <alignment/>
      <protection hidden="1"/>
    </xf>
    <xf numFmtId="0" fontId="0" fillId="34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5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59" fillId="16" borderId="10" xfId="0" applyFont="1" applyFill="1" applyBorder="1" applyAlignment="1">
      <alignment/>
    </xf>
    <xf numFmtId="165" fontId="0" fillId="33" borderId="0" xfId="0" applyNumberFormat="1" applyFill="1" applyAlignment="1">
      <alignment/>
    </xf>
    <xf numFmtId="0" fontId="60" fillId="0" borderId="14" xfId="0" applyFont="1" applyBorder="1" applyAlignment="1">
      <alignment/>
    </xf>
    <xf numFmtId="0" fontId="61" fillId="0" borderId="0" xfId="0" applyFont="1" applyAlignment="1">
      <alignment vertical="center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2" fillId="8" borderId="0" xfId="0" applyFont="1" applyFill="1" applyAlignment="1">
      <alignment/>
    </xf>
    <xf numFmtId="0" fontId="56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/>
    </xf>
    <xf numFmtId="1" fontId="58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164" fontId="0" fillId="16" borderId="10" xfId="0" applyNumberFormat="1" applyFill="1" applyBorder="1" applyAlignment="1">
      <alignment/>
    </xf>
    <xf numFmtId="0" fontId="46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46" fillId="16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2" fontId="8" fillId="33" borderId="0" xfId="0" applyNumberFormat="1" applyFont="1" applyFill="1" applyAlignment="1" applyProtection="1">
      <alignment horizontal="center"/>
      <protection/>
    </xf>
    <xf numFmtId="164" fontId="2" fillId="36" borderId="15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6" borderId="15" xfId="0" applyNumberFormat="1" applyFont="1" applyFill="1" applyBorder="1" applyAlignment="1">
      <alignment horizontal="left" vertical="center" wrapText="1"/>
    </xf>
    <xf numFmtId="0" fontId="58" fillId="13" borderId="10" xfId="0" applyFont="1" applyFill="1" applyBorder="1" applyAlignment="1">
      <alignment/>
    </xf>
    <xf numFmtId="0" fontId="58" fillId="13" borderId="10" xfId="0" applyFont="1" applyFill="1" applyBorder="1" applyAlignment="1">
      <alignment horizontal="center"/>
    </xf>
    <xf numFmtId="0" fontId="36" fillId="13" borderId="10" xfId="0" applyFont="1" applyFill="1" applyBorder="1" applyAlignment="1">
      <alignment horizontal="center" wrapText="1"/>
    </xf>
    <xf numFmtId="0" fontId="36" fillId="13" borderId="10" xfId="0" applyFont="1" applyFill="1" applyBorder="1" applyAlignment="1">
      <alignment horizontal="center"/>
    </xf>
    <xf numFmtId="0" fontId="36" fillId="1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8" fillId="1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 applyProtection="1">
      <alignment horizontal="center"/>
      <protection/>
    </xf>
    <xf numFmtId="0" fontId="46" fillId="0" borderId="10" xfId="0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6" fontId="0" fillId="13" borderId="10" xfId="0" applyNumberForma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7" fontId="1" fillId="34" borderId="10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/>
      <protection hidden="1"/>
    </xf>
    <xf numFmtId="2" fontId="1" fillId="33" borderId="10" xfId="0" applyNumberFormat="1" applyFont="1" applyFill="1" applyBorder="1" applyAlignment="1" applyProtection="1">
      <alignment horizontal="center"/>
      <protection hidden="1"/>
    </xf>
    <xf numFmtId="166" fontId="0" fillId="37" borderId="10" xfId="0" applyNumberFormat="1" applyFill="1" applyBorder="1" applyAlignment="1">
      <alignment horizontal="center"/>
    </xf>
    <xf numFmtId="166" fontId="0" fillId="34" borderId="10" xfId="0" applyNumberFormat="1" applyFill="1" applyBorder="1" applyAlignment="1">
      <alignment horizontal="center"/>
    </xf>
    <xf numFmtId="0" fontId="0" fillId="0" borderId="11" xfId="0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65" fontId="0" fillId="13" borderId="0" xfId="0" applyNumberFormat="1" applyFill="1" applyAlignment="1">
      <alignment/>
    </xf>
    <xf numFmtId="166" fontId="0" fillId="5" borderId="10" xfId="0" applyNumberFormat="1" applyFill="1" applyBorder="1" applyAlignment="1">
      <alignment horizontal="center"/>
    </xf>
    <xf numFmtId="165" fontId="0" fillId="33" borderId="0" xfId="0" applyNumberFormat="1" applyFill="1" applyAlignment="1">
      <alignment wrapText="1"/>
    </xf>
    <xf numFmtId="165" fontId="0" fillId="7" borderId="0" xfId="0" applyNumberFormat="1" applyFill="1" applyAlignment="1">
      <alignment/>
    </xf>
    <xf numFmtId="0" fontId="0" fillId="33" borderId="10" xfId="0" applyFill="1" applyBorder="1" applyAlignment="1" applyProtection="1">
      <alignment horizontal="center"/>
      <protection/>
    </xf>
    <xf numFmtId="0" fontId="56" fillId="13" borderId="12" xfId="0" applyFont="1" applyFill="1" applyBorder="1" applyAlignment="1">
      <alignment horizontal="center" vertical="center" wrapText="1"/>
    </xf>
    <xf numFmtId="3" fontId="0" fillId="38" borderId="10" xfId="0" applyNumberFormat="1" applyFill="1" applyBorder="1" applyAlignment="1">
      <alignment horizontal="center"/>
    </xf>
    <xf numFmtId="166" fontId="0" fillId="19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57" fillId="35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7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wrapText="1"/>
      <protection hidden="1"/>
    </xf>
    <xf numFmtId="0" fontId="3" fillId="33" borderId="12" xfId="0" applyFont="1" applyFill="1" applyBorder="1" applyAlignment="1" applyProtection="1">
      <alignment horizontal="center" wrapText="1"/>
      <protection hidden="1"/>
    </xf>
    <xf numFmtId="0" fontId="3" fillId="33" borderId="13" xfId="0" applyFont="1" applyFill="1" applyBorder="1" applyAlignment="1" applyProtection="1">
      <alignment horizontal="center" wrapText="1"/>
      <protection hidden="1"/>
    </xf>
    <xf numFmtId="0" fontId="0" fillId="0" borderId="10" xfId="0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14" xfId="0" applyFont="1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6" fillId="8" borderId="11" xfId="0" applyFont="1" applyFill="1" applyBorder="1" applyAlignment="1">
      <alignment horizontal="center" vertical="center" wrapText="1"/>
    </xf>
    <xf numFmtId="0" fontId="56" fillId="8" borderId="12" xfId="0" applyFont="1" applyFill="1" applyBorder="1" applyAlignment="1">
      <alignment horizontal="center" vertical="center" wrapText="1"/>
    </xf>
    <xf numFmtId="0" fontId="56" fillId="8" borderId="13" xfId="0" applyFont="1" applyFill="1" applyBorder="1" applyAlignment="1">
      <alignment horizontal="center" vertical="center" wrapText="1"/>
    </xf>
    <xf numFmtId="0" fontId="56" fillId="13" borderId="11" xfId="0" applyFont="1" applyFill="1" applyBorder="1" applyAlignment="1">
      <alignment horizontal="center" vertical="center" wrapText="1"/>
    </xf>
    <xf numFmtId="0" fontId="56" fillId="13" borderId="12" xfId="0" applyFont="1" applyFill="1" applyBorder="1" applyAlignment="1">
      <alignment horizontal="center" vertical="center" wrapText="1"/>
    </xf>
    <xf numFmtId="0" fontId="56" fillId="13" borderId="13" xfId="0" applyFont="1" applyFill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 vertical="center" wrapText="1"/>
    </xf>
    <xf numFmtId="0" fontId="56" fillId="13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 applyProtection="1">
      <alignment horizontal="center" vertical="center" wrapText="1"/>
      <protection hidden="1"/>
    </xf>
    <xf numFmtId="0" fontId="2" fillId="8" borderId="12" xfId="0" applyFont="1" applyFill="1" applyBorder="1" applyAlignment="1" applyProtection="1">
      <alignment horizontal="center" vertical="center" wrapText="1"/>
      <protection hidden="1"/>
    </xf>
    <xf numFmtId="0" fontId="2" fillId="8" borderId="13" xfId="0" applyFont="1" applyFill="1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B1">
      <selection activeCell="B3" sqref="A1:IV16384"/>
    </sheetView>
  </sheetViews>
  <sheetFormatPr defaultColWidth="9.140625" defaultRowHeight="15"/>
  <cols>
    <col min="1" max="1" width="0" style="0" hidden="1" customWidth="1"/>
    <col min="2" max="2" width="36.00390625" style="61" customWidth="1"/>
    <col min="3" max="3" width="13.28125" style="0" customWidth="1"/>
    <col min="4" max="4" width="11.28125" style="0" customWidth="1"/>
    <col min="5" max="14" width="13.28125" style="0" customWidth="1"/>
    <col min="15" max="15" width="14.00390625" style="0" customWidth="1"/>
    <col min="16" max="17" width="13.140625" style="0" customWidth="1"/>
    <col min="18" max="18" width="11.140625" style="0" customWidth="1"/>
    <col min="19" max="19" width="16.57421875" style="0" customWidth="1"/>
    <col min="20" max="20" width="10.28125" style="0" customWidth="1"/>
    <col min="21" max="21" width="16.140625" style="0" customWidth="1"/>
    <col min="22" max="22" width="13.28125" style="0" customWidth="1"/>
    <col min="23" max="23" width="15.57421875" style="0" customWidth="1"/>
    <col min="25" max="25" width="10.8515625" style="0" customWidth="1"/>
    <col min="27" max="27" width="9.57421875" style="0" customWidth="1"/>
    <col min="28" max="28" width="11.57421875" style="0" bestFit="1" customWidth="1"/>
    <col min="29" max="29" width="18.140625" style="0" customWidth="1"/>
    <col min="30" max="30" width="13.140625" style="0" customWidth="1"/>
    <col min="31" max="31" width="9.57421875" style="0" customWidth="1"/>
    <col min="32" max="32" width="13.140625" style="0" customWidth="1"/>
    <col min="33" max="33" width="12.00390625" style="0" customWidth="1"/>
    <col min="34" max="35" width="16.57421875" style="0" customWidth="1"/>
    <col min="36" max="36" width="18.00390625" style="0" customWidth="1"/>
    <col min="37" max="37" width="13.28125" style="0" customWidth="1"/>
    <col min="38" max="38" width="13.7109375" style="1" customWidth="1"/>
    <col min="39" max="39" width="10.57421875" style="0" bestFit="1" customWidth="1"/>
    <col min="40" max="40" width="9.57421875" style="0" bestFit="1" customWidth="1"/>
  </cols>
  <sheetData>
    <row r="1" spans="2:20" ht="15">
      <c r="B1" s="206" t="s">
        <v>70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2:38" s="2" customFormat="1" ht="15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AL2" s="3"/>
    </row>
    <row r="3" spans="1:41" ht="15" customHeight="1">
      <c r="A3" s="182" t="s">
        <v>0</v>
      </c>
      <c r="B3" s="185" t="s">
        <v>1</v>
      </c>
      <c r="C3" s="188" t="s">
        <v>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188" t="s">
        <v>3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52" t="s">
        <v>4</v>
      </c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4"/>
      <c r="AO3" s="4"/>
    </row>
    <row r="4" spans="1:41" ht="33" customHeight="1">
      <c r="A4" s="183"/>
      <c r="B4" s="186"/>
      <c r="C4" s="170" t="s">
        <v>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  <c r="O4" s="152" t="s">
        <v>6</v>
      </c>
      <c r="P4" s="152"/>
      <c r="Q4" s="152"/>
      <c r="R4" s="152"/>
      <c r="S4" s="191" t="s">
        <v>7</v>
      </c>
      <c r="T4" s="191"/>
      <c r="U4" s="152"/>
      <c r="V4" s="152"/>
      <c r="W4" s="152"/>
      <c r="X4" s="152"/>
      <c r="Y4" s="5"/>
      <c r="Z4" s="5"/>
      <c r="AA4" s="5"/>
      <c r="AB4" s="5"/>
      <c r="AC4" s="152" t="s">
        <v>8</v>
      </c>
      <c r="AD4" s="152"/>
      <c r="AE4" s="5"/>
      <c r="AF4" s="152" t="s">
        <v>9</v>
      </c>
      <c r="AG4" s="152"/>
      <c r="AH4" s="152" t="s">
        <v>10</v>
      </c>
      <c r="AI4" s="152"/>
      <c r="AJ4" s="152" t="s">
        <v>11</v>
      </c>
      <c r="AK4" s="152"/>
      <c r="AL4" s="166" t="s">
        <v>12</v>
      </c>
      <c r="AM4" s="153" t="s">
        <v>13</v>
      </c>
      <c r="AN4" s="153" t="s">
        <v>14</v>
      </c>
      <c r="AO4" s="153" t="s">
        <v>15</v>
      </c>
    </row>
    <row r="5" spans="1:41" ht="15.75" customHeight="1">
      <c r="A5" s="183"/>
      <c r="B5" s="186"/>
      <c r="C5" s="209" t="s">
        <v>16</v>
      </c>
      <c r="D5" s="165" t="s">
        <v>17</v>
      </c>
      <c r="E5" s="200" t="s">
        <v>18</v>
      </c>
      <c r="F5" s="195" t="s">
        <v>19</v>
      </c>
      <c r="G5" s="196" t="s">
        <v>20</v>
      </c>
      <c r="H5" s="196" t="s">
        <v>21</v>
      </c>
      <c r="I5" s="196" t="s">
        <v>22</v>
      </c>
      <c r="J5" s="193" t="s">
        <v>23</v>
      </c>
      <c r="K5" s="6"/>
      <c r="L5" s="176" t="s">
        <v>24</v>
      </c>
      <c r="M5" s="202" t="s">
        <v>25</v>
      </c>
      <c r="N5" s="7"/>
      <c r="O5" s="153" t="s">
        <v>26</v>
      </c>
      <c r="P5" s="153" t="s">
        <v>27</v>
      </c>
      <c r="Q5" s="199" t="s">
        <v>28</v>
      </c>
      <c r="R5" s="173" t="s">
        <v>23</v>
      </c>
      <c r="S5" s="208" t="s">
        <v>29</v>
      </c>
      <c r="T5" s="173" t="s">
        <v>23</v>
      </c>
      <c r="U5" s="199" t="s">
        <v>30</v>
      </c>
      <c r="V5" s="153" t="s">
        <v>31</v>
      </c>
      <c r="W5" s="192" t="s">
        <v>32</v>
      </c>
      <c r="X5" s="173" t="s">
        <v>23</v>
      </c>
      <c r="Y5" s="155" t="s">
        <v>33</v>
      </c>
      <c r="Z5" s="155" t="s">
        <v>34</v>
      </c>
      <c r="AA5" s="155" t="s">
        <v>35</v>
      </c>
      <c r="AB5" s="173" t="s">
        <v>23</v>
      </c>
      <c r="AC5" s="158" t="s">
        <v>36</v>
      </c>
      <c r="AD5" s="153" t="s">
        <v>37</v>
      </c>
      <c r="AE5" s="8"/>
      <c r="AF5" s="161" t="s">
        <v>38</v>
      </c>
      <c r="AG5" s="164" t="s">
        <v>23</v>
      </c>
      <c r="AH5" s="169" t="s">
        <v>39</v>
      </c>
      <c r="AI5" s="164" t="s">
        <v>23</v>
      </c>
      <c r="AJ5" s="161" t="s">
        <v>40</v>
      </c>
      <c r="AK5" s="179" t="s">
        <v>23</v>
      </c>
      <c r="AL5" s="167"/>
      <c r="AM5" s="154"/>
      <c r="AN5" s="154"/>
      <c r="AO5" s="154"/>
    </row>
    <row r="6" spans="1:41" ht="15.75" customHeight="1">
      <c r="A6" s="183"/>
      <c r="B6" s="186"/>
      <c r="C6" s="209"/>
      <c r="D6" s="205"/>
      <c r="E6" s="200"/>
      <c r="F6" s="211"/>
      <c r="G6" s="197"/>
      <c r="H6" s="197"/>
      <c r="I6" s="197"/>
      <c r="J6" s="194"/>
      <c r="K6" s="177" t="s">
        <v>41</v>
      </c>
      <c r="L6" s="177"/>
      <c r="M6" s="203"/>
      <c r="N6" s="9"/>
      <c r="O6" s="154"/>
      <c r="P6" s="154"/>
      <c r="Q6" s="199"/>
      <c r="R6" s="174"/>
      <c r="S6" s="200"/>
      <c r="T6" s="174"/>
      <c r="U6" s="199"/>
      <c r="V6" s="154"/>
      <c r="W6" s="167"/>
      <c r="X6" s="174"/>
      <c r="Y6" s="156"/>
      <c r="Z6" s="156"/>
      <c r="AA6" s="156"/>
      <c r="AB6" s="174"/>
      <c r="AC6" s="159"/>
      <c r="AD6" s="154"/>
      <c r="AE6" s="10"/>
      <c r="AF6" s="162"/>
      <c r="AG6" s="164"/>
      <c r="AH6" s="169"/>
      <c r="AI6" s="164"/>
      <c r="AJ6" s="162"/>
      <c r="AK6" s="180"/>
      <c r="AL6" s="167"/>
      <c r="AM6" s="154"/>
      <c r="AN6" s="154"/>
      <c r="AO6" s="154"/>
    </row>
    <row r="7" spans="1:41" ht="15" customHeight="1">
      <c r="A7" s="183"/>
      <c r="B7" s="186"/>
      <c r="C7" s="209"/>
      <c r="D7" s="205"/>
      <c r="E7" s="200"/>
      <c r="F7" s="211"/>
      <c r="G7" s="197"/>
      <c r="H7" s="197"/>
      <c r="I7" s="197"/>
      <c r="J7" s="194"/>
      <c r="K7" s="177"/>
      <c r="L7" s="177"/>
      <c r="M7" s="203"/>
      <c r="N7" s="9"/>
      <c r="O7" s="154"/>
      <c r="P7" s="154"/>
      <c r="Q7" s="199"/>
      <c r="R7" s="174"/>
      <c r="S7" s="200"/>
      <c r="T7" s="174"/>
      <c r="U7" s="199"/>
      <c r="V7" s="154"/>
      <c r="W7" s="167"/>
      <c r="X7" s="174"/>
      <c r="Y7" s="156"/>
      <c r="Z7" s="156"/>
      <c r="AA7" s="156"/>
      <c r="AB7" s="174"/>
      <c r="AC7" s="159"/>
      <c r="AD7" s="154"/>
      <c r="AE7" s="10"/>
      <c r="AF7" s="162"/>
      <c r="AG7" s="164"/>
      <c r="AH7" s="169"/>
      <c r="AI7" s="164"/>
      <c r="AJ7" s="162"/>
      <c r="AK7" s="180"/>
      <c r="AL7" s="167"/>
      <c r="AM7" s="154"/>
      <c r="AN7" s="154"/>
      <c r="AO7" s="154"/>
    </row>
    <row r="8" spans="1:41" ht="248.25" customHeight="1">
      <c r="A8" s="183"/>
      <c r="B8" s="186"/>
      <c r="C8" s="209"/>
      <c r="D8" s="205"/>
      <c r="E8" s="200"/>
      <c r="F8" s="211"/>
      <c r="G8" s="197"/>
      <c r="H8" s="197"/>
      <c r="I8" s="197"/>
      <c r="J8" s="194"/>
      <c r="K8" s="177"/>
      <c r="L8" s="177"/>
      <c r="M8" s="203"/>
      <c r="N8" s="9" t="s">
        <v>23</v>
      </c>
      <c r="O8" s="154"/>
      <c r="P8" s="154"/>
      <c r="Q8" s="199"/>
      <c r="R8" s="174"/>
      <c r="S8" s="200"/>
      <c r="T8" s="174"/>
      <c r="U8" s="199"/>
      <c r="V8" s="154"/>
      <c r="W8" s="168"/>
      <c r="X8" s="174"/>
      <c r="Y8" s="157"/>
      <c r="Z8" s="157"/>
      <c r="AA8" s="157"/>
      <c r="AB8" s="175"/>
      <c r="AC8" s="159"/>
      <c r="AD8" s="154"/>
      <c r="AE8" s="10" t="s">
        <v>23</v>
      </c>
      <c r="AF8" s="162"/>
      <c r="AG8" s="164"/>
      <c r="AH8" s="169"/>
      <c r="AI8" s="164"/>
      <c r="AJ8" s="162"/>
      <c r="AK8" s="180"/>
      <c r="AL8" s="167"/>
      <c r="AM8" s="154"/>
      <c r="AN8" s="165"/>
      <c r="AO8" s="165"/>
    </row>
    <row r="9" spans="1:41" ht="6.75" customHeight="1" hidden="1">
      <c r="A9" s="183"/>
      <c r="B9" s="186"/>
      <c r="C9" s="209"/>
      <c r="D9" s="205"/>
      <c r="E9" s="200"/>
      <c r="F9" s="211"/>
      <c r="G9" s="197"/>
      <c r="H9" s="197"/>
      <c r="I9" s="197"/>
      <c r="J9" s="194"/>
      <c r="K9" s="177"/>
      <c r="L9" s="177"/>
      <c r="M9" s="203"/>
      <c r="N9" s="9"/>
      <c r="O9" s="154"/>
      <c r="P9" s="154"/>
      <c r="Q9" s="199"/>
      <c r="R9" s="174"/>
      <c r="S9" s="200"/>
      <c r="T9" s="174"/>
      <c r="U9" s="199"/>
      <c r="V9" s="154"/>
      <c r="W9" s="11"/>
      <c r="X9" s="174"/>
      <c r="Y9" s="12"/>
      <c r="Z9" s="12"/>
      <c r="AA9" s="12"/>
      <c r="AB9" s="13"/>
      <c r="AC9" s="159"/>
      <c r="AE9" s="10"/>
      <c r="AF9" s="162"/>
      <c r="AG9" s="164"/>
      <c r="AH9" s="169"/>
      <c r="AI9" s="164"/>
      <c r="AJ9" s="162"/>
      <c r="AK9" s="180"/>
      <c r="AL9" s="167"/>
      <c r="AM9" s="154"/>
      <c r="AN9" s="14"/>
      <c r="AO9" s="14"/>
    </row>
    <row r="10" spans="1:41" ht="10.5" customHeight="1" hidden="1">
      <c r="A10" s="184"/>
      <c r="B10" s="187"/>
      <c r="C10" s="210"/>
      <c r="D10" s="205"/>
      <c r="E10" s="201"/>
      <c r="F10" s="211"/>
      <c r="G10" s="198"/>
      <c r="H10" s="198"/>
      <c r="I10" s="198"/>
      <c r="J10" s="195"/>
      <c r="K10" s="178"/>
      <c r="L10" s="178"/>
      <c r="M10" s="204"/>
      <c r="N10" s="15"/>
      <c r="O10" s="165"/>
      <c r="P10" s="165"/>
      <c r="Q10" s="199"/>
      <c r="R10" s="175"/>
      <c r="S10" s="201"/>
      <c r="T10" s="175"/>
      <c r="U10" s="199"/>
      <c r="V10" s="165"/>
      <c r="W10" s="11"/>
      <c r="X10" s="175"/>
      <c r="Y10" s="12"/>
      <c r="Z10" s="12"/>
      <c r="AA10" s="12"/>
      <c r="AB10" s="13"/>
      <c r="AC10" s="160"/>
      <c r="AE10" s="16"/>
      <c r="AF10" s="163"/>
      <c r="AG10" s="164"/>
      <c r="AH10" s="169"/>
      <c r="AI10" s="164"/>
      <c r="AJ10" s="163"/>
      <c r="AK10" s="181"/>
      <c r="AL10" s="168"/>
      <c r="AM10" s="165"/>
      <c r="AN10" s="14"/>
      <c r="AO10" s="14"/>
    </row>
    <row r="11" spans="1:41" s="26" customFormat="1" ht="24.75" customHeight="1">
      <c r="A11" s="17">
        <v>1</v>
      </c>
      <c r="B11" s="18">
        <v>2</v>
      </c>
      <c r="C11" s="17">
        <v>3</v>
      </c>
      <c r="D11" s="17">
        <v>4</v>
      </c>
      <c r="E11" s="19" t="s">
        <v>42</v>
      </c>
      <c r="F11" s="20">
        <v>6</v>
      </c>
      <c r="G11" s="21">
        <v>7</v>
      </c>
      <c r="H11" s="21">
        <v>8</v>
      </c>
      <c r="I11" s="21" t="s">
        <v>43</v>
      </c>
      <c r="J11" s="22">
        <v>10</v>
      </c>
      <c r="K11" s="21">
        <v>11</v>
      </c>
      <c r="L11" s="21">
        <v>12</v>
      </c>
      <c r="M11" s="21">
        <v>13</v>
      </c>
      <c r="N11" s="22">
        <v>14</v>
      </c>
      <c r="O11" s="17">
        <v>15</v>
      </c>
      <c r="P11" s="17">
        <v>16</v>
      </c>
      <c r="Q11" s="17" t="s">
        <v>44</v>
      </c>
      <c r="R11" s="23">
        <v>18</v>
      </c>
      <c r="S11" s="17">
        <v>19</v>
      </c>
      <c r="T11" s="23">
        <v>20</v>
      </c>
      <c r="U11" s="17">
        <v>21</v>
      </c>
      <c r="V11" s="17">
        <v>22</v>
      </c>
      <c r="W11" s="17" t="s">
        <v>45</v>
      </c>
      <c r="X11" s="23">
        <v>24</v>
      </c>
      <c r="Y11" s="24">
        <v>25</v>
      </c>
      <c r="Z11" s="24">
        <v>26</v>
      </c>
      <c r="AA11" s="24">
        <v>27</v>
      </c>
      <c r="AB11" s="13">
        <v>28</v>
      </c>
      <c r="AC11" s="17">
        <v>29</v>
      </c>
      <c r="AD11" s="24" t="s">
        <v>46</v>
      </c>
      <c r="AE11" s="23">
        <v>31</v>
      </c>
      <c r="AF11" s="17">
        <v>32</v>
      </c>
      <c r="AG11" s="23">
        <v>33</v>
      </c>
      <c r="AH11" s="17">
        <v>34</v>
      </c>
      <c r="AI11" s="23">
        <v>35</v>
      </c>
      <c r="AJ11" s="17">
        <v>36</v>
      </c>
      <c r="AK11" s="23">
        <v>37</v>
      </c>
      <c r="AL11" s="25">
        <v>38</v>
      </c>
      <c r="AM11" s="17">
        <v>39</v>
      </c>
      <c r="AN11" s="17">
        <v>40</v>
      </c>
      <c r="AO11" s="17">
        <v>41</v>
      </c>
    </row>
    <row r="12" spans="1:41" ht="15" customHeight="1">
      <c r="A12" s="27"/>
      <c r="B12" s="28" t="s">
        <v>47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" t="s">
        <v>48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30"/>
      <c r="AD12" s="30"/>
      <c r="AE12" s="30"/>
      <c r="AF12" s="27"/>
      <c r="AG12" s="27"/>
      <c r="AH12" s="27"/>
      <c r="AI12" s="27"/>
      <c r="AJ12" s="27"/>
      <c r="AK12" s="27"/>
      <c r="AL12" s="31"/>
      <c r="AM12" s="31"/>
      <c r="AN12" s="31"/>
      <c r="AO12" s="31"/>
    </row>
    <row r="13" spans="1:41" ht="15" customHeight="1">
      <c r="A13" s="4"/>
      <c r="B13" s="18" t="s">
        <v>49</v>
      </c>
      <c r="C13" s="32">
        <f>7028.9-250</f>
        <v>6778.9</v>
      </c>
      <c r="D13" s="32">
        <v>7062.9</v>
      </c>
      <c r="E13" s="32">
        <f>D13/C13</f>
        <v>1.041894702680376</v>
      </c>
      <c r="F13" s="33">
        <f>(E13-1)/(1.7-1)</f>
        <v>0.059849575257679984</v>
      </c>
      <c r="G13" s="34">
        <v>634.7</v>
      </c>
      <c r="H13" s="34">
        <v>739.1</v>
      </c>
      <c r="I13" s="34">
        <f>G13/H13</f>
        <v>0.8587471248816128</v>
      </c>
      <c r="J13" s="35">
        <f>(I13-0.1)/(10.4-0.1)</f>
        <v>0.07366476940598182</v>
      </c>
      <c r="K13" s="36">
        <f>613.8+227.9</f>
        <v>841.6999999999999</v>
      </c>
      <c r="L13" s="36">
        <f>277.6+1099.3</f>
        <v>1376.9</v>
      </c>
      <c r="M13" s="37">
        <f>K13/L13</f>
        <v>0.6113007480572299</v>
      </c>
      <c r="N13" s="35">
        <f>(5.51-M13)/(5.51-0.06)</f>
        <v>0.8988438994390402</v>
      </c>
      <c r="O13" s="32">
        <v>13764.9</v>
      </c>
      <c r="P13" s="32">
        <v>12243.2</v>
      </c>
      <c r="Q13" s="38">
        <f>(O13-P13)/O13</f>
        <v>0.11054929567232591</v>
      </c>
      <c r="R13" s="39">
        <f>(0.846-Q13)/(0.846-0.111)</f>
        <v>1.0006132031669035</v>
      </c>
      <c r="S13" s="32" t="s">
        <v>50</v>
      </c>
      <c r="T13" s="39">
        <v>1</v>
      </c>
      <c r="U13" s="32">
        <v>5378.2</v>
      </c>
      <c r="V13" s="32">
        <v>6965.4</v>
      </c>
      <c r="W13" s="32">
        <f>U13/V13</f>
        <v>0.7721308180434721</v>
      </c>
      <c r="X13" s="39">
        <f>(9.4-W13)/(9.4-0.6)</f>
        <v>0.9804396797677872</v>
      </c>
      <c r="Y13" s="34">
        <v>5646.3</v>
      </c>
      <c r="Z13" s="34">
        <v>5103.1</v>
      </c>
      <c r="AA13" s="34">
        <f>Y13/Z13</f>
        <v>1.1064451019968253</v>
      </c>
      <c r="AB13" s="40">
        <f>(AA13-0.8)/(2.5-0.8)</f>
        <v>0.1802618247040149</v>
      </c>
      <c r="AC13" s="41" t="s">
        <v>51</v>
      </c>
      <c r="AD13" s="42" t="s">
        <v>52</v>
      </c>
      <c r="AE13" s="43" t="s">
        <v>52</v>
      </c>
      <c r="AF13" s="44" t="s">
        <v>53</v>
      </c>
      <c r="AG13" s="45">
        <v>1</v>
      </c>
      <c r="AH13" s="44" t="s">
        <v>50</v>
      </c>
      <c r="AI13" s="45">
        <v>1</v>
      </c>
      <c r="AJ13" s="44" t="s">
        <v>50</v>
      </c>
      <c r="AK13" s="46">
        <v>1</v>
      </c>
      <c r="AL13" s="47">
        <f>F13+J13+N13+R13+T13+X13+AB13+AE13+AG13+AI13+AK13/11</f>
        <v>7.284582042650499</v>
      </c>
      <c r="AM13" s="48">
        <f>AL13/100*30+AL13</f>
        <v>9.469956655445648</v>
      </c>
      <c r="AN13" s="48">
        <f>AL13-AL13/100*30</f>
        <v>5.099207429855349</v>
      </c>
      <c r="AO13" s="4">
        <v>1</v>
      </c>
    </row>
    <row r="14" spans="1:41" ht="15" customHeight="1">
      <c r="A14" s="4"/>
      <c r="B14" s="18" t="s">
        <v>54</v>
      </c>
      <c r="C14" s="32">
        <v>445</v>
      </c>
      <c r="D14" s="32">
        <v>445</v>
      </c>
      <c r="E14" s="32">
        <f aca="true" t="shared" si="0" ref="E14:E28">D14/C14</f>
        <v>1</v>
      </c>
      <c r="F14" s="33">
        <f aca="true" t="shared" si="1" ref="F14:F23">(E14-1)/(1.7-1)</f>
        <v>0</v>
      </c>
      <c r="G14" s="34">
        <v>19</v>
      </c>
      <c r="H14" s="34">
        <v>64.6</v>
      </c>
      <c r="I14" s="34">
        <f aca="true" t="shared" si="2" ref="I14:I28">G14/H14</f>
        <v>0.29411764705882354</v>
      </c>
      <c r="J14" s="35">
        <f aca="true" t="shared" si="3" ref="J14:J23">(I14-0.1)/(10.4-0.1)</f>
        <v>0.01884637350085665</v>
      </c>
      <c r="K14" s="36">
        <f>1.9+3.8</f>
        <v>5.699999999999999</v>
      </c>
      <c r="L14" s="36">
        <f>3.2+65</f>
        <v>68.2</v>
      </c>
      <c r="M14" s="37">
        <f aca="true" t="shared" si="4" ref="M14:M22">K14/L14</f>
        <v>0.08357771260997066</v>
      </c>
      <c r="N14" s="35">
        <f aca="true" t="shared" si="5" ref="N14:N28">(5.51-M14)/(5.51-0.06)</f>
        <v>0.9956738142000052</v>
      </c>
      <c r="O14" s="32">
        <v>2335.7</v>
      </c>
      <c r="P14" s="32">
        <v>2057.2</v>
      </c>
      <c r="Q14" s="38">
        <f aca="true" t="shared" si="6" ref="Q14:Q28">(O14-P14)/O14</f>
        <v>0.11923620327953077</v>
      </c>
      <c r="R14" s="39">
        <f aca="true" t="shared" si="7" ref="R14:R28">(0.846-Q14)/(0.846-0.111)</f>
        <v>0.988794281252339</v>
      </c>
      <c r="S14" s="32" t="s">
        <v>50</v>
      </c>
      <c r="T14" s="39">
        <v>1</v>
      </c>
      <c r="U14" s="32">
        <v>1659.8</v>
      </c>
      <c r="V14" s="32">
        <v>452.5</v>
      </c>
      <c r="W14" s="32">
        <f aca="true" t="shared" si="8" ref="W14:W23">U14/V14</f>
        <v>3.6680662983425414</v>
      </c>
      <c r="X14" s="39">
        <f aca="true" t="shared" si="9" ref="X14:X28">(9.4-W14)/(9.4-0.6)</f>
        <v>0.6513561024610748</v>
      </c>
      <c r="Y14" s="34">
        <v>261.2</v>
      </c>
      <c r="Z14" s="34">
        <v>215.5</v>
      </c>
      <c r="AA14" s="34">
        <f aca="true" t="shared" si="10" ref="AA14:AA22">Y14/Z14</f>
        <v>1.2120649651972157</v>
      </c>
      <c r="AB14" s="40">
        <f aca="true" t="shared" si="11" ref="AB14:AB28">(AA14-0.8)/(2.5-0.8)</f>
        <v>0.24239115599836217</v>
      </c>
      <c r="AC14" s="41" t="s">
        <v>51</v>
      </c>
      <c r="AD14" s="42" t="s">
        <v>52</v>
      </c>
      <c r="AE14" s="43" t="s">
        <v>52</v>
      </c>
      <c r="AF14" s="44" t="s">
        <v>53</v>
      </c>
      <c r="AG14" s="45">
        <v>1</v>
      </c>
      <c r="AH14" s="44" t="s">
        <v>50</v>
      </c>
      <c r="AI14" s="45">
        <v>1</v>
      </c>
      <c r="AJ14" s="44" t="s">
        <v>50</v>
      </c>
      <c r="AK14" s="46">
        <v>1</v>
      </c>
      <c r="AL14" s="47">
        <f aca="true" t="shared" si="12" ref="AL14:AL22">F14+J14+N14+R14+T14+X14+AB14+AE14+AG14+AI14+AK14/11</f>
        <v>6.987970818321728</v>
      </c>
      <c r="AM14" s="48">
        <f aca="true" t="shared" si="13" ref="AM14:AM26">AL14/100*30+AL14</f>
        <v>9.084362063818247</v>
      </c>
      <c r="AN14" s="48">
        <f aca="true" t="shared" si="14" ref="AN14:AN26">AL14-AL14/100*30</f>
        <v>4.89157957282521</v>
      </c>
      <c r="AO14" s="4">
        <v>1</v>
      </c>
    </row>
    <row r="15" spans="1:41" ht="15" customHeight="1">
      <c r="A15" s="4"/>
      <c r="B15" s="18" t="s">
        <v>55</v>
      </c>
      <c r="C15" s="32">
        <v>937.7</v>
      </c>
      <c r="D15" s="32">
        <v>956</v>
      </c>
      <c r="E15" s="32">
        <f t="shared" si="0"/>
        <v>1.0195158366215207</v>
      </c>
      <c r="F15" s="33">
        <f t="shared" si="1"/>
        <v>0.0278797666021724</v>
      </c>
      <c r="G15" s="34">
        <v>171.5</v>
      </c>
      <c r="H15" s="34">
        <v>171.5</v>
      </c>
      <c r="I15" s="34">
        <f t="shared" si="2"/>
        <v>1</v>
      </c>
      <c r="J15" s="35">
        <f t="shared" si="3"/>
        <v>0.08737864077669903</v>
      </c>
      <c r="K15" s="36">
        <f>10.2+21.1</f>
        <v>31.3</v>
      </c>
      <c r="L15" s="36">
        <f>20.3+75.5</f>
        <v>95.8</v>
      </c>
      <c r="M15" s="37">
        <f t="shared" si="4"/>
        <v>0.3267223382045929</v>
      </c>
      <c r="N15" s="35">
        <f t="shared" si="5"/>
        <v>0.9510601214303499</v>
      </c>
      <c r="O15" s="32">
        <v>6132.4</v>
      </c>
      <c r="P15" s="32">
        <v>5305.9</v>
      </c>
      <c r="Q15" s="38">
        <f t="shared" si="6"/>
        <v>0.1347759441654165</v>
      </c>
      <c r="R15" s="39">
        <f t="shared" si="7"/>
        <v>0.9676517766456918</v>
      </c>
      <c r="S15" s="32" t="s">
        <v>50</v>
      </c>
      <c r="T15" s="39">
        <v>1</v>
      </c>
      <c r="U15" s="32">
        <v>4621.5</v>
      </c>
      <c r="V15" s="32">
        <v>799.2</v>
      </c>
      <c r="W15" s="32">
        <f t="shared" si="8"/>
        <v>5.782657657657658</v>
      </c>
      <c r="X15" s="39">
        <f t="shared" si="9"/>
        <v>0.4110616298116298</v>
      </c>
      <c r="Y15" s="34">
        <v>448</v>
      </c>
      <c r="Z15" s="34">
        <v>440.9</v>
      </c>
      <c r="AA15" s="34">
        <f t="shared" si="10"/>
        <v>1.0161034248128828</v>
      </c>
      <c r="AB15" s="40">
        <f t="shared" si="11"/>
        <v>0.12711966165463695</v>
      </c>
      <c r="AC15" s="41" t="s">
        <v>51</v>
      </c>
      <c r="AD15" s="42" t="s">
        <v>52</v>
      </c>
      <c r="AE15" s="43" t="s">
        <v>52</v>
      </c>
      <c r="AF15" s="44" t="s">
        <v>53</v>
      </c>
      <c r="AG15" s="45">
        <v>1</v>
      </c>
      <c r="AH15" s="44" t="s">
        <v>50</v>
      </c>
      <c r="AI15" s="45">
        <v>1</v>
      </c>
      <c r="AJ15" s="44" t="s">
        <v>50</v>
      </c>
      <c r="AK15" s="46">
        <v>1</v>
      </c>
      <c r="AL15" s="47">
        <f t="shared" si="12"/>
        <v>6.66306068783027</v>
      </c>
      <c r="AM15" s="48">
        <f t="shared" si="13"/>
        <v>8.66197889417935</v>
      </c>
      <c r="AN15" s="48">
        <f t="shared" si="14"/>
        <v>4.664142481481189</v>
      </c>
      <c r="AO15" s="4">
        <v>2</v>
      </c>
    </row>
    <row r="16" spans="1:41" ht="15" customHeight="1">
      <c r="A16" s="4"/>
      <c r="B16" s="18" t="s">
        <v>56</v>
      </c>
      <c r="C16" s="32">
        <f>3943.7-150</f>
        <v>3793.7</v>
      </c>
      <c r="D16" s="32">
        <v>3833.7</v>
      </c>
      <c r="E16" s="32">
        <f t="shared" si="0"/>
        <v>1.0105437962938557</v>
      </c>
      <c r="F16" s="33">
        <f t="shared" si="1"/>
        <v>0.015062566134079589</v>
      </c>
      <c r="G16" s="34">
        <v>254.4</v>
      </c>
      <c r="H16" s="34">
        <v>265.1</v>
      </c>
      <c r="I16" s="34">
        <f t="shared" si="2"/>
        <v>0.959637872500943</v>
      </c>
      <c r="J16" s="35">
        <f t="shared" si="3"/>
        <v>0.08345998762145078</v>
      </c>
      <c r="K16" s="36">
        <f>43+17.1</f>
        <v>60.1</v>
      </c>
      <c r="L16" s="36">
        <f>42.6+1026.5</f>
        <v>1069.1</v>
      </c>
      <c r="M16" s="37">
        <f t="shared" si="4"/>
        <v>0.05621550837152746</v>
      </c>
      <c r="N16" s="35">
        <f t="shared" si="5"/>
        <v>1.0006944021336646</v>
      </c>
      <c r="O16" s="32">
        <v>6506.3</v>
      </c>
      <c r="P16" s="32">
        <v>5190.2</v>
      </c>
      <c r="Q16" s="38">
        <f t="shared" si="6"/>
        <v>0.20228086623733924</v>
      </c>
      <c r="R16" s="39">
        <f t="shared" si="7"/>
        <v>0.8758083452553208</v>
      </c>
      <c r="S16" s="32" t="s">
        <v>50</v>
      </c>
      <c r="T16" s="39">
        <v>1</v>
      </c>
      <c r="U16" s="32">
        <v>2145.7</v>
      </c>
      <c r="V16" s="32">
        <v>3074.4</v>
      </c>
      <c r="W16" s="32">
        <f t="shared" si="8"/>
        <v>0.6979247983346343</v>
      </c>
      <c r="X16" s="39">
        <f t="shared" si="9"/>
        <v>0.9888721820074279</v>
      </c>
      <c r="Y16" s="34">
        <v>2783.2</v>
      </c>
      <c r="Z16" s="34">
        <v>3227.8</v>
      </c>
      <c r="AA16" s="34">
        <f t="shared" si="10"/>
        <v>0.8622591238614535</v>
      </c>
      <c r="AB16" s="40">
        <f t="shared" si="11"/>
        <v>0.036623014036149114</v>
      </c>
      <c r="AC16" s="41" t="s">
        <v>51</v>
      </c>
      <c r="AD16" s="42" t="s">
        <v>52</v>
      </c>
      <c r="AE16" s="43" t="s">
        <v>52</v>
      </c>
      <c r="AF16" s="44" t="s">
        <v>53</v>
      </c>
      <c r="AG16" s="45">
        <v>1</v>
      </c>
      <c r="AH16" s="44" t="s">
        <v>50</v>
      </c>
      <c r="AI16" s="45">
        <v>1</v>
      </c>
      <c r="AJ16" s="44" t="s">
        <v>50</v>
      </c>
      <c r="AK16" s="46">
        <v>1</v>
      </c>
      <c r="AL16" s="47">
        <f t="shared" si="12"/>
        <v>7.091429588097183</v>
      </c>
      <c r="AM16" s="48">
        <f t="shared" si="13"/>
        <v>9.218858464526338</v>
      </c>
      <c r="AN16" s="48">
        <f t="shared" si="14"/>
        <v>4.964000711668028</v>
      </c>
      <c r="AO16" s="4">
        <v>1</v>
      </c>
    </row>
    <row r="17" spans="1:41" ht="15" customHeight="1">
      <c r="A17" s="4"/>
      <c r="B17" s="18" t="s">
        <v>57</v>
      </c>
      <c r="C17" s="32">
        <f>4811-50</f>
        <v>4761</v>
      </c>
      <c r="D17" s="32">
        <v>4731</v>
      </c>
      <c r="E17" s="32">
        <f t="shared" si="0"/>
        <v>0.9936988027725268</v>
      </c>
      <c r="F17" s="33">
        <f t="shared" si="1"/>
        <v>-0.009001710324961776</v>
      </c>
      <c r="G17" s="34">
        <v>144.5</v>
      </c>
      <c r="H17" s="34">
        <v>88.4</v>
      </c>
      <c r="I17" s="34">
        <f t="shared" si="2"/>
        <v>1.6346153846153846</v>
      </c>
      <c r="J17" s="35">
        <f t="shared" si="3"/>
        <v>0.148991784914115</v>
      </c>
      <c r="K17" s="36">
        <f>91.5+71.4</f>
        <v>162.9</v>
      </c>
      <c r="L17" s="36">
        <f>80.3+737.5</f>
        <v>817.8</v>
      </c>
      <c r="M17" s="37">
        <f t="shared" si="4"/>
        <v>0.1991929567131328</v>
      </c>
      <c r="N17" s="35">
        <f t="shared" si="5"/>
        <v>0.9744600079425444</v>
      </c>
      <c r="O17" s="32">
        <v>8791.4</v>
      </c>
      <c r="P17" s="32">
        <v>7288.9</v>
      </c>
      <c r="Q17" s="38">
        <f t="shared" si="6"/>
        <v>0.1709056578019428</v>
      </c>
      <c r="R17" s="39">
        <f t="shared" si="7"/>
        <v>0.9184957036708261</v>
      </c>
      <c r="S17" s="32" t="s">
        <v>50</v>
      </c>
      <c r="T17" s="39">
        <v>1</v>
      </c>
      <c r="U17" s="32">
        <v>3678.7</v>
      </c>
      <c r="V17" s="32">
        <v>4002.2</v>
      </c>
      <c r="W17" s="32">
        <f t="shared" si="8"/>
        <v>0.9191694567987607</v>
      </c>
      <c r="X17" s="39">
        <f t="shared" si="9"/>
        <v>0.9637307435455953</v>
      </c>
      <c r="Y17" s="34">
        <v>2197.7</v>
      </c>
      <c r="Z17" s="34">
        <v>1945.8</v>
      </c>
      <c r="AA17" s="34">
        <f t="shared" si="10"/>
        <v>1.1294583204851474</v>
      </c>
      <c r="AB17" s="40">
        <f t="shared" si="11"/>
        <v>0.19379901205008668</v>
      </c>
      <c r="AC17" s="41" t="s">
        <v>51</v>
      </c>
      <c r="AD17" s="42" t="s">
        <v>52</v>
      </c>
      <c r="AE17" s="43" t="s">
        <v>52</v>
      </c>
      <c r="AF17" s="44" t="s">
        <v>53</v>
      </c>
      <c r="AG17" s="45">
        <v>1</v>
      </c>
      <c r="AH17" s="44" t="s">
        <v>50</v>
      </c>
      <c r="AI17" s="45">
        <v>1</v>
      </c>
      <c r="AJ17" s="44" t="s">
        <v>50</v>
      </c>
      <c r="AK17" s="46">
        <v>1</v>
      </c>
      <c r="AL17" s="47">
        <f t="shared" si="12"/>
        <v>7.281384632707296</v>
      </c>
      <c r="AM17" s="48">
        <f t="shared" si="13"/>
        <v>9.465800022519485</v>
      </c>
      <c r="AN17" s="48">
        <f t="shared" si="14"/>
        <v>5.096969242895107</v>
      </c>
      <c r="AO17" s="4">
        <v>1</v>
      </c>
    </row>
    <row r="18" spans="1:41" ht="15" customHeight="1">
      <c r="A18" s="4"/>
      <c r="B18" s="18" t="s">
        <v>58</v>
      </c>
      <c r="C18" s="32">
        <v>3184.8</v>
      </c>
      <c r="D18" s="32">
        <v>3184.8</v>
      </c>
      <c r="E18" s="32">
        <f t="shared" si="0"/>
        <v>1</v>
      </c>
      <c r="F18" s="33">
        <f t="shared" si="1"/>
        <v>0</v>
      </c>
      <c r="G18" s="34">
        <v>117.6</v>
      </c>
      <c r="H18" s="34">
        <v>313.7</v>
      </c>
      <c r="I18" s="34">
        <f t="shared" si="2"/>
        <v>0.3748804590372968</v>
      </c>
      <c r="J18" s="35">
        <f t="shared" si="3"/>
        <v>0.026687423207504536</v>
      </c>
      <c r="K18" s="36">
        <f>401.6+42.6</f>
        <v>444.20000000000005</v>
      </c>
      <c r="L18" s="36">
        <f>24.6+56</f>
        <v>80.6</v>
      </c>
      <c r="M18" s="37">
        <f t="shared" si="4"/>
        <v>5.511166253101738</v>
      </c>
      <c r="N18" s="35">
        <f t="shared" si="5"/>
        <v>-0.00021399139481435503</v>
      </c>
      <c r="O18" s="32">
        <v>9237.2</v>
      </c>
      <c r="P18" s="32">
        <v>7117.7</v>
      </c>
      <c r="Q18" s="38">
        <f t="shared" si="6"/>
        <v>0.22945264798856804</v>
      </c>
      <c r="R18" s="39">
        <f t="shared" si="7"/>
        <v>0.8388399347094313</v>
      </c>
      <c r="S18" s="32" t="s">
        <v>50</v>
      </c>
      <c r="T18" s="39">
        <v>1</v>
      </c>
      <c r="U18" s="32">
        <v>5153.8</v>
      </c>
      <c r="V18" s="32">
        <v>2129.7</v>
      </c>
      <c r="W18" s="32">
        <f t="shared" si="8"/>
        <v>2.4199652533220646</v>
      </c>
      <c r="X18" s="39">
        <f t="shared" si="9"/>
        <v>0.7931857666679472</v>
      </c>
      <c r="Y18" s="34">
        <v>1318.8</v>
      </c>
      <c r="Z18" s="34">
        <v>1632.6</v>
      </c>
      <c r="AA18" s="34">
        <f t="shared" si="10"/>
        <v>0.8077912532157295</v>
      </c>
      <c r="AB18" s="40">
        <f t="shared" si="11"/>
        <v>0.004583090126899699</v>
      </c>
      <c r="AC18" s="41" t="s">
        <v>51</v>
      </c>
      <c r="AD18" s="42" t="s">
        <v>52</v>
      </c>
      <c r="AE18" s="43" t="s">
        <v>52</v>
      </c>
      <c r="AF18" s="44" t="s">
        <v>53</v>
      </c>
      <c r="AG18" s="45">
        <v>1</v>
      </c>
      <c r="AH18" s="44" t="s">
        <v>50</v>
      </c>
      <c r="AI18" s="45">
        <v>1</v>
      </c>
      <c r="AJ18" s="44" t="s">
        <v>50</v>
      </c>
      <c r="AK18" s="46">
        <v>1</v>
      </c>
      <c r="AL18" s="47">
        <f t="shared" si="12"/>
        <v>5.753991314226059</v>
      </c>
      <c r="AM18" s="48">
        <f t="shared" si="13"/>
        <v>7.480188708493876</v>
      </c>
      <c r="AN18" s="48">
        <f t="shared" si="14"/>
        <v>4.027793919958241</v>
      </c>
      <c r="AO18" s="4">
        <v>3</v>
      </c>
    </row>
    <row r="19" spans="1:41" ht="15" customHeight="1">
      <c r="A19" s="4"/>
      <c r="B19" s="18" t="s">
        <v>59</v>
      </c>
      <c r="C19" s="32">
        <f>3377.9-182.1</f>
        <v>3195.8</v>
      </c>
      <c r="D19" s="32">
        <v>3312.7</v>
      </c>
      <c r="E19" s="32">
        <f t="shared" si="0"/>
        <v>1.0365792602791162</v>
      </c>
      <c r="F19" s="33">
        <f t="shared" si="1"/>
        <v>0.05225608611302311</v>
      </c>
      <c r="G19" s="34">
        <v>286.1</v>
      </c>
      <c r="H19" s="34">
        <v>27.4</v>
      </c>
      <c r="I19" s="34">
        <f t="shared" si="2"/>
        <v>10.44160583941606</v>
      </c>
      <c r="J19" s="35">
        <f t="shared" si="3"/>
        <v>1.0040394018850543</v>
      </c>
      <c r="K19" s="36">
        <f>102.6+55.7</f>
        <v>158.3</v>
      </c>
      <c r="L19" s="36">
        <f>72+198.7</f>
        <v>270.7</v>
      </c>
      <c r="M19" s="37">
        <f t="shared" si="4"/>
        <v>0.5847801994828223</v>
      </c>
      <c r="N19" s="35">
        <f t="shared" si="5"/>
        <v>0.9037100551407664</v>
      </c>
      <c r="O19" s="32">
        <v>19539.8</v>
      </c>
      <c r="P19" s="32">
        <v>14132.2</v>
      </c>
      <c r="Q19" s="38">
        <f t="shared" si="6"/>
        <v>0.2767479708082989</v>
      </c>
      <c r="R19" s="39">
        <f t="shared" si="7"/>
        <v>0.7744925567234029</v>
      </c>
      <c r="S19" s="32" t="s">
        <v>50</v>
      </c>
      <c r="T19" s="39">
        <v>1</v>
      </c>
      <c r="U19" s="32">
        <v>13062.4</v>
      </c>
      <c r="V19" s="32">
        <v>2908.4</v>
      </c>
      <c r="W19" s="32">
        <f t="shared" si="8"/>
        <v>4.491266675835511</v>
      </c>
      <c r="X19" s="39">
        <f t="shared" si="9"/>
        <v>0.557810605018692</v>
      </c>
      <c r="Y19" s="34">
        <v>2174.6</v>
      </c>
      <c r="Z19" s="34">
        <v>2054.3</v>
      </c>
      <c r="AA19" s="34">
        <f t="shared" si="10"/>
        <v>1.0585600934624932</v>
      </c>
      <c r="AB19" s="40">
        <f t="shared" si="11"/>
        <v>0.152094172624996</v>
      </c>
      <c r="AC19" s="41" t="s">
        <v>51</v>
      </c>
      <c r="AD19" s="42" t="s">
        <v>52</v>
      </c>
      <c r="AE19" s="43" t="s">
        <v>52</v>
      </c>
      <c r="AF19" s="44" t="s">
        <v>53</v>
      </c>
      <c r="AG19" s="45">
        <v>1</v>
      </c>
      <c r="AH19" s="44" t="s">
        <v>50</v>
      </c>
      <c r="AI19" s="45">
        <v>1</v>
      </c>
      <c r="AJ19" s="44" t="s">
        <v>50</v>
      </c>
      <c r="AK19" s="46">
        <v>1</v>
      </c>
      <c r="AL19" s="47">
        <f t="shared" si="12"/>
        <v>7.535311968415026</v>
      </c>
      <c r="AM19" s="48">
        <f t="shared" si="13"/>
        <v>9.795905558939534</v>
      </c>
      <c r="AN19" s="48">
        <f t="shared" si="14"/>
        <v>5.274718377890518</v>
      </c>
      <c r="AO19" s="4">
        <v>1</v>
      </c>
    </row>
    <row r="20" spans="1:41" ht="15" customHeight="1">
      <c r="A20" s="4"/>
      <c r="B20" s="18" t="s">
        <v>60</v>
      </c>
      <c r="C20" s="32">
        <v>566.3</v>
      </c>
      <c r="D20" s="32">
        <v>566.3</v>
      </c>
      <c r="E20" s="32">
        <f t="shared" si="0"/>
        <v>1</v>
      </c>
      <c r="F20" s="33">
        <f t="shared" si="1"/>
        <v>0</v>
      </c>
      <c r="G20" s="34">
        <v>16.5</v>
      </c>
      <c r="H20" s="34">
        <v>142.3</v>
      </c>
      <c r="I20" s="34">
        <f t="shared" si="2"/>
        <v>0.11595221363316935</v>
      </c>
      <c r="J20" s="35">
        <f t="shared" si="3"/>
        <v>0.001548758605162072</v>
      </c>
      <c r="K20" s="36">
        <f>0.1+0.7</f>
        <v>0.7999999999999999</v>
      </c>
      <c r="L20" s="36">
        <f>0.6+1.8</f>
        <v>2.4</v>
      </c>
      <c r="M20" s="37">
        <f t="shared" si="4"/>
        <v>0.3333333333333333</v>
      </c>
      <c r="N20" s="35">
        <f t="shared" si="5"/>
        <v>0.9498470948012232</v>
      </c>
      <c r="O20" s="32">
        <v>3133.7</v>
      </c>
      <c r="P20" s="32">
        <v>2539</v>
      </c>
      <c r="Q20" s="38">
        <f t="shared" si="6"/>
        <v>0.18977566454989306</v>
      </c>
      <c r="R20" s="39">
        <f t="shared" si="7"/>
        <v>0.8928222251021863</v>
      </c>
      <c r="S20" s="32" t="s">
        <v>50</v>
      </c>
      <c r="T20" s="39">
        <v>1</v>
      </c>
      <c r="U20" s="32">
        <v>2224</v>
      </c>
      <c r="V20" s="32">
        <v>448.6</v>
      </c>
      <c r="W20" s="32">
        <f t="shared" si="8"/>
        <v>4.957646009808292</v>
      </c>
      <c r="X20" s="39">
        <f t="shared" si="9"/>
        <v>0.5048129534308758</v>
      </c>
      <c r="Y20" s="34">
        <v>131.7</v>
      </c>
      <c r="Z20" s="34">
        <v>127</v>
      </c>
      <c r="AA20" s="34">
        <f t="shared" si="10"/>
        <v>1.037007874015748</v>
      </c>
      <c r="AB20" s="40">
        <f t="shared" si="11"/>
        <v>0.13941639647985174</v>
      </c>
      <c r="AC20" s="41" t="s">
        <v>51</v>
      </c>
      <c r="AD20" s="42" t="s">
        <v>52</v>
      </c>
      <c r="AE20" s="43" t="s">
        <v>52</v>
      </c>
      <c r="AF20" s="44" t="s">
        <v>53</v>
      </c>
      <c r="AG20" s="45">
        <v>1</v>
      </c>
      <c r="AH20" s="44" t="s">
        <v>50</v>
      </c>
      <c r="AI20" s="45">
        <v>1</v>
      </c>
      <c r="AJ20" s="44" t="s">
        <v>50</v>
      </c>
      <c r="AK20" s="46">
        <v>1</v>
      </c>
      <c r="AL20" s="47">
        <f t="shared" si="12"/>
        <v>6.57935651932839</v>
      </c>
      <c r="AM20" s="48">
        <f t="shared" si="13"/>
        <v>8.553163475126906</v>
      </c>
      <c r="AN20" s="48">
        <f t="shared" si="14"/>
        <v>4.605549563529873</v>
      </c>
      <c r="AO20" s="4">
        <v>2</v>
      </c>
    </row>
    <row r="21" spans="1:41" ht="15" customHeight="1">
      <c r="A21" s="4"/>
      <c r="B21" s="18" t="s">
        <v>61</v>
      </c>
      <c r="C21" s="32">
        <v>624</v>
      </c>
      <c r="D21" s="32">
        <v>630.1</v>
      </c>
      <c r="E21" s="32">
        <f t="shared" si="0"/>
        <v>1.009775641025641</v>
      </c>
      <c r="F21" s="33">
        <f t="shared" si="1"/>
        <v>0.013965201465201575</v>
      </c>
      <c r="G21" s="34">
        <v>7.5</v>
      </c>
      <c r="H21" s="34">
        <v>3</v>
      </c>
      <c r="I21" s="34">
        <f t="shared" si="2"/>
        <v>2.5</v>
      </c>
      <c r="J21" s="35">
        <f t="shared" si="3"/>
        <v>0.23300970873786406</v>
      </c>
      <c r="K21" s="36">
        <f>10.2</f>
        <v>10.2</v>
      </c>
      <c r="L21" s="36">
        <v>0.1</v>
      </c>
      <c r="M21" s="37">
        <v>0</v>
      </c>
      <c r="N21" s="35">
        <f t="shared" si="5"/>
        <v>1.0110091743119265</v>
      </c>
      <c r="O21" s="32">
        <v>3477.4</v>
      </c>
      <c r="P21" s="32">
        <v>2539</v>
      </c>
      <c r="Q21" s="38">
        <f t="shared" si="6"/>
        <v>0.269856789555415</v>
      </c>
      <c r="R21" s="39">
        <f t="shared" si="7"/>
        <v>0.7838683135300476</v>
      </c>
      <c r="S21" s="32" t="s">
        <v>50</v>
      </c>
      <c r="T21" s="39">
        <v>1</v>
      </c>
      <c r="U21" s="32">
        <v>956.6</v>
      </c>
      <c r="V21" s="32">
        <v>514.5</v>
      </c>
      <c r="W21" s="32">
        <f t="shared" si="8"/>
        <v>1.8592808551992226</v>
      </c>
      <c r="X21" s="39">
        <f t="shared" si="9"/>
        <v>0.8568999028182701</v>
      </c>
      <c r="Y21" s="34">
        <v>52</v>
      </c>
      <c r="Z21" s="34">
        <v>21.2</v>
      </c>
      <c r="AA21" s="34">
        <f t="shared" si="10"/>
        <v>2.452830188679245</v>
      </c>
      <c r="AB21" s="40">
        <f t="shared" si="11"/>
        <v>0.9722530521642618</v>
      </c>
      <c r="AC21" s="41" t="s">
        <v>51</v>
      </c>
      <c r="AD21" s="42" t="s">
        <v>52</v>
      </c>
      <c r="AE21" s="43" t="s">
        <v>52</v>
      </c>
      <c r="AF21" s="44" t="s">
        <v>53</v>
      </c>
      <c r="AG21" s="45">
        <v>1</v>
      </c>
      <c r="AH21" s="44" t="s">
        <v>62</v>
      </c>
      <c r="AI21" s="45">
        <v>0</v>
      </c>
      <c r="AJ21" s="44" t="s">
        <v>50</v>
      </c>
      <c r="AK21" s="46">
        <v>1</v>
      </c>
      <c r="AL21" s="47">
        <f t="shared" si="12"/>
        <v>6.961914443936663</v>
      </c>
      <c r="AM21" s="48">
        <f t="shared" si="13"/>
        <v>9.05048877711766</v>
      </c>
      <c r="AN21" s="48">
        <f t="shared" si="14"/>
        <v>4.873340110755664</v>
      </c>
      <c r="AO21" s="4">
        <v>1</v>
      </c>
    </row>
    <row r="22" spans="1:41" ht="15" customHeight="1">
      <c r="A22" s="4"/>
      <c r="B22" s="18" t="s">
        <v>63</v>
      </c>
      <c r="C22" s="32">
        <v>171</v>
      </c>
      <c r="D22" s="32">
        <v>296</v>
      </c>
      <c r="E22" s="32">
        <f t="shared" si="0"/>
        <v>1.7309941520467835</v>
      </c>
      <c r="F22" s="33">
        <f t="shared" si="1"/>
        <v>1.0442773600668336</v>
      </c>
      <c r="G22" s="34">
        <v>100.7</v>
      </c>
      <c r="H22" s="34">
        <v>146.1</v>
      </c>
      <c r="I22" s="34">
        <f t="shared" si="2"/>
        <v>0.6892539356605065</v>
      </c>
      <c r="J22" s="35">
        <f t="shared" si="3"/>
        <v>0.057209119967039465</v>
      </c>
      <c r="K22" s="36">
        <f>1.9+10.7</f>
        <v>12.6</v>
      </c>
      <c r="L22" s="36">
        <f>15.3+30.4</f>
        <v>45.7</v>
      </c>
      <c r="M22" s="37">
        <f t="shared" si="4"/>
        <v>0.27571115973741794</v>
      </c>
      <c r="N22" s="35">
        <f t="shared" si="5"/>
        <v>0.9604199706903819</v>
      </c>
      <c r="O22" s="32">
        <v>19655</v>
      </c>
      <c r="P22" s="32">
        <v>3021.1</v>
      </c>
      <c r="Q22" s="38">
        <f t="shared" si="6"/>
        <v>0.8462935639786314</v>
      </c>
      <c r="R22" s="39">
        <f t="shared" si="7"/>
        <v>-0.0003994067736482318</v>
      </c>
      <c r="S22" s="32" t="s">
        <v>50</v>
      </c>
      <c r="T22" s="39">
        <v>1</v>
      </c>
      <c r="U22" s="32">
        <v>2675.9</v>
      </c>
      <c r="V22" s="32">
        <v>285.3</v>
      </c>
      <c r="W22" s="32">
        <f t="shared" si="8"/>
        <v>9.379249912372941</v>
      </c>
      <c r="X22" s="39">
        <f t="shared" si="9"/>
        <v>0.002357964503074885</v>
      </c>
      <c r="Y22" s="34">
        <v>225.4</v>
      </c>
      <c r="Z22" s="34">
        <v>235.2</v>
      </c>
      <c r="AA22" s="34">
        <f t="shared" si="10"/>
        <v>0.9583333333333334</v>
      </c>
      <c r="AB22" s="40">
        <f t="shared" si="11"/>
        <v>0.09313725490196079</v>
      </c>
      <c r="AC22" s="41" t="s">
        <v>51</v>
      </c>
      <c r="AD22" s="42" t="s">
        <v>52</v>
      </c>
      <c r="AE22" s="43" t="s">
        <v>52</v>
      </c>
      <c r="AF22" s="44" t="s">
        <v>53</v>
      </c>
      <c r="AG22" s="45">
        <v>1</v>
      </c>
      <c r="AH22" s="44" t="s">
        <v>50</v>
      </c>
      <c r="AI22" s="45">
        <v>1</v>
      </c>
      <c r="AJ22" s="44" t="s">
        <v>50</v>
      </c>
      <c r="AK22" s="46">
        <v>1</v>
      </c>
      <c r="AL22" s="47">
        <f t="shared" si="12"/>
        <v>6.247911354264732</v>
      </c>
      <c r="AM22" s="48">
        <f t="shared" si="13"/>
        <v>8.122284760544153</v>
      </c>
      <c r="AN22" s="48">
        <f t="shared" si="14"/>
        <v>4.373537947985312</v>
      </c>
      <c r="AO22" s="4">
        <v>2</v>
      </c>
    </row>
    <row r="23" spans="1:41" ht="15" customHeight="1">
      <c r="A23" s="4"/>
      <c r="B23" s="18" t="s">
        <v>64</v>
      </c>
      <c r="C23" s="32">
        <f>SUM(C13:C22)</f>
        <v>24458.199999999997</v>
      </c>
      <c r="D23" s="32">
        <f>SUM(D13:D22)</f>
        <v>25018.499999999996</v>
      </c>
      <c r="E23" s="32">
        <f t="shared" si="0"/>
        <v>1.0229084724141597</v>
      </c>
      <c r="F23" s="33">
        <f t="shared" si="1"/>
        <v>0.03272638916308532</v>
      </c>
      <c r="G23" s="34">
        <f>SUM(G13:G22)</f>
        <v>1752.5000000000002</v>
      </c>
      <c r="H23" s="34">
        <v>1961.1</v>
      </c>
      <c r="I23" s="34">
        <f t="shared" si="2"/>
        <v>0.8936311253888125</v>
      </c>
      <c r="J23" s="35">
        <f t="shared" si="3"/>
        <v>0.07705156557172936</v>
      </c>
      <c r="K23" s="36">
        <f>SUM(K13:K22)</f>
        <v>1727.8</v>
      </c>
      <c r="L23" s="36">
        <f>SUM(L13:L22)</f>
        <v>3827.2999999999997</v>
      </c>
      <c r="M23" s="37"/>
      <c r="N23" s="35">
        <f t="shared" si="5"/>
        <v>1.0110091743119265</v>
      </c>
      <c r="O23" s="32">
        <f>SUM(O13:O22)</f>
        <v>92573.79999999999</v>
      </c>
      <c r="P23" s="32">
        <f>SUM(P13:P22)</f>
        <v>61434.4</v>
      </c>
      <c r="Q23" s="38">
        <f t="shared" si="6"/>
        <v>0.33637379042450444</v>
      </c>
      <c r="R23" s="39">
        <f t="shared" si="7"/>
        <v>0.6933689926197218</v>
      </c>
      <c r="S23" s="32" t="s">
        <v>50</v>
      </c>
      <c r="T23" s="39">
        <v>1</v>
      </c>
      <c r="U23" s="32">
        <f>SUM(U13:U22)</f>
        <v>41556.6</v>
      </c>
      <c r="V23" s="32">
        <f>SUM(V13:V22)</f>
        <v>21580.2</v>
      </c>
      <c r="W23" s="32">
        <f t="shared" si="8"/>
        <v>1.925681875052131</v>
      </c>
      <c r="X23" s="39">
        <f t="shared" si="9"/>
        <v>0.8493543323804396</v>
      </c>
      <c r="Y23" s="34">
        <f>SUM(Y13:Y22)</f>
        <v>15238.900000000001</v>
      </c>
      <c r="Z23" s="34">
        <v>15003.4</v>
      </c>
      <c r="AA23" s="34">
        <f>Y23/Z23</f>
        <v>1.0156964421397818</v>
      </c>
      <c r="AB23" s="40">
        <f t="shared" si="11"/>
        <v>0.12688026008222458</v>
      </c>
      <c r="AC23" s="41"/>
      <c r="AD23" s="42"/>
      <c r="AE23" s="43"/>
      <c r="AF23" s="44">
        <f>SUM(AF13:AF22)</f>
        <v>0</v>
      </c>
      <c r="AG23" s="45">
        <v>0</v>
      </c>
      <c r="AH23" s="44"/>
      <c r="AI23" s="45"/>
      <c r="AJ23" s="44"/>
      <c r="AK23" s="46"/>
      <c r="AL23" s="47"/>
      <c r="AM23" s="48"/>
      <c r="AN23" s="48"/>
      <c r="AO23" s="4"/>
    </row>
    <row r="24" spans="1:41" ht="15" customHeight="1">
      <c r="A24" s="27"/>
      <c r="B24" s="28" t="s">
        <v>65</v>
      </c>
      <c r="C24" s="49"/>
      <c r="D24" s="49"/>
      <c r="E24" s="49"/>
      <c r="F24" s="50"/>
      <c r="G24" s="49"/>
      <c r="H24" s="49"/>
      <c r="I24" s="49"/>
      <c r="J24" s="51"/>
      <c r="K24" s="52"/>
      <c r="L24" s="52"/>
      <c r="M24" s="53"/>
      <c r="N24" s="5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4"/>
      <c r="AD24" s="54"/>
      <c r="AE24" s="54"/>
      <c r="AF24" s="55"/>
      <c r="AG24" s="56"/>
      <c r="AH24" s="55"/>
      <c r="AI24" s="55"/>
      <c r="AJ24" s="55"/>
      <c r="AK24" s="57"/>
      <c r="AL24" s="57"/>
      <c r="AM24" s="57"/>
      <c r="AN24" s="57"/>
      <c r="AO24" s="57"/>
    </row>
    <row r="25" spans="1:41" ht="15" customHeight="1">
      <c r="A25" s="4"/>
      <c r="B25" s="18" t="s">
        <v>66</v>
      </c>
      <c r="C25" s="32">
        <f>8141.9-265</f>
        <v>7876.9</v>
      </c>
      <c r="D25" s="32">
        <v>7978.1</v>
      </c>
      <c r="E25" s="32">
        <f t="shared" si="0"/>
        <v>1.0128476938897284</v>
      </c>
      <c r="F25" s="33">
        <f>(E25-1)/(1.7-1)</f>
        <v>0.01835384841389771</v>
      </c>
      <c r="G25" s="34">
        <v>599.1</v>
      </c>
      <c r="H25" s="34">
        <v>486.8</v>
      </c>
      <c r="I25" s="34">
        <f t="shared" si="2"/>
        <v>1.2306902218570255</v>
      </c>
      <c r="J25" s="35">
        <f>(I25-0.1)/(10.4-0.1)</f>
        <v>0.10977574969485683</v>
      </c>
      <c r="K25" s="36">
        <f>232.4+42.3</f>
        <v>274.7</v>
      </c>
      <c r="L25" s="36">
        <f>88.4+576.4</f>
        <v>664.8</v>
      </c>
      <c r="M25" s="37">
        <f>K25/L25</f>
        <v>0.4132069795427196</v>
      </c>
      <c r="N25" s="35">
        <f t="shared" si="5"/>
        <v>0.9351913799004183</v>
      </c>
      <c r="O25" s="32">
        <v>26936.6</v>
      </c>
      <c r="P25" s="32">
        <v>20502.9</v>
      </c>
      <c r="Q25" s="38">
        <f t="shared" si="6"/>
        <v>0.2388460310506893</v>
      </c>
      <c r="R25" s="39">
        <f t="shared" si="7"/>
        <v>0.8260598216997423</v>
      </c>
      <c r="S25" s="32" t="s">
        <v>50</v>
      </c>
      <c r="T25" s="39">
        <v>1</v>
      </c>
      <c r="U25" s="32">
        <v>13952</v>
      </c>
      <c r="V25" s="32">
        <v>6540.8</v>
      </c>
      <c r="W25" s="32">
        <f>U25/V25</f>
        <v>2.1330724070450096</v>
      </c>
      <c r="X25" s="39">
        <f t="shared" si="9"/>
        <v>0.825787226472158</v>
      </c>
      <c r="Y25" s="34">
        <v>5067.5</v>
      </c>
      <c r="Z25" s="34">
        <v>4956.2</v>
      </c>
      <c r="AA25" s="34">
        <f>Y25/Z25</f>
        <v>1.0224567208748638</v>
      </c>
      <c r="AB25" s="40">
        <f t="shared" si="11"/>
        <v>0.13085689463227282</v>
      </c>
      <c r="AC25" s="41" t="s">
        <v>51</v>
      </c>
      <c r="AD25" s="42" t="s">
        <v>52</v>
      </c>
      <c r="AE25" s="43" t="s">
        <v>52</v>
      </c>
      <c r="AF25" s="44" t="s">
        <v>53</v>
      </c>
      <c r="AG25" s="45">
        <v>1</v>
      </c>
      <c r="AH25" s="44" t="s">
        <v>50</v>
      </c>
      <c r="AI25" s="45">
        <v>1</v>
      </c>
      <c r="AJ25" s="44" t="s">
        <v>50</v>
      </c>
      <c r="AK25" s="46">
        <v>1</v>
      </c>
      <c r="AL25" s="47">
        <f>F25+J25+N25+R25+T25+X25+AB25+AE25+AG25+AI25+AK25/11</f>
        <v>6.936934011722436</v>
      </c>
      <c r="AM25" s="48">
        <f t="shared" si="13"/>
        <v>9.018014215239166</v>
      </c>
      <c r="AN25" s="48">
        <f t="shared" si="14"/>
        <v>4.855853808205706</v>
      </c>
      <c r="AO25" s="4">
        <v>2</v>
      </c>
    </row>
    <row r="26" spans="1:41" ht="15" customHeight="1">
      <c r="A26" s="4"/>
      <c r="B26" s="18" t="s">
        <v>67</v>
      </c>
      <c r="C26" s="32">
        <f>36438.3-3335.8</f>
        <v>33102.5</v>
      </c>
      <c r="D26" s="32">
        <v>33102.5</v>
      </c>
      <c r="E26" s="32">
        <f t="shared" si="0"/>
        <v>1</v>
      </c>
      <c r="F26" s="33">
        <f>(E26-1)/(1.7-1)</f>
        <v>0</v>
      </c>
      <c r="G26" s="34">
        <v>1194</v>
      </c>
      <c r="H26" s="34">
        <v>1481.3</v>
      </c>
      <c r="I26" s="34">
        <f t="shared" si="2"/>
        <v>0.806048740970769</v>
      </c>
      <c r="J26" s="35">
        <f>(I26-0.1)/(10.4-0.1)</f>
        <v>0.06854842145347272</v>
      </c>
      <c r="K26" s="36">
        <f>1153.6+368.1</f>
        <v>1521.6999999999998</v>
      </c>
      <c r="L26" s="36">
        <f>977.9+2546.1</f>
        <v>3524</v>
      </c>
      <c r="M26" s="37">
        <f>K26/L26</f>
        <v>0.43181044267877405</v>
      </c>
      <c r="N26" s="35">
        <f t="shared" si="5"/>
        <v>0.9317779004259129</v>
      </c>
      <c r="O26" s="32">
        <v>54077.8</v>
      </c>
      <c r="P26" s="32">
        <v>37779.9</v>
      </c>
      <c r="Q26" s="38">
        <f t="shared" si="6"/>
        <v>0.3013787543132302</v>
      </c>
      <c r="R26" s="39">
        <f t="shared" si="7"/>
        <v>0.7409812866486665</v>
      </c>
      <c r="S26" s="32" t="s">
        <v>50</v>
      </c>
      <c r="T26" s="39">
        <v>1</v>
      </c>
      <c r="U26" s="32">
        <v>19318.7</v>
      </c>
      <c r="V26" s="32">
        <v>31476</v>
      </c>
      <c r="W26" s="32">
        <f>U26/V26</f>
        <v>0.6137596899224806</v>
      </c>
      <c r="X26" s="39">
        <f t="shared" si="9"/>
        <v>0.9984363988724454</v>
      </c>
      <c r="Y26" s="34">
        <v>29511.7</v>
      </c>
      <c r="Z26" s="34">
        <v>28319.8</v>
      </c>
      <c r="AA26" s="34">
        <f>Y26/Z26</f>
        <v>1.0420871616324974</v>
      </c>
      <c r="AB26" s="40">
        <f t="shared" si="11"/>
        <v>0.14240421272499842</v>
      </c>
      <c r="AC26" s="41" t="s">
        <v>51</v>
      </c>
      <c r="AD26" s="42" t="s">
        <v>52</v>
      </c>
      <c r="AE26" s="43" t="s">
        <v>52</v>
      </c>
      <c r="AF26" s="44" t="s">
        <v>53</v>
      </c>
      <c r="AG26" s="45">
        <v>1</v>
      </c>
      <c r="AH26" s="44" t="s">
        <v>50</v>
      </c>
      <c r="AI26" s="45">
        <v>1</v>
      </c>
      <c r="AJ26" s="44" t="s">
        <v>50</v>
      </c>
      <c r="AK26" s="46">
        <v>1</v>
      </c>
      <c r="AL26" s="47">
        <f>F26+J26+N26+R26+T26+X26+AB26+AE26+AG26+AI26+AK26/11</f>
        <v>6.973057311034586</v>
      </c>
      <c r="AM26" s="48">
        <f t="shared" si="13"/>
        <v>9.064974504344962</v>
      </c>
      <c r="AN26" s="48">
        <f t="shared" si="14"/>
        <v>4.881140117724211</v>
      </c>
      <c r="AO26" s="4">
        <v>1</v>
      </c>
    </row>
    <row r="27" spans="1:41" ht="15" customHeight="1">
      <c r="A27" s="4"/>
      <c r="B27" s="18" t="s">
        <v>68</v>
      </c>
      <c r="C27" s="32">
        <f>SUM(C25:C26)</f>
        <v>40979.4</v>
      </c>
      <c r="D27" s="32">
        <f>SUM(D25:D26)</f>
        <v>41080.6</v>
      </c>
      <c r="E27" s="32">
        <f t="shared" si="0"/>
        <v>1.0024695334729157</v>
      </c>
      <c r="F27" s="33">
        <f>(E27-1)/(1.7-1)</f>
        <v>0.003527904961308107</v>
      </c>
      <c r="G27" s="34">
        <f>SUM(G25:G26)</f>
        <v>1793.1</v>
      </c>
      <c r="H27" s="34">
        <f>SUM(H25:H26)</f>
        <v>1968.1</v>
      </c>
      <c r="I27" s="34">
        <f t="shared" si="2"/>
        <v>0.9110817539759158</v>
      </c>
      <c r="J27" s="35">
        <f>(I27-0.1)/(10.4-0.1)</f>
        <v>0.07874580135688503</v>
      </c>
      <c r="K27" s="37">
        <f>SUM(K25:K26)</f>
        <v>1796.3999999999999</v>
      </c>
      <c r="L27" s="58">
        <f>SUM(L25:L26)</f>
        <v>4188.8</v>
      </c>
      <c r="M27" s="37">
        <f>K27/L27</f>
        <v>0.4288579067990832</v>
      </c>
      <c r="N27" s="35">
        <f t="shared" si="5"/>
        <v>0.9323196501286086</v>
      </c>
      <c r="O27" s="32">
        <v>33724.8</v>
      </c>
      <c r="P27" s="32">
        <f>SUM(P25:P26)</f>
        <v>58282.8</v>
      </c>
      <c r="Q27" s="38">
        <f t="shared" si="6"/>
        <v>-0.7281881582692854</v>
      </c>
      <c r="R27" s="39">
        <f t="shared" si="7"/>
        <v>2.141752596284742</v>
      </c>
      <c r="S27" s="32" t="s">
        <v>50</v>
      </c>
      <c r="T27" s="39">
        <v>1</v>
      </c>
      <c r="U27" s="32">
        <f>SUM(U25:U26)</f>
        <v>33270.7</v>
      </c>
      <c r="V27" s="32">
        <f>SUM(V25:V26)</f>
        <v>38016.8</v>
      </c>
      <c r="W27" s="32">
        <f>U27/V27</f>
        <v>0.8751578249615958</v>
      </c>
      <c r="X27" s="39">
        <f t="shared" si="9"/>
        <v>0.9687320653452732</v>
      </c>
      <c r="Y27" s="34">
        <f>SUM(Y25:Y26)</f>
        <v>34579.2</v>
      </c>
      <c r="Z27" s="34">
        <f>SUM(Z25:Z26)</f>
        <v>33276</v>
      </c>
      <c r="AA27" s="34">
        <f>Y27/Z27</f>
        <v>1.039163360980887</v>
      </c>
      <c r="AB27" s="40">
        <f t="shared" si="11"/>
        <v>0.14068432998875705</v>
      </c>
      <c r="AC27" s="41">
        <f>SUM(AC25:AC26)</f>
        <v>0</v>
      </c>
      <c r="AD27" s="42"/>
      <c r="AE27" s="43"/>
      <c r="AF27" s="32"/>
      <c r="AG27" s="39"/>
      <c r="AH27" s="32"/>
      <c r="AI27" s="39"/>
      <c r="AJ27" s="32"/>
      <c r="AK27" s="59"/>
      <c r="AL27" s="60"/>
      <c r="AM27" s="4"/>
      <c r="AN27" s="4"/>
      <c r="AO27" s="4"/>
    </row>
    <row r="28" spans="1:41" ht="15.75">
      <c r="A28" s="4"/>
      <c r="B28" s="18" t="s">
        <v>69</v>
      </c>
      <c r="C28" s="32">
        <f>C23+C27</f>
        <v>65437.6</v>
      </c>
      <c r="D28" s="32">
        <f>D23+D27</f>
        <v>66099.09999999999</v>
      </c>
      <c r="E28" s="32">
        <f t="shared" si="0"/>
        <v>1.0101088670733644</v>
      </c>
      <c r="F28" s="33">
        <f>(E28-1)/(1.7-1)</f>
        <v>0.014441238676234926</v>
      </c>
      <c r="G28" s="34">
        <f>G23+G27</f>
        <v>3545.6000000000004</v>
      </c>
      <c r="H28" s="34">
        <f>H23+H27</f>
        <v>3929.2</v>
      </c>
      <c r="I28" s="34">
        <f t="shared" si="2"/>
        <v>0.9023719841189047</v>
      </c>
      <c r="J28" s="35">
        <f>(I28-0.1)/(10.4-0.1)</f>
        <v>0.07790019263290338</v>
      </c>
      <c r="K28" s="37">
        <f>K23+K27</f>
        <v>3524.2</v>
      </c>
      <c r="L28" s="37">
        <f>L23+L27</f>
        <v>8016.1</v>
      </c>
      <c r="M28" s="37">
        <f>K28/L28</f>
        <v>0.43964022404910114</v>
      </c>
      <c r="N28" s="35">
        <f t="shared" si="5"/>
        <v>0.9303412432937429</v>
      </c>
      <c r="O28" s="32">
        <f>O23+O27</f>
        <v>126298.59999999999</v>
      </c>
      <c r="P28" s="32">
        <f>P23+P27</f>
        <v>119717.20000000001</v>
      </c>
      <c r="Q28" s="38">
        <f t="shared" si="6"/>
        <v>0.05210984128090082</v>
      </c>
      <c r="R28" s="39">
        <f t="shared" si="7"/>
        <v>1.0801226649239444</v>
      </c>
      <c r="S28" s="32" t="s">
        <v>50</v>
      </c>
      <c r="T28" s="39">
        <v>1</v>
      </c>
      <c r="U28" s="32">
        <f>U23+U27</f>
        <v>74827.29999999999</v>
      </c>
      <c r="V28" s="32">
        <f>V23+V27</f>
        <v>59597</v>
      </c>
      <c r="W28" s="32">
        <f>U28/V28</f>
        <v>1.2555548098058624</v>
      </c>
      <c r="X28" s="39">
        <f t="shared" si="9"/>
        <v>0.9255051352493336</v>
      </c>
      <c r="Y28" s="32">
        <f>Y23+Y27</f>
        <v>49818.1</v>
      </c>
      <c r="Z28" s="32">
        <f>Z23+Z27</f>
        <v>48279.4</v>
      </c>
      <c r="AA28" s="34">
        <f>Y28/Z28</f>
        <v>1.0318707357589365</v>
      </c>
      <c r="AB28" s="40">
        <f t="shared" si="11"/>
        <v>0.13639455044643323</v>
      </c>
      <c r="AC28" s="41">
        <f>AC23+AC27</f>
        <v>0</v>
      </c>
      <c r="AD28" s="42"/>
      <c r="AE28" s="43"/>
      <c r="AF28" s="32"/>
      <c r="AG28" s="39"/>
      <c r="AH28" s="32"/>
      <c r="AI28" s="39"/>
      <c r="AJ28" s="32"/>
      <c r="AK28" s="59"/>
      <c r="AL28" s="60"/>
      <c r="AM28" s="4"/>
      <c r="AN28" s="4"/>
      <c r="AO28" s="4"/>
    </row>
    <row r="29" spans="3:36" ht="15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3:36" ht="15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</sheetData>
  <sheetProtection/>
  <mergeCells count="51">
    <mergeCell ref="D5:D10"/>
    <mergeCell ref="U4:X4"/>
    <mergeCell ref="B1:T2"/>
    <mergeCell ref="K6:K10"/>
    <mergeCell ref="S5:S10"/>
    <mergeCell ref="T5:T10"/>
    <mergeCell ref="C5:C10"/>
    <mergeCell ref="Q5:Q10"/>
    <mergeCell ref="G5:G10"/>
    <mergeCell ref="F5:F10"/>
    <mergeCell ref="H5:H10"/>
    <mergeCell ref="U5:U10"/>
    <mergeCell ref="O5:O10"/>
    <mergeCell ref="E5:E10"/>
    <mergeCell ref="M5:M10"/>
    <mergeCell ref="P5:P10"/>
    <mergeCell ref="I5:I10"/>
    <mergeCell ref="A3:A10"/>
    <mergeCell ref="B3:B10"/>
    <mergeCell ref="C3:N3"/>
    <mergeCell ref="O3:AB3"/>
    <mergeCell ref="S4:T4"/>
    <mergeCell ref="AN4:AN8"/>
    <mergeCell ref="V5:V10"/>
    <mergeCell ref="AB5:AB8"/>
    <mergeCell ref="W5:W8"/>
    <mergeCell ref="J5:J10"/>
    <mergeCell ref="AC3:AM3"/>
    <mergeCell ref="C4:N4"/>
    <mergeCell ref="X5:X10"/>
    <mergeCell ref="L5:L10"/>
    <mergeCell ref="Y5:Y8"/>
    <mergeCell ref="AA5:AA8"/>
    <mergeCell ref="AK5:AK10"/>
    <mergeCell ref="AF4:AG4"/>
    <mergeCell ref="R5:R10"/>
    <mergeCell ref="AC4:AD4"/>
    <mergeCell ref="AO4:AO8"/>
    <mergeCell ref="AH4:AI4"/>
    <mergeCell ref="AJ4:AK4"/>
    <mergeCell ref="AL4:AL10"/>
    <mergeCell ref="AJ5:AJ10"/>
    <mergeCell ref="AG5:AG10"/>
    <mergeCell ref="AH5:AH10"/>
    <mergeCell ref="AM4:AM10"/>
    <mergeCell ref="O4:R4"/>
    <mergeCell ref="AD5:AD8"/>
    <mergeCell ref="Z5:Z8"/>
    <mergeCell ref="AC5:AC10"/>
    <mergeCell ref="AF5:AF10"/>
    <mergeCell ref="AI5:A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9"/>
  <sheetViews>
    <sheetView tabSelected="1" zoomScalePageLayoutView="0" workbookViewId="0" topLeftCell="B4">
      <pane xSplit="1" topLeftCell="AR1" activePane="topRight" state="frozen"/>
      <selection pane="topLeft" activeCell="B7" sqref="B7"/>
      <selection pane="topRight" activeCell="F25" sqref="F25"/>
    </sheetView>
  </sheetViews>
  <sheetFormatPr defaultColWidth="9.140625" defaultRowHeight="15"/>
  <cols>
    <col min="1" max="1" width="0" style="0" hidden="1" customWidth="1"/>
    <col min="2" max="2" width="36.00390625" style="61" customWidth="1"/>
    <col min="3" max="3" width="15.421875" style="0" customWidth="1"/>
    <col min="4" max="4" width="10.28125" style="0" customWidth="1"/>
    <col min="5" max="5" width="13.28125" style="0" customWidth="1"/>
    <col min="6" max="6" width="12.140625" style="0" customWidth="1"/>
    <col min="7" max="8" width="13.28125" style="0" customWidth="1"/>
    <col min="9" max="9" width="15.140625" style="0" customWidth="1"/>
    <col min="10" max="10" width="14.7109375" style="0" customWidth="1"/>
    <col min="11" max="13" width="13.28125" style="0" customWidth="1"/>
    <col min="14" max="14" width="14.7109375" style="0" customWidth="1"/>
    <col min="15" max="20" width="13.28125" style="0" customWidth="1"/>
    <col min="21" max="21" width="14.00390625" style="0" customWidth="1"/>
    <col min="22" max="22" width="14.8515625" style="0" customWidth="1"/>
    <col min="23" max="23" width="16.00390625" style="0" customWidth="1"/>
    <col min="24" max="24" width="11.140625" style="0" customWidth="1"/>
    <col min="25" max="25" width="12.7109375" style="0" customWidth="1"/>
    <col min="26" max="28" width="11.140625" style="0" customWidth="1"/>
    <col min="29" max="29" width="16.140625" style="0" customWidth="1"/>
    <col min="30" max="30" width="13.28125" style="0" customWidth="1"/>
    <col min="31" max="31" width="15.57421875" style="0" customWidth="1"/>
    <col min="32" max="32" width="10.8515625" style="0" customWidth="1"/>
    <col min="33" max="33" width="13.140625" style="0" customWidth="1"/>
    <col min="34" max="34" width="16.00390625" style="0" customWidth="1"/>
    <col min="35" max="35" width="10.7109375" style="0" customWidth="1"/>
    <col min="36" max="36" width="12.28125" style="0" customWidth="1"/>
    <col min="37" max="37" width="14.140625" style="0" customWidth="1"/>
    <col min="38" max="38" width="14.8515625" style="0" customWidth="1"/>
    <col min="39" max="39" width="14.7109375" style="0" customWidth="1"/>
    <col min="40" max="40" width="12.28125" style="0" customWidth="1"/>
    <col min="41" max="41" width="17.140625" style="0" customWidth="1"/>
    <col min="43" max="43" width="16.57421875" style="0" customWidth="1"/>
    <col min="44" max="44" width="9.57421875" style="0" customWidth="1"/>
    <col min="45" max="45" width="15.57421875" style="0" customWidth="1"/>
    <col min="46" max="46" width="14.8515625" style="0" customWidth="1"/>
    <col min="47" max="47" width="9.57421875" style="0" customWidth="1"/>
    <col min="48" max="48" width="14.28125" style="0" customWidth="1"/>
    <col min="49" max="49" width="10.28125" style="0" customWidth="1"/>
    <col min="50" max="50" width="13.7109375" style="1" customWidth="1"/>
    <col min="51" max="51" width="11.28125" style="0" customWidth="1"/>
    <col min="52" max="52" width="10.8515625" style="0" customWidth="1"/>
    <col min="53" max="53" width="12.140625" style="0" customWidth="1"/>
    <col min="54" max="54" width="16.28125" style="2" customWidth="1"/>
  </cols>
  <sheetData>
    <row r="1" spans="3:53" ht="15" customHeight="1">
      <c r="C1" s="72"/>
      <c r="D1" s="72"/>
      <c r="E1" s="72" t="s">
        <v>143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</row>
    <row r="2" spans="2:50" s="2" customFormat="1" ht="1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8"/>
      <c r="Z2" s="78"/>
      <c r="AA2" s="78"/>
      <c r="AB2" s="78"/>
      <c r="AX2" s="3"/>
    </row>
    <row r="3" spans="1:54" ht="15" customHeight="1">
      <c r="A3" s="182" t="s">
        <v>0</v>
      </c>
      <c r="B3" s="208" t="s">
        <v>1</v>
      </c>
      <c r="C3" s="226" t="s">
        <v>74</v>
      </c>
      <c r="D3" s="226"/>
      <c r="E3" s="226"/>
      <c r="F3" s="226"/>
      <c r="G3" s="226"/>
      <c r="H3" s="226"/>
      <c r="I3" s="226"/>
      <c r="J3" s="226"/>
      <c r="K3" s="226"/>
      <c r="L3" s="226"/>
      <c r="M3" s="230" t="s">
        <v>3</v>
      </c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2"/>
      <c r="AO3" s="229" t="s">
        <v>4</v>
      </c>
      <c r="AP3" s="229"/>
      <c r="AQ3" s="229"/>
      <c r="AR3" s="229"/>
      <c r="AS3" s="229"/>
      <c r="AT3" s="229"/>
      <c r="AU3" s="229"/>
      <c r="AV3" s="229"/>
      <c r="AW3" s="229"/>
      <c r="AX3" s="228"/>
      <c r="AY3" s="228"/>
      <c r="AZ3" s="228"/>
      <c r="BA3" s="228"/>
      <c r="BB3" s="228"/>
    </row>
    <row r="4" spans="1:54" ht="15.75" customHeight="1">
      <c r="A4" s="183"/>
      <c r="B4" s="200"/>
      <c r="C4" s="215" t="s">
        <v>135</v>
      </c>
      <c r="D4" s="218" t="s">
        <v>23</v>
      </c>
      <c r="E4" s="216" t="s">
        <v>76</v>
      </c>
      <c r="F4" s="217" t="s">
        <v>109</v>
      </c>
      <c r="G4" s="216" t="s">
        <v>75</v>
      </c>
      <c r="H4" s="220" t="s">
        <v>19</v>
      </c>
      <c r="I4" s="215" t="s">
        <v>77</v>
      </c>
      <c r="J4" s="215" t="s">
        <v>78</v>
      </c>
      <c r="K4" s="215" t="s">
        <v>79</v>
      </c>
      <c r="L4" s="220" t="s">
        <v>19</v>
      </c>
      <c r="M4" s="212" t="s">
        <v>72</v>
      </c>
      <c r="N4" s="212" t="s">
        <v>73</v>
      </c>
      <c r="O4" s="215" t="s">
        <v>80</v>
      </c>
      <c r="P4" s="218" t="s">
        <v>23</v>
      </c>
      <c r="Q4" s="223" t="s">
        <v>82</v>
      </c>
      <c r="R4" s="223" t="s">
        <v>41</v>
      </c>
      <c r="S4" s="223" t="s">
        <v>83</v>
      </c>
      <c r="T4" s="65"/>
      <c r="U4" s="215" t="s">
        <v>85</v>
      </c>
      <c r="V4" s="215" t="s">
        <v>86</v>
      </c>
      <c r="W4" s="215" t="s">
        <v>87</v>
      </c>
      <c r="X4" s="218" t="s">
        <v>23</v>
      </c>
      <c r="Y4" s="215" t="s">
        <v>88</v>
      </c>
      <c r="Z4" s="215" t="s">
        <v>137</v>
      </c>
      <c r="AA4" s="215" t="s">
        <v>138</v>
      </c>
      <c r="AB4" s="218" t="s">
        <v>23</v>
      </c>
      <c r="AC4" s="221" t="s">
        <v>30</v>
      </c>
      <c r="AD4" s="215" t="s">
        <v>139</v>
      </c>
      <c r="AE4" s="215" t="s">
        <v>90</v>
      </c>
      <c r="AF4" s="218" t="s">
        <v>23</v>
      </c>
      <c r="AG4" s="221" t="s">
        <v>91</v>
      </c>
      <c r="AH4" s="221" t="s">
        <v>92</v>
      </c>
      <c r="AI4" s="215" t="s">
        <v>93</v>
      </c>
      <c r="AJ4" s="218" t="s">
        <v>23</v>
      </c>
      <c r="AK4" s="221" t="s">
        <v>95</v>
      </c>
      <c r="AL4" s="221" t="s">
        <v>96</v>
      </c>
      <c r="AM4" s="215" t="s">
        <v>97</v>
      </c>
      <c r="AN4" s="218" t="s">
        <v>23</v>
      </c>
      <c r="AO4" s="215" t="s">
        <v>99</v>
      </c>
      <c r="AP4" s="233" t="s">
        <v>23</v>
      </c>
      <c r="AQ4" s="221" t="s">
        <v>39</v>
      </c>
      <c r="AR4" s="222" t="s">
        <v>23</v>
      </c>
      <c r="AS4" s="215" t="s">
        <v>101</v>
      </c>
      <c r="AT4" s="215" t="s">
        <v>37</v>
      </c>
      <c r="AU4" s="218" t="s">
        <v>23</v>
      </c>
      <c r="AV4" s="215" t="s">
        <v>108</v>
      </c>
      <c r="AW4" s="218" t="s">
        <v>23</v>
      </c>
      <c r="AX4" s="197" t="s">
        <v>103</v>
      </c>
      <c r="AY4" s="197" t="s">
        <v>104</v>
      </c>
      <c r="AZ4" s="200" t="s">
        <v>105</v>
      </c>
      <c r="BA4" s="200" t="s">
        <v>107</v>
      </c>
      <c r="BB4" s="227" t="s">
        <v>110</v>
      </c>
    </row>
    <row r="5" spans="1:54" ht="15.75" customHeight="1">
      <c r="A5" s="183"/>
      <c r="B5" s="200"/>
      <c r="C5" s="216"/>
      <c r="D5" s="219"/>
      <c r="E5" s="216"/>
      <c r="F5" s="221"/>
      <c r="G5" s="216"/>
      <c r="H5" s="222"/>
      <c r="I5" s="216"/>
      <c r="J5" s="216"/>
      <c r="K5" s="216"/>
      <c r="L5" s="222"/>
      <c r="M5" s="213"/>
      <c r="N5" s="213"/>
      <c r="O5" s="216"/>
      <c r="P5" s="219"/>
      <c r="Q5" s="224"/>
      <c r="R5" s="224"/>
      <c r="S5" s="224"/>
      <c r="T5" s="66"/>
      <c r="U5" s="216"/>
      <c r="V5" s="216"/>
      <c r="W5" s="216"/>
      <c r="X5" s="219"/>
      <c r="Y5" s="216"/>
      <c r="Z5" s="216"/>
      <c r="AA5" s="216"/>
      <c r="AB5" s="219"/>
      <c r="AC5" s="221"/>
      <c r="AD5" s="216"/>
      <c r="AE5" s="216"/>
      <c r="AF5" s="219"/>
      <c r="AG5" s="221"/>
      <c r="AH5" s="221"/>
      <c r="AI5" s="216"/>
      <c r="AJ5" s="219"/>
      <c r="AK5" s="221"/>
      <c r="AL5" s="221"/>
      <c r="AM5" s="216"/>
      <c r="AN5" s="219"/>
      <c r="AO5" s="216"/>
      <c r="AP5" s="234"/>
      <c r="AQ5" s="221"/>
      <c r="AR5" s="222"/>
      <c r="AS5" s="216"/>
      <c r="AT5" s="216"/>
      <c r="AU5" s="219"/>
      <c r="AV5" s="216"/>
      <c r="AW5" s="219"/>
      <c r="AX5" s="197"/>
      <c r="AY5" s="197"/>
      <c r="AZ5" s="200"/>
      <c r="BA5" s="200"/>
      <c r="BB5" s="227"/>
    </row>
    <row r="6" spans="1:54" ht="15" customHeight="1">
      <c r="A6" s="183"/>
      <c r="B6" s="200"/>
      <c r="C6" s="216"/>
      <c r="D6" s="219"/>
      <c r="E6" s="216"/>
      <c r="F6" s="221"/>
      <c r="G6" s="216"/>
      <c r="H6" s="222"/>
      <c r="I6" s="216"/>
      <c r="J6" s="216"/>
      <c r="K6" s="216"/>
      <c r="L6" s="222"/>
      <c r="M6" s="213"/>
      <c r="N6" s="213"/>
      <c r="O6" s="216"/>
      <c r="P6" s="219"/>
      <c r="Q6" s="224"/>
      <c r="R6" s="224"/>
      <c r="S6" s="224"/>
      <c r="T6" s="66"/>
      <c r="U6" s="216"/>
      <c r="V6" s="216"/>
      <c r="W6" s="216"/>
      <c r="X6" s="219"/>
      <c r="Y6" s="216"/>
      <c r="Z6" s="216"/>
      <c r="AA6" s="216"/>
      <c r="AB6" s="219"/>
      <c r="AC6" s="221"/>
      <c r="AD6" s="216"/>
      <c r="AE6" s="216"/>
      <c r="AF6" s="219"/>
      <c r="AG6" s="221"/>
      <c r="AH6" s="221"/>
      <c r="AI6" s="216"/>
      <c r="AJ6" s="219"/>
      <c r="AK6" s="221"/>
      <c r="AL6" s="221"/>
      <c r="AM6" s="216"/>
      <c r="AN6" s="219"/>
      <c r="AO6" s="216"/>
      <c r="AP6" s="234"/>
      <c r="AQ6" s="221"/>
      <c r="AR6" s="222"/>
      <c r="AS6" s="216"/>
      <c r="AT6" s="216"/>
      <c r="AU6" s="219"/>
      <c r="AV6" s="216"/>
      <c r="AW6" s="219"/>
      <c r="AX6" s="197"/>
      <c r="AY6" s="197"/>
      <c r="AZ6" s="200"/>
      <c r="BA6" s="200"/>
      <c r="BB6" s="227"/>
    </row>
    <row r="7" spans="1:54" ht="200.25" customHeight="1">
      <c r="A7" s="183"/>
      <c r="B7" s="200"/>
      <c r="C7" s="216"/>
      <c r="D7" s="219"/>
      <c r="E7" s="216"/>
      <c r="F7" s="221"/>
      <c r="G7" s="216"/>
      <c r="H7" s="222"/>
      <c r="I7" s="216"/>
      <c r="J7" s="216"/>
      <c r="K7" s="216"/>
      <c r="L7" s="222"/>
      <c r="M7" s="213"/>
      <c r="N7" s="213"/>
      <c r="O7" s="216"/>
      <c r="P7" s="219"/>
      <c r="Q7" s="224"/>
      <c r="R7" s="224"/>
      <c r="S7" s="224"/>
      <c r="T7" s="149" t="s">
        <v>23</v>
      </c>
      <c r="U7" s="216"/>
      <c r="V7" s="216"/>
      <c r="W7" s="216"/>
      <c r="X7" s="219"/>
      <c r="Y7" s="216"/>
      <c r="Z7" s="216"/>
      <c r="AA7" s="216"/>
      <c r="AB7" s="219"/>
      <c r="AC7" s="221"/>
      <c r="AD7" s="216"/>
      <c r="AE7" s="217"/>
      <c r="AF7" s="219"/>
      <c r="AG7" s="221"/>
      <c r="AH7" s="221"/>
      <c r="AI7" s="217"/>
      <c r="AJ7" s="219"/>
      <c r="AK7" s="221"/>
      <c r="AL7" s="221"/>
      <c r="AM7" s="217"/>
      <c r="AN7" s="219"/>
      <c r="AO7" s="216"/>
      <c r="AP7" s="234"/>
      <c r="AQ7" s="221"/>
      <c r="AR7" s="222"/>
      <c r="AS7" s="216"/>
      <c r="AT7" s="216"/>
      <c r="AU7" s="219"/>
      <c r="AV7" s="216"/>
      <c r="AW7" s="219"/>
      <c r="AX7" s="197"/>
      <c r="AY7" s="197"/>
      <c r="AZ7" s="201"/>
      <c r="BA7" s="201"/>
      <c r="BB7" s="227"/>
    </row>
    <row r="8" spans="1:54" ht="6.75" customHeight="1" hidden="1">
      <c r="A8" s="183"/>
      <c r="B8" s="200"/>
      <c r="C8" s="216"/>
      <c r="D8" s="219"/>
      <c r="E8" s="216"/>
      <c r="F8" s="221"/>
      <c r="G8" s="216"/>
      <c r="H8" s="222"/>
      <c r="I8" s="74"/>
      <c r="J8" s="74"/>
      <c r="K8" s="74"/>
      <c r="L8" s="222"/>
      <c r="M8" s="213"/>
      <c r="N8" s="213"/>
      <c r="O8" s="216"/>
      <c r="P8" s="219"/>
      <c r="Q8" s="224"/>
      <c r="R8" s="224"/>
      <c r="S8" s="224"/>
      <c r="T8" s="66"/>
      <c r="U8" s="216"/>
      <c r="V8" s="216"/>
      <c r="W8" s="216"/>
      <c r="X8" s="219"/>
      <c r="Y8" s="216"/>
      <c r="Z8" s="216"/>
      <c r="AA8" s="216"/>
      <c r="AB8" s="219"/>
      <c r="AC8" s="221"/>
      <c r="AD8" s="216"/>
      <c r="AE8" s="77"/>
      <c r="AF8" s="219"/>
      <c r="AG8" s="221"/>
      <c r="AH8" s="221"/>
      <c r="AI8" s="77"/>
      <c r="AJ8" s="219"/>
      <c r="AK8" s="221"/>
      <c r="AL8" s="221"/>
      <c r="AM8" s="77"/>
      <c r="AN8" s="219"/>
      <c r="AO8" s="76"/>
      <c r="AP8" s="76"/>
      <c r="AQ8" s="221"/>
      <c r="AR8" s="222"/>
      <c r="AS8" s="216"/>
      <c r="AT8" s="79"/>
      <c r="AU8" s="10"/>
      <c r="AV8" s="216"/>
      <c r="AW8" s="219"/>
      <c r="AX8" s="197"/>
      <c r="AY8" s="197"/>
      <c r="AZ8" s="80"/>
      <c r="BA8" s="14"/>
      <c r="BB8" s="85"/>
    </row>
    <row r="9" spans="1:54" ht="10.5" customHeight="1" hidden="1">
      <c r="A9" s="184"/>
      <c r="B9" s="201"/>
      <c r="C9" s="217"/>
      <c r="D9" s="220"/>
      <c r="E9" s="217"/>
      <c r="F9" s="221"/>
      <c r="G9" s="217"/>
      <c r="H9" s="222"/>
      <c r="I9" s="73"/>
      <c r="J9" s="73"/>
      <c r="K9" s="73"/>
      <c r="L9" s="222"/>
      <c r="M9" s="214"/>
      <c r="N9" s="214"/>
      <c r="O9" s="217"/>
      <c r="P9" s="220"/>
      <c r="Q9" s="225"/>
      <c r="R9" s="225"/>
      <c r="S9" s="225"/>
      <c r="T9" s="64"/>
      <c r="U9" s="217"/>
      <c r="V9" s="217"/>
      <c r="W9" s="217"/>
      <c r="X9" s="220"/>
      <c r="Y9" s="217"/>
      <c r="Z9" s="217"/>
      <c r="AA9" s="217"/>
      <c r="AB9" s="220"/>
      <c r="AC9" s="221"/>
      <c r="AD9" s="217"/>
      <c r="AE9" s="77"/>
      <c r="AF9" s="220"/>
      <c r="AG9" s="221"/>
      <c r="AH9" s="221"/>
      <c r="AI9" s="77"/>
      <c r="AJ9" s="220"/>
      <c r="AK9" s="221"/>
      <c r="AL9" s="221"/>
      <c r="AM9" s="77"/>
      <c r="AN9" s="220"/>
      <c r="AO9" s="75"/>
      <c r="AP9" s="75"/>
      <c r="AQ9" s="221"/>
      <c r="AR9" s="222"/>
      <c r="AS9" s="217"/>
      <c r="AT9" s="79"/>
      <c r="AU9" s="16"/>
      <c r="AV9" s="217"/>
      <c r="AW9" s="220"/>
      <c r="AX9" s="198"/>
      <c r="AY9" s="198"/>
      <c r="AZ9" s="80"/>
      <c r="BA9" s="14"/>
      <c r="BB9" s="85"/>
    </row>
    <row r="10" spans="1:54" s="83" customFormat="1" ht="24.75" customHeight="1">
      <c r="A10" s="81">
        <v>1</v>
      </c>
      <c r="B10" s="81">
        <v>1</v>
      </c>
      <c r="C10" s="102">
        <v>2</v>
      </c>
      <c r="D10" s="102">
        <v>3</v>
      </c>
      <c r="E10" s="102">
        <v>4</v>
      </c>
      <c r="F10" s="102">
        <v>5</v>
      </c>
      <c r="G10" s="103" t="s">
        <v>142</v>
      </c>
      <c r="H10" s="108">
        <v>7</v>
      </c>
      <c r="I10" s="104">
        <v>8</v>
      </c>
      <c r="J10" s="104">
        <v>9</v>
      </c>
      <c r="K10" s="104">
        <v>10</v>
      </c>
      <c r="L10" s="104">
        <v>11</v>
      </c>
      <c r="M10" s="105">
        <v>12</v>
      </c>
      <c r="N10" s="105">
        <v>13</v>
      </c>
      <c r="O10" s="105" t="s">
        <v>81</v>
      </c>
      <c r="P10" s="103">
        <v>15</v>
      </c>
      <c r="Q10" s="103">
        <v>16</v>
      </c>
      <c r="R10" s="103">
        <v>17</v>
      </c>
      <c r="S10" s="103" t="s">
        <v>84</v>
      </c>
      <c r="T10" s="103">
        <v>19</v>
      </c>
      <c r="U10" s="105">
        <v>20</v>
      </c>
      <c r="V10" s="106">
        <v>21</v>
      </c>
      <c r="W10" s="106">
        <v>22</v>
      </c>
      <c r="X10" s="105">
        <v>23</v>
      </c>
      <c r="Y10" s="105">
        <v>24</v>
      </c>
      <c r="Z10" s="105">
        <v>25</v>
      </c>
      <c r="AA10" s="105">
        <v>26</v>
      </c>
      <c r="AB10" s="105">
        <v>27</v>
      </c>
      <c r="AC10" s="103">
        <v>28</v>
      </c>
      <c r="AD10" s="103">
        <v>29</v>
      </c>
      <c r="AE10" s="103" t="s">
        <v>89</v>
      </c>
      <c r="AF10" s="103">
        <v>31</v>
      </c>
      <c r="AG10" s="103">
        <v>32</v>
      </c>
      <c r="AH10" s="103">
        <v>33</v>
      </c>
      <c r="AI10" s="103" t="s">
        <v>94</v>
      </c>
      <c r="AJ10" s="103">
        <v>35</v>
      </c>
      <c r="AK10" s="103">
        <v>36</v>
      </c>
      <c r="AL10" s="103">
        <v>37</v>
      </c>
      <c r="AM10" s="103" t="s">
        <v>98</v>
      </c>
      <c r="AN10" s="103">
        <v>39</v>
      </c>
      <c r="AO10" s="103">
        <v>40</v>
      </c>
      <c r="AP10" s="103">
        <v>41</v>
      </c>
      <c r="AQ10" s="103">
        <v>42</v>
      </c>
      <c r="AR10" s="103">
        <v>43</v>
      </c>
      <c r="AS10" s="103" t="s">
        <v>102</v>
      </c>
      <c r="AT10" s="103">
        <v>45</v>
      </c>
      <c r="AU10" s="103">
        <v>46</v>
      </c>
      <c r="AV10" s="103">
        <v>47</v>
      </c>
      <c r="AW10" s="103">
        <v>48</v>
      </c>
      <c r="AX10" s="82">
        <v>49</v>
      </c>
      <c r="AY10" s="81">
        <v>50</v>
      </c>
      <c r="AZ10" s="81">
        <v>51</v>
      </c>
      <c r="BA10" s="81">
        <v>52</v>
      </c>
      <c r="BB10" s="86">
        <v>53</v>
      </c>
    </row>
    <row r="11" spans="1:54" ht="15" customHeight="1">
      <c r="A11" s="27"/>
      <c r="B11" s="69" t="s">
        <v>71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27"/>
      <c r="R11" s="27"/>
      <c r="S11" s="67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84"/>
      <c r="AY11" s="84"/>
      <c r="AZ11" s="84"/>
      <c r="BA11" s="84"/>
      <c r="BB11" s="87"/>
    </row>
    <row r="12" spans="1:54" ht="15" customHeight="1">
      <c r="A12" s="63"/>
      <c r="B12" s="101" t="s">
        <v>121</v>
      </c>
      <c r="C12" s="115" t="s">
        <v>100</v>
      </c>
      <c r="D12" s="121">
        <v>1</v>
      </c>
      <c r="E12" s="122">
        <v>595.7</v>
      </c>
      <c r="F12" s="122">
        <v>568.6</v>
      </c>
      <c r="G12" s="130">
        <f>(F12-E12)/E12</f>
        <v>-0.045492697666610744</v>
      </c>
      <c r="H12" s="131">
        <f>(G15-G12)/(G15-G25)</f>
        <v>0.8902083717801558</v>
      </c>
      <c r="I12" s="117">
        <v>4864.3</v>
      </c>
      <c r="J12" s="117">
        <v>3920.9</v>
      </c>
      <c r="K12" s="130">
        <f>(I12-J12)/J12</f>
        <v>0.2406080236680354</v>
      </c>
      <c r="L12" s="131">
        <f>(K20-K12)/(K20-K18)</f>
        <v>0.19184848138166002</v>
      </c>
      <c r="M12" s="119">
        <v>550.1</v>
      </c>
      <c r="N12" s="119">
        <v>459.4</v>
      </c>
      <c r="O12" s="127">
        <f>M12/N12</f>
        <v>1.197431432303004</v>
      </c>
      <c r="P12" s="125">
        <f>(O12-O16)/(O25-O16)</f>
        <v>0.09095422174996966</v>
      </c>
      <c r="Q12" s="128">
        <v>26890</v>
      </c>
      <c r="R12" s="128">
        <v>29869.83</v>
      </c>
      <c r="S12" s="129">
        <f>R12-Q12</f>
        <v>2979.8300000000017</v>
      </c>
      <c r="T12" s="125">
        <v>0</v>
      </c>
      <c r="U12" s="126">
        <v>0</v>
      </c>
      <c r="V12" s="117">
        <v>4864.3</v>
      </c>
      <c r="W12" s="127">
        <f>U12/V12</f>
        <v>0</v>
      </c>
      <c r="X12" s="121">
        <v>1</v>
      </c>
      <c r="Y12" s="119">
        <v>0</v>
      </c>
      <c r="Z12" s="119">
        <v>0</v>
      </c>
      <c r="AA12" s="119">
        <v>0</v>
      </c>
      <c r="AB12" s="121">
        <v>1</v>
      </c>
      <c r="AC12" s="119">
        <v>4295.8</v>
      </c>
      <c r="AD12" s="119">
        <f>M12</f>
        <v>550.1</v>
      </c>
      <c r="AE12" s="124">
        <f>AC12/AD12</f>
        <v>7.809125613524814</v>
      </c>
      <c r="AF12" s="121">
        <f>(AE21-AE12)/(AE21-AE16)</f>
        <v>0.9217856772674976</v>
      </c>
      <c r="AG12" s="119">
        <v>0</v>
      </c>
      <c r="AH12" s="119">
        <v>0</v>
      </c>
      <c r="AI12" s="119">
        <v>0</v>
      </c>
      <c r="AJ12" s="121">
        <v>0</v>
      </c>
      <c r="AK12" s="119">
        <v>573.5</v>
      </c>
      <c r="AL12" s="119">
        <v>516.8</v>
      </c>
      <c r="AM12" s="120">
        <f>AK12/AL12</f>
        <v>1.1097136222910218</v>
      </c>
      <c r="AN12" s="121">
        <f>(AM19-AM12)/(AM19-AM25)</f>
        <v>0.6723084537371719</v>
      </c>
      <c r="AO12" s="122" t="s">
        <v>106</v>
      </c>
      <c r="AP12" s="150">
        <v>1</v>
      </c>
      <c r="AQ12" s="115" t="s">
        <v>100</v>
      </c>
      <c r="AR12" s="111">
        <v>1</v>
      </c>
      <c r="AS12" s="112" t="s">
        <v>51</v>
      </c>
      <c r="AT12" s="113" t="s">
        <v>52</v>
      </c>
      <c r="AU12" s="114" t="s">
        <v>52</v>
      </c>
      <c r="AV12" s="115" t="s">
        <v>50</v>
      </c>
      <c r="AW12" s="116">
        <v>1</v>
      </c>
      <c r="AX12" s="117">
        <f>(D12*1)+(H12*1)+(L12*1.5)</f>
        <v>2.177981093852646</v>
      </c>
      <c r="AY12" s="118">
        <f aca="true" t="shared" si="0" ref="AY12:AY25">(P12*2)+(T12*1.4)+(X12*1)+(AB12*2)+(AF12*1)+(AJ12*0.5)+(AN12*0.5)</f>
        <v>4.439848347636023</v>
      </c>
      <c r="AZ12" s="118">
        <f>(AP12*0.5)+(AR12*0.7)+(AU12*0.5)+(AW12*1)</f>
        <v>2.7</v>
      </c>
      <c r="BA12" s="107">
        <f>(AX12*2)+(AY12*2.5)+(AZ12*1)</f>
        <v>18.155583056795347</v>
      </c>
      <c r="BB12" s="110" t="str">
        <f>степень!F7</f>
        <v>III СТЕПЕНЬ</v>
      </c>
    </row>
    <row r="13" spans="1:54" ht="15" customHeight="1">
      <c r="A13" s="63"/>
      <c r="B13" s="101" t="s">
        <v>122</v>
      </c>
      <c r="C13" s="115" t="s">
        <v>100</v>
      </c>
      <c r="D13" s="121">
        <v>1</v>
      </c>
      <c r="E13" s="122">
        <v>315.1</v>
      </c>
      <c r="F13" s="122">
        <v>309.2</v>
      </c>
      <c r="G13" s="130">
        <f>(F13-E13)/E13</f>
        <v>-0.01872421453506834</v>
      </c>
      <c r="H13" s="131">
        <f>(G15-G13)/(G15-G25)</f>
        <v>0.8785013432134102</v>
      </c>
      <c r="I13" s="117">
        <v>4959.5</v>
      </c>
      <c r="J13" s="117">
        <v>4231.7</v>
      </c>
      <c r="K13" s="130">
        <f aca="true" t="shared" si="1" ref="K13:K25">(I13-J13)/J13</f>
        <v>0.17198761726965528</v>
      </c>
      <c r="L13" s="131">
        <f>(K20-K13)/(K20-K18)</f>
        <v>0.3649338211471138</v>
      </c>
      <c r="M13" s="119">
        <v>335.9</v>
      </c>
      <c r="N13" s="119">
        <v>293.4</v>
      </c>
      <c r="O13" s="127">
        <f aca="true" t="shared" si="2" ref="O13:O25">M13/N13</f>
        <v>1.1448534423994547</v>
      </c>
      <c r="P13" s="125">
        <f>(O13-O16)/(O25-O16)</f>
        <v>0.08166104932355908</v>
      </c>
      <c r="Q13" s="128">
        <v>19238.95</v>
      </c>
      <c r="R13" s="128">
        <v>22751.1</v>
      </c>
      <c r="S13" s="129">
        <f aca="true" t="shared" si="3" ref="S13:S25">R13-Q13</f>
        <v>3512.149999999998</v>
      </c>
      <c r="T13" s="125">
        <v>0</v>
      </c>
      <c r="U13" s="126">
        <v>0</v>
      </c>
      <c r="V13" s="117">
        <v>4959.5</v>
      </c>
      <c r="W13" s="127">
        <f aca="true" t="shared" si="4" ref="W13:W25">U13/V13</f>
        <v>0</v>
      </c>
      <c r="X13" s="121">
        <v>1</v>
      </c>
      <c r="Y13" s="119">
        <v>0</v>
      </c>
      <c r="Z13" s="119">
        <v>0</v>
      </c>
      <c r="AA13" s="119">
        <v>0</v>
      </c>
      <c r="AB13" s="121">
        <v>1</v>
      </c>
      <c r="AC13" s="119">
        <v>4650.2</v>
      </c>
      <c r="AD13" s="119">
        <f aca="true" t="shared" si="5" ref="AD13:AD25">M13</f>
        <v>335.9</v>
      </c>
      <c r="AE13" s="124">
        <f aca="true" t="shared" si="6" ref="AE13:AE25">AC13/AD13</f>
        <v>13.844001190830605</v>
      </c>
      <c r="AF13" s="121">
        <f>(AE21-AE13)/(AE21-AE16)</f>
        <v>0.860342485837173</v>
      </c>
      <c r="AG13" s="119">
        <v>0</v>
      </c>
      <c r="AH13" s="119">
        <v>0</v>
      </c>
      <c r="AI13" s="119">
        <v>0</v>
      </c>
      <c r="AJ13" s="121">
        <v>0</v>
      </c>
      <c r="AK13" s="119">
        <v>525.2</v>
      </c>
      <c r="AL13" s="119">
        <v>465.7</v>
      </c>
      <c r="AM13" s="120">
        <f>AK13/AL13</f>
        <v>1.1277646553575265</v>
      </c>
      <c r="AN13" s="121">
        <f>(AM19-AM13)/(AM19-AM25)</f>
        <v>0.6287962983258819</v>
      </c>
      <c r="AO13" s="122" t="s">
        <v>106</v>
      </c>
      <c r="AP13" s="150">
        <v>1</v>
      </c>
      <c r="AQ13" s="115" t="s">
        <v>100</v>
      </c>
      <c r="AR13" s="111">
        <v>1</v>
      </c>
      <c r="AS13" s="112" t="s">
        <v>51</v>
      </c>
      <c r="AT13" s="113" t="s">
        <v>52</v>
      </c>
      <c r="AU13" s="114" t="s">
        <v>52</v>
      </c>
      <c r="AV13" s="115" t="s">
        <v>50</v>
      </c>
      <c r="AW13" s="116">
        <v>1</v>
      </c>
      <c r="AX13" s="117">
        <f aca="true" t="shared" si="7" ref="AX13:AX24">(D13*1)+(H13*1)+(L13*1.5)</f>
        <v>2.425902074934081</v>
      </c>
      <c r="AY13" s="118">
        <f t="shared" si="0"/>
        <v>4.338062733647233</v>
      </c>
      <c r="AZ13" s="118">
        <f aca="true" t="shared" si="8" ref="AZ13:AZ25">(AP13*0.5)+(AR13*0.7)+(AU13*0.5)+(AW13*1)</f>
        <v>2.7</v>
      </c>
      <c r="BA13" s="107">
        <f aca="true" t="shared" si="9" ref="BA13:BA25">(AX13*2)+(AY13*2.5)+(AZ13*1)</f>
        <v>18.396960983986244</v>
      </c>
      <c r="BB13" s="110" t="str">
        <f>степень!F8</f>
        <v>II СТЕПЕНЬ</v>
      </c>
    </row>
    <row r="14" spans="1:54" ht="15" customHeight="1">
      <c r="A14" s="63"/>
      <c r="B14" s="101" t="s">
        <v>123</v>
      </c>
      <c r="C14" s="115" t="s">
        <v>100</v>
      </c>
      <c r="D14" s="121">
        <v>1</v>
      </c>
      <c r="E14" s="122">
        <v>1435.7</v>
      </c>
      <c r="F14" s="122">
        <v>1248.6</v>
      </c>
      <c r="G14" s="130">
        <f aca="true" t="shared" si="10" ref="G14:G25">(F14-E14)/E14</f>
        <v>-0.13031970467367843</v>
      </c>
      <c r="H14" s="131">
        <f>(G15-G14)/(G15-G25)</f>
        <v>0.9273069324039773</v>
      </c>
      <c r="I14" s="117">
        <v>6090.2</v>
      </c>
      <c r="J14" s="117">
        <v>5023</v>
      </c>
      <c r="K14" s="130">
        <f t="shared" si="1"/>
        <v>0.21246267171013336</v>
      </c>
      <c r="L14" s="131">
        <f>(K20-K14)/(K20-K18)</f>
        <v>0.2628411796494271</v>
      </c>
      <c r="M14" s="119">
        <v>1243.3</v>
      </c>
      <c r="N14" s="119">
        <v>1302.2</v>
      </c>
      <c r="O14" s="127">
        <f t="shared" si="2"/>
        <v>0.954768852710797</v>
      </c>
      <c r="P14" s="125">
        <f>(O14-O16)/(O25-O16)</f>
        <v>0.04806355214231069</v>
      </c>
      <c r="Q14" s="128">
        <v>39945.6</v>
      </c>
      <c r="R14" s="128">
        <v>27648.46</v>
      </c>
      <c r="S14" s="129">
        <f t="shared" si="3"/>
        <v>-12297.14</v>
      </c>
      <c r="T14" s="125">
        <v>1</v>
      </c>
      <c r="U14" s="126">
        <v>0</v>
      </c>
      <c r="V14" s="117">
        <v>6090.2</v>
      </c>
      <c r="W14" s="127">
        <f t="shared" si="4"/>
        <v>0</v>
      </c>
      <c r="X14" s="121">
        <v>1</v>
      </c>
      <c r="Y14" s="119">
        <v>0</v>
      </c>
      <c r="Z14" s="119">
        <v>0</v>
      </c>
      <c r="AA14" s="119">
        <v>0</v>
      </c>
      <c r="AB14" s="121">
        <v>1</v>
      </c>
      <c r="AC14" s="119">
        <v>4740.9</v>
      </c>
      <c r="AD14" s="119">
        <f t="shared" si="5"/>
        <v>1243.3</v>
      </c>
      <c r="AE14" s="124">
        <f t="shared" si="6"/>
        <v>3.813158529719295</v>
      </c>
      <c r="AF14" s="121">
        <f>(AE21-AE14)/(AE21-AE16)</f>
        <v>0.9624700240008152</v>
      </c>
      <c r="AG14" s="119">
        <v>0</v>
      </c>
      <c r="AH14" s="119">
        <v>0</v>
      </c>
      <c r="AI14" s="119">
        <v>0</v>
      </c>
      <c r="AJ14" s="121">
        <v>0</v>
      </c>
      <c r="AK14" s="119">
        <v>537.4</v>
      </c>
      <c r="AL14" s="119">
        <v>468.6</v>
      </c>
      <c r="AM14" s="127">
        <f>AK14/AL14</f>
        <v>1.1468203158344001</v>
      </c>
      <c r="AN14" s="121">
        <f>(AM19-AM14)/(AM19-AM25)</f>
        <v>0.5828624807388392</v>
      </c>
      <c r="AO14" s="122" t="s">
        <v>106</v>
      </c>
      <c r="AP14" s="150">
        <v>1</v>
      </c>
      <c r="AQ14" s="115" t="s">
        <v>100</v>
      </c>
      <c r="AR14" s="111">
        <v>1</v>
      </c>
      <c r="AS14" s="112" t="s">
        <v>51</v>
      </c>
      <c r="AT14" s="113" t="s">
        <v>52</v>
      </c>
      <c r="AU14" s="114" t="s">
        <v>52</v>
      </c>
      <c r="AV14" s="115" t="s">
        <v>50</v>
      </c>
      <c r="AW14" s="116">
        <v>1</v>
      </c>
      <c r="AX14" s="117">
        <f t="shared" si="7"/>
        <v>2.321568701878118</v>
      </c>
      <c r="AY14" s="118">
        <f t="shared" si="0"/>
        <v>5.750028368654856</v>
      </c>
      <c r="AZ14" s="118">
        <f t="shared" si="8"/>
        <v>2.7</v>
      </c>
      <c r="BA14" s="107">
        <f t="shared" si="9"/>
        <v>21.718208325393377</v>
      </c>
      <c r="BB14" s="110" t="str">
        <f>степень!F9</f>
        <v>II СТЕПЕНЬ</v>
      </c>
    </row>
    <row r="15" spans="1:54" ht="15" customHeight="1">
      <c r="A15" s="99" t="s">
        <v>121</v>
      </c>
      <c r="B15" s="101" t="s">
        <v>124</v>
      </c>
      <c r="C15" s="115" t="s">
        <v>100</v>
      </c>
      <c r="D15" s="121">
        <v>1</v>
      </c>
      <c r="E15" s="122">
        <v>269.9</v>
      </c>
      <c r="F15" s="122">
        <v>807</v>
      </c>
      <c r="G15" s="123">
        <f t="shared" si="10"/>
        <v>1.9899962949240462</v>
      </c>
      <c r="H15" s="131">
        <f>(G15-G15)/(G15-G25)</f>
        <v>0</v>
      </c>
      <c r="I15" s="117">
        <v>3233.2</v>
      </c>
      <c r="J15" s="117">
        <v>2830.1</v>
      </c>
      <c r="K15" s="130">
        <f t="shared" si="1"/>
        <v>0.1424331295713932</v>
      </c>
      <c r="L15" s="131">
        <f>(K20-K15)/(K20-K18)</f>
        <v>0.4394808664553207</v>
      </c>
      <c r="M15" s="119">
        <v>926.3</v>
      </c>
      <c r="N15" s="119">
        <v>297.8</v>
      </c>
      <c r="O15" s="127">
        <f t="shared" si="2"/>
        <v>3.1104768300873067</v>
      </c>
      <c r="P15" s="125">
        <f>(O15-O16)/(O25-O16)</f>
        <v>0.42908545829540906</v>
      </c>
      <c r="Q15" s="128">
        <v>2073.94</v>
      </c>
      <c r="R15" s="128">
        <v>2303.02</v>
      </c>
      <c r="S15" s="129">
        <f t="shared" si="3"/>
        <v>229.07999999999993</v>
      </c>
      <c r="T15" s="125">
        <v>1</v>
      </c>
      <c r="U15" s="126">
        <v>0</v>
      </c>
      <c r="V15" s="117">
        <v>3233.2</v>
      </c>
      <c r="W15" s="127">
        <f t="shared" si="4"/>
        <v>0</v>
      </c>
      <c r="X15" s="121">
        <v>1</v>
      </c>
      <c r="Y15" s="119">
        <v>0</v>
      </c>
      <c r="Z15" s="119">
        <v>0</v>
      </c>
      <c r="AA15" s="119">
        <v>0</v>
      </c>
      <c r="AB15" s="121">
        <v>1</v>
      </c>
      <c r="AC15" s="119">
        <v>2426.2</v>
      </c>
      <c r="AD15" s="119">
        <f t="shared" si="5"/>
        <v>926.3</v>
      </c>
      <c r="AE15" s="124">
        <f t="shared" si="6"/>
        <v>2.6192378279175212</v>
      </c>
      <c r="AF15" s="121">
        <f>(AE21-AE15)/(AE21-AE16)</f>
        <v>0.9746257507086363</v>
      </c>
      <c r="AG15" s="119">
        <v>0</v>
      </c>
      <c r="AH15" s="119">
        <v>0</v>
      </c>
      <c r="AI15" s="119">
        <v>0</v>
      </c>
      <c r="AJ15" s="121">
        <v>0</v>
      </c>
      <c r="AK15" s="119">
        <v>846.2</v>
      </c>
      <c r="AL15" s="119">
        <v>868.4</v>
      </c>
      <c r="AM15" s="120">
        <f>AK15/AL15</f>
        <v>0.9744357438968219</v>
      </c>
      <c r="AN15" s="121">
        <f>(AM19-AM15)/(AM19-AM25)</f>
        <v>0.9983968303254595</v>
      </c>
      <c r="AO15" s="122" t="s">
        <v>106</v>
      </c>
      <c r="AP15" s="150">
        <v>1</v>
      </c>
      <c r="AQ15" s="115" t="s">
        <v>100</v>
      </c>
      <c r="AR15" s="111">
        <v>1</v>
      </c>
      <c r="AS15" s="112" t="s">
        <v>51</v>
      </c>
      <c r="AT15" s="113" t="s">
        <v>52</v>
      </c>
      <c r="AU15" s="114" t="s">
        <v>52</v>
      </c>
      <c r="AV15" s="115" t="s">
        <v>50</v>
      </c>
      <c r="AW15" s="116">
        <v>1</v>
      </c>
      <c r="AX15" s="117">
        <f t="shared" si="7"/>
        <v>1.6592212996829812</v>
      </c>
      <c r="AY15" s="118">
        <f t="shared" si="0"/>
        <v>6.731995082462184</v>
      </c>
      <c r="AZ15" s="118">
        <f t="shared" si="8"/>
        <v>2.7</v>
      </c>
      <c r="BA15" s="107">
        <f t="shared" si="9"/>
        <v>22.848430305521422</v>
      </c>
      <c r="BB15" s="110" t="str">
        <f>степень!F10</f>
        <v>I СТЕПЕНЬ</v>
      </c>
    </row>
    <row r="16" spans="1:54" ht="15" customHeight="1">
      <c r="A16" s="99"/>
      <c r="B16" s="101" t="s">
        <v>125</v>
      </c>
      <c r="C16" s="115" t="s">
        <v>100</v>
      </c>
      <c r="D16" s="121">
        <v>1</v>
      </c>
      <c r="E16" s="122">
        <v>8269.4</v>
      </c>
      <c r="F16" s="122">
        <v>7154.4</v>
      </c>
      <c r="G16" s="130">
        <f t="shared" si="10"/>
        <v>-0.13483444989962998</v>
      </c>
      <c r="H16" s="131">
        <f>(G15-G16)/(G15-G25)</f>
        <v>0.9292814279729665</v>
      </c>
      <c r="I16" s="117">
        <v>10587.6</v>
      </c>
      <c r="J16" s="117">
        <v>9215.7</v>
      </c>
      <c r="K16" s="130">
        <f t="shared" si="1"/>
        <v>0.14886552296624234</v>
      </c>
      <c r="L16" s="131">
        <f>(K20-K16)/(K20-K18)</f>
        <v>0.4232560573250908</v>
      </c>
      <c r="M16" s="119">
        <v>7450.6</v>
      </c>
      <c r="N16" s="119">
        <v>10911.2</v>
      </c>
      <c r="O16" s="123">
        <f t="shared" si="2"/>
        <v>0.6828396510008065</v>
      </c>
      <c r="P16" s="125">
        <f>(O16-O16)/(O25-O16)</f>
        <v>0</v>
      </c>
      <c r="Q16" s="128">
        <v>166575.78</v>
      </c>
      <c r="R16" s="128">
        <v>241980.6</v>
      </c>
      <c r="S16" s="129">
        <f t="shared" si="3"/>
        <v>75404.82</v>
      </c>
      <c r="T16" s="125">
        <v>0</v>
      </c>
      <c r="U16" s="126">
        <v>0</v>
      </c>
      <c r="V16" s="117">
        <v>10587.6</v>
      </c>
      <c r="W16" s="127">
        <f t="shared" si="4"/>
        <v>0</v>
      </c>
      <c r="X16" s="121">
        <v>1</v>
      </c>
      <c r="Y16" s="119">
        <v>0</v>
      </c>
      <c r="Z16" s="119">
        <v>0</v>
      </c>
      <c r="AA16" s="119">
        <v>0</v>
      </c>
      <c r="AB16" s="121">
        <v>1</v>
      </c>
      <c r="AC16" s="119">
        <v>946.3</v>
      </c>
      <c r="AD16" s="119">
        <f t="shared" si="5"/>
        <v>7450.6</v>
      </c>
      <c r="AE16" s="123">
        <f t="shared" si="6"/>
        <v>0.12700990524253078</v>
      </c>
      <c r="AF16" s="121">
        <f>(AE21-AE16)/(AE21-AE16)</f>
        <v>1</v>
      </c>
      <c r="AG16" s="119">
        <v>0</v>
      </c>
      <c r="AH16" s="119">
        <v>0</v>
      </c>
      <c r="AI16" s="119">
        <v>0</v>
      </c>
      <c r="AJ16" s="121">
        <v>0</v>
      </c>
      <c r="AK16" s="119">
        <v>91.8</v>
      </c>
      <c r="AL16" s="119">
        <v>82</v>
      </c>
      <c r="AM16" s="120">
        <f aca="true" t="shared" si="11" ref="AM16:AM25">AK16/AL16</f>
        <v>1.119512195121951</v>
      </c>
      <c r="AN16" s="121">
        <f>(AM19-AM16)/(AM19-AM25)</f>
        <v>0.648688917821558</v>
      </c>
      <c r="AO16" s="122" t="s">
        <v>106</v>
      </c>
      <c r="AP16" s="150">
        <v>1</v>
      </c>
      <c r="AQ16" s="115" t="s">
        <v>100</v>
      </c>
      <c r="AR16" s="111">
        <v>1</v>
      </c>
      <c r="AS16" s="112" t="s">
        <v>51</v>
      </c>
      <c r="AT16" s="113" t="s">
        <v>51</v>
      </c>
      <c r="AU16" s="114" t="s">
        <v>51</v>
      </c>
      <c r="AV16" s="115" t="s">
        <v>50</v>
      </c>
      <c r="AW16" s="116">
        <v>1</v>
      </c>
      <c r="AX16" s="117">
        <f t="shared" si="7"/>
        <v>2.5641655139606025</v>
      </c>
      <c r="AY16" s="118">
        <f t="shared" si="0"/>
        <v>4.324344458910779</v>
      </c>
      <c r="AZ16" s="118">
        <f t="shared" si="8"/>
        <v>2.2</v>
      </c>
      <c r="BA16" s="107">
        <f t="shared" si="9"/>
        <v>18.13919217519815</v>
      </c>
      <c r="BB16" s="110" t="str">
        <f>степень!F11</f>
        <v>III СТЕПЕНЬ</v>
      </c>
    </row>
    <row r="17" spans="1:54" ht="15" customHeight="1">
      <c r="A17" s="99"/>
      <c r="B17" s="101" t="s">
        <v>126</v>
      </c>
      <c r="C17" s="115" t="s">
        <v>100</v>
      </c>
      <c r="D17" s="121">
        <v>1</v>
      </c>
      <c r="E17" s="122">
        <v>1369.4</v>
      </c>
      <c r="F17" s="122">
        <v>2208.7</v>
      </c>
      <c r="G17" s="130">
        <f t="shared" si="10"/>
        <v>0.6128961589017086</v>
      </c>
      <c r="H17" s="131">
        <f>(G15-G17)/(G15-G25)</f>
        <v>0.602266125893617</v>
      </c>
      <c r="I17" s="117">
        <v>4538</v>
      </c>
      <c r="J17" s="117">
        <v>3836.5</v>
      </c>
      <c r="K17" s="130">
        <f t="shared" si="1"/>
        <v>0.18284895086667535</v>
      </c>
      <c r="L17" s="131">
        <f>(K20-K17)/(K20-K18)</f>
        <v>0.3375376322491341</v>
      </c>
      <c r="M17" s="119">
        <v>2744.9</v>
      </c>
      <c r="N17" s="119">
        <v>2420.6</v>
      </c>
      <c r="O17" s="127">
        <f t="shared" si="2"/>
        <v>1.1339750475088821</v>
      </c>
      <c r="P17" s="125">
        <f>(O17-O16)/(O25-O16)</f>
        <v>0.07973829039675098</v>
      </c>
      <c r="Q17" s="128">
        <v>7998.08</v>
      </c>
      <c r="R17" s="128">
        <v>6731.2</v>
      </c>
      <c r="S17" s="129">
        <f t="shared" si="3"/>
        <v>-1266.88</v>
      </c>
      <c r="T17" s="125">
        <v>1</v>
      </c>
      <c r="U17" s="126">
        <v>0</v>
      </c>
      <c r="V17" s="117">
        <v>4538</v>
      </c>
      <c r="W17" s="127">
        <f t="shared" si="4"/>
        <v>0</v>
      </c>
      <c r="X17" s="121">
        <v>1</v>
      </c>
      <c r="Y17" s="119">
        <v>0</v>
      </c>
      <c r="Z17" s="119">
        <v>0</v>
      </c>
      <c r="AA17" s="119">
        <v>0</v>
      </c>
      <c r="AB17" s="121">
        <v>1</v>
      </c>
      <c r="AC17" s="119">
        <v>2329.3</v>
      </c>
      <c r="AD17" s="119">
        <f t="shared" si="5"/>
        <v>2744.9</v>
      </c>
      <c r="AE17" s="124">
        <f t="shared" si="6"/>
        <v>0.848591934132391</v>
      </c>
      <c r="AF17" s="121">
        <f>(AE21-AE17)/(AE21-AE16)</f>
        <v>0.9926533194983359</v>
      </c>
      <c r="AG17" s="119">
        <v>0</v>
      </c>
      <c r="AH17" s="119">
        <v>0</v>
      </c>
      <c r="AI17" s="119">
        <v>0</v>
      </c>
      <c r="AJ17" s="121">
        <v>0</v>
      </c>
      <c r="AK17" s="119">
        <v>318.5</v>
      </c>
      <c r="AL17" s="119">
        <v>292.3</v>
      </c>
      <c r="AM17" s="120">
        <f t="shared" si="11"/>
        <v>1.0896339377352036</v>
      </c>
      <c r="AN17" s="121">
        <f>(AM19-AM17)/(AM19-AM25)</f>
        <v>0.720710689320225</v>
      </c>
      <c r="AO17" s="122" t="s">
        <v>106</v>
      </c>
      <c r="AP17" s="150">
        <v>1</v>
      </c>
      <c r="AQ17" s="115" t="s">
        <v>100</v>
      </c>
      <c r="AR17" s="111">
        <v>1</v>
      </c>
      <c r="AS17" s="112" t="s">
        <v>51</v>
      </c>
      <c r="AT17" s="113" t="s">
        <v>52</v>
      </c>
      <c r="AU17" s="114" t="s">
        <v>52</v>
      </c>
      <c r="AV17" s="115" t="s">
        <v>50</v>
      </c>
      <c r="AW17" s="116">
        <v>1</v>
      </c>
      <c r="AX17" s="117">
        <f t="shared" si="7"/>
        <v>2.1085725742673183</v>
      </c>
      <c r="AY17" s="118">
        <f t="shared" si="0"/>
        <v>5.9124852449519505</v>
      </c>
      <c r="AZ17" s="118">
        <f t="shared" si="8"/>
        <v>2.7</v>
      </c>
      <c r="BA17" s="107">
        <f t="shared" si="9"/>
        <v>21.698358260914514</v>
      </c>
      <c r="BB17" s="110" t="str">
        <f>степень!F12</f>
        <v>II СТЕПЕНЬ</v>
      </c>
    </row>
    <row r="18" spans="1:54" ht="15" customHeight="1">
      <c r="A18" s="99"/>
      <c r="B18" s="101" t="s">
        <v>127</v>
      </c>
      <c r="C18" s="115" t="s">
        <v>100</v>
      </c>
      <c r="D18" s="121">
        <v>1</v>
      </c>
      <c r="E18" s="122">
        <v>6717.2</v>
      </c>
      <c r="F18" s="122">
        <v>6002.7</v>
      </c>
      <c r="G18" s="130">
        <f t="shared" si="10"/>
        <v>-0.10636872506401478</v>
      </c>
      <c r="H18" s="131">
        <f>(G15-G18)/(G15-G25)</f>
        <v>0.9168321213691498</v>
      </c>
      <c r="I18" s="117">
        <v>6982.3</v>
      </c>
      <c r="J18" s="117">
        <v>7587.7</v>
      </c>
      <c r="K18" s="123">
        <f t="shared" si="1"/>
        <v>-0.07978702373578286</v>
      </c>
      <c r="L18" s="131">
        <f>(K20-K18)/(K20-K18)</f>
        <v>1</v>
      </c>
      <c r="M18" s="119">
        <v>5601.1</v>
      </c>
      <c r="N18" s="119">
        <v>5724.5</v>
      </c>
      <c r="O18" s="127">
        <f t="shared" si="2"/>
        <v>0.9784435321862172</v>
      </c>
      <c r="P18" s="125">
        <f>(O18-O16)/(O25-O16)</f>
        <v>0.05224805746304816</v>
      </c>
      <c r="Q18" s="128">
        <v>59967.75</v>
      </c>
      <c r="R18" s="128">
        <v>61433.15</v>
      </c>
      <c r="S18" s="129">
        <f t="shared" si="3"/>
        <v>1465.4000000000015</v>
      </c>
      <c r="T18" s="125">
        <v>0</v>
      </c>
      <c r="U18" s="126">
        <v>0</v>
      </c>
      <c r="V18" s="117">
        <v>6982.3</v>
      </c>
      <c r="W18" s="127">
        <f t="shared" si="4"/>
        <v>0</v>
      </c>
      <c r="X18" s="121">
        <v>1</v>
      </c>
      <c r="Y18" s="119">
        <v>0</v>
      </c>
      <c r="Z18" s="119">
        <v>0</v>
      </c>
      <c r="AA18" s="119">
        <v>0</v>
      </c>
      <c r="AB18" s="121">
        <v>1</v>
      </c>
      <c r="AC18" s="119">
        <v>979.6</v>
      </c>
      <c r="AD18" s="119">
        <f t="shared" si="5"/>
        <v>5601.1</v>
      </c>
      <c r="AE18" s="127">
        <f t="shared" si="6"/>
        <v>0.17489421720733428</v>
      </c>
      <c r="AF18" s="121">
        <f>(AE21-AE18)/(AE21-AE16)</f>
        <v>0.9995124729733241</v>
      </c>
      <c r="AG18" s="119">
        <v>0</v>
      </c>
      <c r="AH18" s="119">
        <v>0</v>
      </c>
      <c r="AI18" s="119">
        <v>0</v>
      </c>
      <c r="AJ18" s="121">
        <v>0</v>
      </c>
      <c r="AK18" s="119">
        <v>238.9</v>
      </c>
      <c r="AL18" s="119">
        <v>222.4</v>
      </c>
      <c r="AM18" s="127">
        <f t="shared" si="11"/>
        <v>1.0741906474820144</v>
      </c>
      <c r="AN18" s="121">
        <f>(AM19-AM18)/(AM19-AM25)</f>
        <v>0.757936860425375</v>
      </c>
      <c r="AO18" s="122"/>
      <c r="AP18" s="150"/>
      <c r="AQ18" s="115" t="s">
        <v>100</v>
      </c>
      <c r="AR18" s="111">
        <v>0</v>
      </c>
      <c r="AS18" s="112" t="s">
        <v>51</v>
      </c>
      <c r="AT18" s="113" t="s">
        <v>52</v>
      </c>
      <c r="AU18" s="114" t="s">
        <v>52</v>
      </c>
      <c r="AV18" s="115" t="s">
        <v>50</v>
      </c>
      <c r="AW18" s="116">
        <v>1</v>
      </c>
      <c r="AX18" s="117">
        <f t="shared" si="7"/>
        <v>3.4168321213691497</v>
      </c>
      <c r="AY18" s="118">
        <f t="shared" si="0"/>
        <v>4.482977018112107</v>
      </c>
      <c r="AZ18" s="118">
        <f t="shared" si="8"/>
        <v>1.5</v>
      </c>
      <c r="BA18" s="107">
        <f t="shared" si="9"/>
        <v>19.541106788018567</v>
      </c>
      <c r="BB18" s="110" t="str">
        <f>степень!F13</f>
        <v>II СТЕПЕНЬ</v>
      </c>
    </row>
    <row r="19" spans="1:54" ht="15" customHeight="1">
      <c r="A19" s="99"/>
      <c r="B19" s="101" t="s">
        <v>128</v>
      </c>
      <c r="C19" s="115" t="s">
        <v>100</v>
      </c>
      <c r="D19" s="121">
        <v>1</v>
      </c>
      <c r="E19" s="122">
        <v>246.8</v>
      </c>
      <c r="F19" s="122">
        <v>247.5</v>
      </c>
      <c r="G19" s="130">
        <f t="shared" si="10"/>
        <v>0.002836304700162028</v>
      </c>
      <c r="H19" s="131">
        <f>(G15-G19)/(G15-G25)</f>
        <v>0.8690719850626197</v>
      </c>
      <c r="I19" s="117">
        <v>4924.6</v>
      </c>
      <c r="J19" s="117">
        <v>3917.7</v>
      </c>
      <c r="K19" s="130">
        <f t="shared" si="1"/>
        <v>0.257013043367282</v>
      </c>
      <c r="L19" s="131">
        <f>(K20-K19)/(K20-K18)</f>
        <v>0.15046912271073726</v>
      </c>
      <c r="M19" s="119">
        <v>234.8</v>
      </c>
      <c r="N19" s="119">
        <v>214.3</v>
      </c>
      <c r="O19" s="127">
        <f t="shared" si="2"/>
        <v>1.0956602893140457</v>
      </c>
      <c r="P19" s="125">
        <f>(O19-O16)/(O25-O16)</f>
        <v>0.07296614762305384</v>
      </c>
      <c r="Q19" s="128">
        <v>5376.29</v>
      </c>
      <c r="R19" s="128">
        <v>5342.2</v>
      </c>
      <c r="S19" s="129">
        <f t="shared" si="3"/>
        <v>-34.090000000000146</v>
      </c>
      <c r="T19" s="125">
        <v>1</v>
      </c>
      <c r="U19" s="126">
        <v>0</v>
      </c>
      <c r="V19" s="117">
        <v>4924.6</v>
      </c>
      <c r="W19" s="127">
        <f t="shared" si="4"/>
        <v>0</v>
      </c>
      <c r="X19" s="121">
        <v>1</v>
      </c>
      <c r="Y19" s="119">
        <v>0</v>
      </c>
      <c r="Z19" s="119">
        <v>0</v>
      </c>
      <c r="AA19" s="119">
        <v>0</v>
      </c>
      <c r="AB19" s="121">
        <v>1</v>
      </c>
      <c r="AC19" s="119">
        <v>4677.1</v>
      </c>
      <c r="AD19" s="119">
        <f t="shared" si="5"/>
        <v>234.8</v>
      </c>
      <c r="AE19" s="124">
        <f t="shared" si="6"/>
        <v>19.919505962521296</v>
      </c>
      <c r="AF19" s="121">
        <f>(AE21-AE19)/(AE21-AE16)</f>
        <v>0.7984856342847344</v>
      </c>
      <c r="AG19" s="119">
        <v>0</v>
      </c>
      <c r="AH19" s="119">
        <v>0</v>
      </c>
      <c r="AI19" s="119">
        <v>0</v>
      </c>
      <c r="AJ19" s="121">
        <v>0</v>
      </c>
      <c r="AK19" s="119">
        <v>1008</v>
      </c>
      <c r="AL19" s="119">
        <v>725.9</v>
      </c>
      <c r="AM19" s="123">
        <f t="shared" si="11"/>
        <v>1.3886210221793636</v>
      </c>
      <c r="AN19" s="121">
        <f>(AM19-AM19)/(AM19-AM25)</f>
        <v>0</v>
      </c>
      <c r="AO19" s="122" t="s">
        <v>106</v>
      </c>
      <c r="AP19" s="150">
        <v>1</v>
      </c>
      <c r="AQ19" s="115" t="s">
        <v>100</v>
      </c>
      <c r="AR19" s="111">
        <v>1</v>
      </c>
      <c r="AS19" s="112" t="s">
        <v>51</v>
      </c>
      <c r="AT19" s="113" t="s">
        <v>52</v>
      </c>
      <c r="AU19" s="114" t="s">
        <v>52</v>
      </c>
      <c r="AV19" s="115" t="s">
        <v>50</v>
      </c>
      <c r="AW19" s="116">
        <v>1</v>
      </c>
      <c r="AX19" s="117">
        <f t="shared" si="7"/>
        <v>2.0947756691287256</v>
      </c>
      <c r="AY19" s="118">
        <f t="shared" si="0"/>
        <v>5.344417929530842</v>
      </c>
      <c r="AZ19" s="118">
        <f t="shared" si="8"/>
        <v>2.7</v>
      </c>
      <c r="BA19" s="107">
        <f t="shared" si="9"/>
        <v>20.250596162084555</v>
      </c>
      <c r="BB19" s="110" t="str">
        <f>степень!F14</f>
        <v>II СТЕПЕНЬ</v>
      </c>
    </row>
    <row r="20" spans="1:54" ht="15" customHeight="1">
      <c r="A20" s="99"/>
      <c r="B20" s="101" t="s">
        <v>129</v>
      </c>
      <c r="C20" s="115" t="s">
        <v>100</v>
      </c>
      <c r="D20" s="121">
        <v>1</v>
      </c>
      <c r="E20" s="122">
        <v>247.5</v>
      </c>
      <c r="F20" s="122">
        <v>268.8</v>
      </c>
      <c r="G20" s="130">
        <f t="shared" si="10"/>
        <v>0.0860606060606061</v>
      </c>
      <c r="H20" s="131">
        <f>(G15-G20)/(G15-G25)</f>
        <v>0.832674357722799</v>
      </c>
      <c r="I20" s="117">
        <v>4484.7</v>
      </c>
      <c r="J20" s="117">
        <v>3406.1</v>
      </c>
      <c r="K20" s="123">
        <f t="shared" si="1"/>
        <v>0.3166671559848507</v>
      </c>
      <c r="L20" s="131">
        <f>(K20-K20)/(K20-K18)</f>
        <v>0</v>
      </c>
      <c r="M20" s="119">
        <v>290.1</v>
      </c>
      <c r="N20" s="119">
        <v>277.7</v>
      </c>
      <c r="O20" s="127">
        <f t="shared" si="2"/>
        <v>1.0446525027007563</v>
      </c>
      <c r="P20" s="125">
        <f>(O20-O16)/(O25-O16)</f>
        <v>0.06395050900780018</v>
      </c>
      <c r="Q20" s="128">
        <v>24574.61</v>
      </c>
      <c r="R20" s="128">
        <v>28330.6</v>
      </c>
      <c r="S20" s="129">
        <f t="shared" si="3"/>
        <v>3755.989999999998</v>
      </c>
      <c r="T20" s="125">
        <v>0</v>
      </c>
      <c r="U20" s="126">
        <v>0</v>
      </c>
      <c r="V20" s="117">
        <v>4484.7</v>
      </c>
      <c r="W20" s="127">
        <f t="shared" si="4"/>
        <v>0</v>
      </c>
      <c r="X20" s="121">
        <v>1</v>
      </c>
      <c r="Y20" s="119">
        <v>0</v>
      </c>
      <c r="Z20" s="119">
        <v>0</v>
      </c>
      <c r="AA20" s="119">
        <v>0</v>
      </c>
      <c r="AB20" s="121">
        <v>1</v>
      </c>
      <c r="AC20" s="119">
        <v>4215.9</v>
      </c>
      <c r="AD20" s="119">
        <f t="shared" si="5"/>
        <v>290.1</v>
      </c>
      <c r="AE20" s="124">
        <f t="shared" si="6"/>
        <v>14.532574974146844</v>
      </c>
      <c r="AF20" s="121">
        <f>(AE21-AE20)/(AE21-AE16)</f>
        <v>0.8533318738965885</v>
      </c>
      <c r="AG20" s="119">
        <v>0</v>
      </c>
      <c r="AH20" s="119">
        <v>0</v>
      </c>
      <c r="AI20" s="119">
        <v>0</v>
      </c>
      <c r="AJ20" s="121">
        <v>0</v>
      </c>
      <c r="AK20" s="119">
        <v>789.1</v>
      </c>
      <c r="AL20" s="119">
        <v>676.4</v>
      </c>
      <c r="AM20" s="120">
        <f t="shared" si="11"/>
        <v>1.1666173861620344</v>
      </c>
      <c r="AN20" s="121">
        <f>(AM19-AM20)/(AM19-AM25)</f>
        <v>0.5351414889479212</v>
      </c>
      <c r="AO20" s="122" t="s">
        <v>106</v>
      </c>
      <c r="AP20" s="150">
        <v>1</v>
      </c>
      <c r="AQ20" s="115" t="s">
        <v>100</v>
      </c>
      <c r="AR20" s="111">
        <v>1</v>
      </c>
      <c r="AS20" s="112" t="s">
        <v>51</v>
      </c>
      <c r="AT20" s="113" t="s">
        <v>51</v>
      </c>
      <c r="AU20" s="114" t="s">
        <v>51</v>
      </c>
      <c r="AV20" s="115" t="s">
        <v>50</v>
      </c>
      <c r="AW20" s="116">
        <v>1</v>
      </c>
      <c r="AX20" s="117">
        <f t="shared" si="7"/>
        <v>1.8326743577227989</v>
      </c>
      <c r="AY20" s="118">
        <f t="shared" si="0"/>
        <v>4.24880363638615</v>
      </c>
      <c r="AZ20" s="118">
        <f t="shared" si="8"/>
        <v>2.2</v>
      </c>
      <c r="BA20" s="107">
        <f t="shared" si="9"/>
        <v>16.487357806410973</v>
      </c>
      <c r="BB20" s="110" t="str">
        <f>степень!F15</f>
        <v>III СТЕПЕНЬ</v>
      </c>
    </row>
    <row r="21" spans="1:54" ht="15" customHeight="1">
      <c r="A21" s="99"/>
      <c r="B21" s="101" t="s">
        <v>130</v>
      </c>
      <c r="C21" s="115" t="s">
        <v>100</v>
      </c>
      <c r="D21" s="121">
        <v>1</v>
      </c>
      <c r="E21" s="122">
        <v>11.8</v>
      </c>
      <c r="F21" s="122">
        <v>12</v>
      </c>
      <c r="G21" s="130">
        <f t="shared" si="10"/>
        <v>0.01694915254237282</v>
      </c>
      <c r="H21" s="131">
        <f>(G15-G21)/(G15-G25)</f>
        <v>0.8628998193842362</v>
      </c>
      <c r="I21" s="117">
        <v>1065.4</v>
      </c>
      <c r="J21" s="117">
        <v>999.5</v>
      </c>
      <c r="K21" s="145">
        <f t="shared" si="1"/>
        <v>0.0659329664832417</v>
      </c>
      <c r="L21" s="131">
        <f>(K20-K21)/(K20-K18)</f>
        <v>0.6324417860300829</v>
      </c>
      <c r="M21" s="119">
        <v>10.7</v>
      </c>
      <c r="N21" s="119">
        <v>9.4</v>
      </c>
      <c r="O21" s="127">
        <f t="shared" si="2"/>
        <v>1.1382978723404253</v>
      </c>
      <c r="P21" s="125">
        <f>(O21-O16)/(O25-O16)</f>
        <v>0.080502350730788</v>
      </c>
      <c r="Q21" s="128">
        <v>0</v>
      </c>
      <c r="R21" s="128">
        <v>0</v>
      </c>
      <c r="S21" s="129">
        <f t="shared" si="3"/>
        <v>0</v>
      </c>
      <c r="T21" s="125">
        <v>1</v>
      </c>
      <c r="U21" s="126">
        <v>0</v>
      </c>
      <c r="V21" s="117">
        <v>1065.4</v>
      </c>
      <c r="W21" s="127">
        <f t="shared" si="4"/>
        <v>0</v>
      </c>
      <c r="X21" s="121">
        <v>1</v>
      </c>
      <c r="Y21" s="119">
        <v>0</v>
      </c>
      <c r="Z21" s="119">
        <v>0</v>
      </c>
      <c r="AA21" s="119">
        <v>0</v>
      </c>
      <c r="AB21" s="121">
        <v>1</v>
      </c>
      <c r="AC21" s="119">
        <v>1052.3</v>
      </c>
      <c r="AD21" s="119">
        <f t="shared" si="5"/>
        <v>10.7</v>
      </c>
      <c r="AE21" s="123">
        <f t="shared" si="6"/>
        <v>98.34579439252337</v>
      </c>
      <c r="AF21" s="121">
        <f>(AE21-AE21)/(AE21-AE16)</f>
        <v>0</v>
      </c>
      <c r="AG21" s="119">
        <v>0</v>
      </c>
      <c r="AH21" s="119">
        <v>0</v>
      </c>
      <c r="AI21" s="119">
        <v>0</v>
      </c>
      <c r="AJ21" s="121">
        <v>0</v>
      </c>
      <c r="AK21" s="119">
        <v>2023.6</v>
      </c>
      <c r="AL21" s="119">
        <v>1843.7</v>
      </c>
      <c r="AM21" s="127">
        <f t="shared" si="11"/>
        <v>1.0975755274719314</v>
      </c>
      <c r="AN21" s="121">
        <f>(AM19-AM21)/(AM19-AM25)</f>
        <v>0.7015674255765881</v>
      </c>
      <c r="AO21" s="122" t="s">
        <v>106</v>
      </c>
      <c r="AP21" s="150">
        <v>1</v>
      </c>
      <c r="AQ21" s="115" t="s">
        <v>100</v>
      </c>
      <c r="AR21" s="111">
        <v>1</v>
      </c>
      <c r="AS21" s="112" t="s">
        <v>51</v>
      </c>
      <c r="AT21" s="113" t="s">
        <v>52</v>
      </c>
      <c r="AU21" s="114" t="s">
        <v>52</v>
      </c>
      <c r="AV21" s="115" t="s">
        <v>50</v>
      </c>
      <c r="AW21" s="116">
        <v>1</v>
      </c>
      <c r="AX21" s="117">
        <f t="shared" si="7"/>
        <v>2.8115624984293603</v>
      </c>
      <c r="AY21" s="118">
        <f t="shared" si="0"/>
        <v>4.91178841424987</v>
      </c>
      <c r="AZ21" s="118">
        <f t="shared" si="8"/>
        <v>2.7</v>
      </c>
      <c r="BA21" s="107">
        <f t="shared" si="9"/>
        <v>20.602596032483394</v>
      </c>
      <c r="BB21" s="110" t="str">
        <f>степень!F16</f>
        <v>II СТЕПЕНЬ</v>
      </c>
    </row>
    <row r="22" spans="1:54" ht="15" customHeight="1">
      <c r="A22" s="99" t="s">
        <v>122</v>
      </c>
      <c r="B22" s="101" t="s">
        <v>131</v>
      </c>
      <c r="C22" s="115" t="s">
        <v>100</v>
      </c>
      <c r="D22" s="121">
        <v>1</v>
      </c>
      <c r="E22" s="122">
        <v>308</v>
      </c>
      <c r="F22" s="122">
        <v>235.7</v>
      </c>
      <c r="G22" s="130">
        <f t="shared" si="10"/>
        <v>-0.23474025974025978</v>
      </c>
      <c r="H22" s="131">
        <f>(G15-G22)/(G15-G25)</f>
        <v>0.9729746086451995</v>
      </c>
      <c r="I22" s="117">
        <v>4375.4</v>
      </c>
      <c r="J22" s="117">
        <v>3562</v>
      </c>
      <c r="K22" s="130">
        <f t="shared" si="1"/>
        <v>0.22835485682201</v>
      </c>
      <c r="L22" s="131">
        <f>(K20-K22)/(K20-K18)</f>
        <v>0.22275537421517674</v>
      </c>
      <c r="M22" s="119">
        <v>232.6</v>
      </c>
      <c r="N22" s="119">
        <v>272.9</v>
      </c>
      <c r="O22" s="127">
        <f t="shared" si="2"/>
        <v>0.8523268596555515</v>
      </c>
      <c r="P22" s="125">
        <f>(O22-O16)/(O25-O16)</f>
        <v>0.029956905103997684</v>
      </c>
      <c r="Q22" s="128">
        <v>2650</v>
      </c>
      <c r="R22" s="128">
        <v>5670.08</v>
      </c>
      <c r="S22" s="129">
        <f t="shared" si="3"/>
        <v>3020.08</v>
      </c>
      <c r="T22" s="125">
        <v>1</v>
      </c>
      <c r="U22" s="126">
        <v>0</v>
      </c>
      <c r="V22" s="117">
        <v>4375.4</v>
      </c>
      <c r="W22" s="127">
        <f t="shared" si="4"/>
        <v>0</v>
      </c>
      <c r="X22" s="121">
        <v>1</v>
      </c>
      <c r="Y22" s="119">
        <v>0</v>
      </c>
      <c r="Z22" s="119">
        <v>0</v>
      </c>
      <c r="AA22" s="119">
        <v>0</v>
      </c>
      <c r="AB22" s="121">
        <v>1</v>
      </c>
      <c r="AC22" s="119">
        <v>4139.8</v>
      </c>
      <c r="AD22" s="119">
        <f t="shared" si="5"/>
        <v>232.6</v>
      </c>
      <c r="AE22" s="124">
        <f t="shared" si="6"/>
        <v>17.79793637145314</v>
      </c>
      <c r="AF22" s="121">
        <f>(AE21-AE22)/(AE21-AE16)</f>
        <v>0.820086080697741</v>
      </c>
      <c r="AG22" s="119">
        <v>0</v>
      </c>
      <c r="AH22" s="119">
        <v>0</v>
      </c>
      <c r="AI22" s="119">
        <v>0</v>
      </c>
      <c r="AJ22" s="121">
        <v>0</v>
      </c>
      <c r="AK22" s="119">
        <v>1040.6</v>
      </c>
      <c r="AL22" s="119">
        <v>916</v>
      </c>
      <c r="AM22" s="120">
        <f>AK22/AL22</f>
        <v>1.1360262008733624</v>
      </c>
      <c r="AN22" s="121">
        <f>(AM19-AM22)/(AM19-AM25)</f>
        <v>0.6088817786915713</v>
      </c>
      <c r="AO22" s="122" t="s">
        <v>106</v>
      </c>
      <c r="AP22" s="150">
        <v>1</v>
      </c>
      <c r="AQ22" s="115" t="s">
        <v>100</v>
      </c>
      <c r="AR22" s="111">
        <v>1</v>
      </c>
      <c r="AS22" s="112" t="s">
        <v>51</v>
      </c>
      <c r="AT22" s="113" t="s">
        <v>52</v>
      </c>
      <c r="AU22" s="114" t="s">
        <v>52</v>
      </c>
      <c r="AV22" s="115" t="s">
        <v>50</v>
      </c>
      <c r="AW22" s="116">
        <v>1</v>
      </c>
      <c r="AX22" s="117">
        <f t="shared" si="7"/>
        <v>2.3071076699679645</v>
      </c>
      <c r="AY22" s="118">
        <f t="shared" si="0"/>
        <v>5.584440780251522</v>
      </c>
      <c r="AZ22" s="118">
        <f t="shared" si="8"/>
        <v>2.7</v>
      </c>
      <c r="BA22" s="107">
        <f t="shared" si="9"/>
        <v>21.275317290564733</v>
      </c>
      <c r="BB22" s="110" t="str">
        <f>степень!F17</f>
        <v>II СТЕПЕНЬ</v>
      </c>
    </row>
    <row r="23" spans="1:54" ht="15" customHeight="1">
      <c r="A23" s="99" t="s">
        <v>123</v>
      </c>
      <c r="B23" s="101" t="s">
        <v>132</v>
      </c>
      <c r="C23" s="115" t="s">
        <v>100</v>
      </c>
      <c r="D23" s="121">
        <v>1</v>
      </c>
      <c r="E23" s="122">
        <v>321</v>
      </c>
      <c r="F23" s="122">
        <v>320.1</v>
      </c>
      <c r="G23" s="130">
        <f t="shared" si="10"/>
        <v>-0.0028037383177569384</v>
      </c>
      <c r="H23" s="131">
        <f>(G15-G23)/(G15-G25)</f>
        <v>0.8715386225782379</v>
      </c>
      <c r="I23" s="117">
        <v>4007.6</v>
      </c>
      <c r="J23" s="117">
        <v>3205.9</v>
      </c>
      <c r="K23" s="145">
        <f t="shared" si="1"/>
        <v>0.25007018309990947</v>
      </c>
      <c r="L23" s="131">
        <f>(K20-K23)/(K20-K18)</f>
        <v>0.1679815128494032</v>
      </c>
      <c r="M23" s="119">
        <v>294.9</v>
      </c>
      <c r="N23" s="119">
        <v>296.2</v>
      </c>
      <c r="O23" s="127">
        <f t="shared" si="2"/>
        <v>0.9956110735989196</v>
      </c>
      <c r="P23" s="125">
        <f>(O23-O16)/(O25-O16)</f>
        <v>0.055282424558071294</v>
      </c>
      <c r="Q23" s="128">
        <v>56163.99</v>
      </c>
      <c r="R23" s="128">
        <v>14092.93</v>
      </c>
      <c r="S23" s="129">
        <f t="shared" si="3"/>
        <v>-42071.06</v>
      </c>
      <c r="T23" s="125">
        <v>0</v>
      </c>
      <c r="U23" s="126">
        <v>0</v>
      </c>
      <c r="V23" s="117">
        <v>4007.6</v>
      </c>
      <c r="W23" s="127">
        <f t="shared" si="4"/>
        <v>0</v>
      </c>
      <c r="X23" s="121">
        <v>1</v>
      </c>
      <c r="Y23" s="119">
        <v>0</v>
      </c>
      <c r="Z23" s="119">
        <v>0</v>
      </c>
      <c r="AA23" s="119">
        <v>0</v>
      </c>
      <c r="AB23" s="121">
        <v>1</v>
      </c>
      <c r="AC23" s="119">
        <v>3622.7</v>
      </c>
      <c r="AD23" s="119">
        <f t="shared" si="5"/>
        <v>294.9</v>
      </c>
      <c r="AE23" s="124">
        <f t="shared" si="6"/>
        <v>12.284503221430993</v>
      </c>
      <c r="AF23" s="121">
        <f>(AE21-AE23)/(AE21-AE16)</f>
        <v>0.876220283323066</v>
      </c>
      <c r="AG23" s="119">
        <v>0</v>
      </c>
      <c r="AH23" s="119">
        <v>0</v>
      </c>
      <c r="AI23" s="119">
        <v>0</v>
      </c>
      <c r="AJ23" s="121">
        <v>0</v>
      </c>
      <c r="AK23" s="119">
        <v>606</v>
      </c>
      <c r="AL23" s="119">
        <v>538.2</v>
      </c>
      <c r="AM23" s="127">
        <f t="shared" si="11"/>
        <v>1.1259754738015606</v>
      </c>
      <c r="AN23" s="121">
        <f>(AM19-AM23)/(AM19-AM25)</f>
        <v>0.6331091343633195</v>
      </c>
      <c r="AO23" s="122" t="s">
        <v>106</v>
      </c>
      <c r="AP23" s="150">
        <v>1</v>
      </c>
      <c r="AQ23" s="115" t="s">
        <v>100</v>
      </c>
      <c r="AR23" s="111">
        <v>1</v>
      </c>
      <c r="AS23" s="112" t="s">
        <v>51</v>
      </c>
      <c r="AT23" s="113" t="s">
        <v>51</v>
      </c>
      <c r="AU23" s="114" t="s">
        <v>51</v>
      </c>
      <c r="AV23" s="115" t="s">
        <v>50</v>
      </c>
      <c r="AW23" s="116">
        <v>1</v>
      </c>
      <c r="AX23" s="117">
        <f t="shared" si="7"/>
        <v>2.1235108918523427</v>
      </c>
      <c r="AY23" s="118">
        <f t="shared" si="0"/>
        <v>4.303339699620868</v>
      </c>
      <c r="AZ23" s="118">
        <f t="shared" si="8"/>
        <v>2.2</v>
      </c>
      <c r="BA23" s="107">
        <f t="shared" si="9"/>
        <v>17.205371032756855</v>
      </c>
      <c r="BB23" s="110" t="str">
        <f>степень!F18</f>
        <v>III СТЕПЕНЬ</v>
      </c>
    </row>
    <row r="24" spans="1:54" ht="15" customHeight="1">
      <c r="A24" s="99" t="s">
        <v>124</v>
      </c>
      <c r="B24" s="101" t="s">
        <v>133</v>
      </c>
      <c r="C24" s="115" t="s">
        <v>100</v>
      </c>
      <c r="D24" s="121">
        <v>1</v>
      </c>
      <c r="E24" s="122">
        <v>1578</v>
      </c>
      <c r="F24" s="122">
        <v>2739.9</v>
      </c>
      <c r="G24" s="130">
        <f t="shared" si="10"/>
        <v>0.7363117870722434</v>
      </c>
      <c r="H24" s="131">
        <f>(G15-G24)/(G15-G25)</f>
        <v>0.5482910733112465</v>
      </c>
      <c r="I24" s="117">
        <f>5305.8</f>
        <v>5305.8</v>
      </c>
      <c r="J24" s="117">
        <v>4165.9</v>
      </c>
      <c r="K24" s="130">
        <f t="shared" si="1"/>
        <v>0.27362634724789375</v>
      </c>
      <c r="L24" s="131">
        <f>(K20-K24)/(K20-K18)</f>
        <v>0.1085643964386658</v>
      </c>
      <c r="M24" s="122">
        <f>2739.9</f>
        <v>2739.9</v>
      </c>
      <c r="N24" s="119">
        <v>2147.2</v>
      </c>
      <c r="O24" s="127">
        <f t="shared" si="2"/>
        <v>1.2760339046199702</v>
      </c>
      <c r="P24" s="125">
        <f>(O24-O16)/(O25-O16)</f>
        <v>0.10484722773448375</v>
      </c>
      <c r="Q24" s="128">
        <v>14602.46</v>
      </c>
      <c r="R24" s="128">
        <v>50166.25</v>
      </c>
      <c r="S24" s="129">
        <f t="shared" si="3"/>
        <v>35563.79</v>
      </c>
      <c r="T24" s="125">
        <v>1</v>
      </c>
      <c r="U24" s="126">
        <v>0</v>
      </c>
      <c r="V24" s="117">
        <v>5305.8</v>
      </c>
      <c r="W24" s="127">
        <f t="shared" si="4"/>
        <v>0</v>
      </c>
      <c r="X24" s="121">
        <v>1</v>
      </c>
      <c r="Y24" s="119">
        <v>0</v>
      </c>
      <c r="Z24" s="119">
        <v>0</v>
      </c>
      <c r="AA24" s="119">
        <v>0</v>
      </c>
      <c r="AB24" s="121">
        <v>1</v>
      </c>
      <c r="AC24" s="119">
        <v>2617.5</v>
      </c>
      <c r="AD24" s="119">
        <f t="shared" si="5"/>
        <v>2739.9</v>
      </c>
      <c r="AE24" s="124">
        <f t="shared" si="6"/>
        <v>0.9553268367458666</v>
      </c>
      <c r="AF24" s="121">
        <f>(AE21-AE24)/(AE21-AE16)</f>
        <v>0.9915666139035695</v>
      </c>
      <c r="AG24" s="119">
        <v>0</v>
      </c>
      <c r="AH24" s="119">
        <v>0</v>
      </c>
      <c r="AI24" s="119">
        <v>0</v>
      </c>
      <c r="AJ24" s="121">
        <v>0</v>
      </c>
      <c r="AK24" s="119">
        <v>526.9</v>
      </c>
      <c r="AL24" s="119">
        <v>488.8</v>
      </c>
      <c r="AM24" s="127">
        <f t="shared" si="11"/>
        <v>1.0779459901800326</v>
      </c>
      <c r="AN24" s="121">
        <f>(AM19-AM24)/(AM19-AM25)</f>
        <v>0.7488845776836173</v>
      </c>
      <c r="AO24" s="122" t="s">
        <v>106</v>
      </c>
      <c r="AP24" s="150">
        <v>1</v>
      </c>
      <c r="AQ24" s="115" t="s">
        <v>100</v>
      </c>
      <c r="AR24" s="111">
        <v>1</v>
      </c>
      <c r="AS24" s="112" t="s">
        <v>51</v>
      </c>
      <c r="AT24" s="113" t="s">
        <v>52</v>
      </c>
      <c r="AU24" s="114" t="s">
        <v>52</v>
      </c>
      <c r="AV24" s="115" t="s">
        <v>50</v>
      </c>
      <c r="AW24" s="116">
        <v>1</v>
      </c>
      <c r="AX24" s="117">
        <f>(D24*1)+(H24*1)+(L24*1.5)</f>
        <v>1.7111376679692452</v>
      </c>
      <c r="AY24" s="118">
        <f>(P24*2)+(T24*1.4)+(X24*1)+(AB24*2)+(AF24*1)+(AJ24*0.5)+(AN24*0.5)</f>
        <v>5.9757033582143455</v>
      </c>
      <c r="AZ24" s="118">
        <f>(AP24*0.5)+(AR24*0.7)+(AU24*0.5)+(AW24*1)</f>
        <v>2.7</v>
      </c>
      <c r="BA24" s="107">
        <f t="shared" si="9"/>
        <v>21.061533731474352</v>
      </c>
      <c r="BB24" s="110" t="str">
        <f>степень!F19</f>
        <v>II СТЕПЕНЬ</v>
      </c>
    </row>
    <row r="25" spans="1:54" ht="15" customHeight="1">
      <c r="A25" s="100" t="s">
        <v>125</v>
      </c>
      <c r="B25" s="101" t="s">
        <v>134</v>
      </c>
      <c r="C25" s="115" t="s">
        <v>100</v>
      </c>
      <c r="D25" s="121">
        <v>1</v>
      </c>
      <c r="E25" s="122">
        <v>606</v>
      </c>
      <c r="F25" s="122">
        <v>426.3</v>
      </c>
      <c r="G25" s="123">
        <f t="shared" si="10"/>
        <v>-0.2965346534653465</v>
      </c>
      <c r="H25" s="131">
        <f>(G15-G25)/(G15-G25)</f>
        <v>1</v>
      </c>
      <c r="I25" s="117">
        <v>3844.6</v>
      </c>
      <c r="J25" s="117">
        <v>3179.3</v>
      </c>
      <c r="K25" s="130">
        <f t="shared" si="1"/>
        <v>0.20925989997798247</v>
      </c>
      <c r="L25" s="131">
        <f>(K20-K25)/(K20-K18)</f>
        <v>0.27091972162471356</v>
      </c>
      <c r="M25" s="119">
        <v>586.5</v>
      </c>
      <c r="N25" s="119">
        <v>92.5</v>
      </c>
      <c r="O25" s="123">
        <f t="shared" si="2"/>
        <v>6.34054054054054</v>
      </c>
      <c r="P25" s="125">
        <f>(O25-O16)/(O25-O16)</f>
        <v>1</v>
      </c>
      <c r="Q25" s="128">
        <v>5567.16</v>
      </c>
      <c r="R25" s="128">
        <v>3990</v>
      </c>
      <c r="S25" s="129">
        <f t="shared" si="3"/>
        <v>-1577.1599999999999</v>
      </c>
      <c r="T25" s="125">
        <v>1</v>
      </c>
      <c r="U25" s="126">
        <v>0</v>
      </c>
      <c r="V25" s="117">
        <v>3844.6</v>
      </c>
      <c r="W25" s="127">
        <f t="shared" si="4"/>
        <v>0</v>
      </c>
      <c r="X25" s="121">
        <v>1</v>
      </c>
      <c r="Y25" s="119">
        <v>0</v>
      </c>
      <c r="Z25" s="119">
        <v>0</v>
      </c>
      <c r="AA25" s="119">
        <v>0</v>
      </c>
      <c r="AB25" s="121">
        <v>1</v>
      </c>
      <c r="AC25" s="119">
        <v>3418.3</v>
      </c>
      <c r="AD25" s="119">
        <f t="shared" si="5"/>
        <v>586.5</v>
      </c>
      <c r="AE25" s="124">
        <f t="shared" si="6"/>
        <v>5.828303495311168</v>
      </c>
      <c r="AF25" s="121">
        <f>(AE21-AE25)/(AE21-AE16)</f>
        <v>0.94195312414188</v>
      </c>
      <c r="AG25" s="119">
        <v>0</v>
      </c>
      <c r="AH25" s="119">
        <v>0</v>
      </c>
      <c r="AI25" s="119">
        <v>0</v>
      </c>
      <c r="AJ25" s="121">
        <v>0</v>
      </c>
      <c r="AK25" s="119">
        <v>1808</v>
      </c>
      <c r="AL25" s="119">
        <v>1856.7</v>
      </c>
      <c r="AM25" s="151">
        <f t="shared" si="11"/>
        <v>0.9737706683901546</v>
      </c>
      <c r="AN25" s="121">
        <f>(AM19-AM25)/(AM19-AM25)</f>
        <v>1</v>
      </c>
      <c r="AO25" s="122" t="s">
        <v>106</v>
      </c>
      <c r="AP25" s="150">
        <v>1</v>
      </c>
      <c r="AQ25" s="115" t="s">
        <v>100</v>
      </c>
      <c r="AR25" s="111">
        <v>1</v>
      </c>
      <c r="AS25" s="112" t="s">
        <v>51</v>
      </c>
      <c r="AT25" s="113" t="s">
        <v>52</v>
      </c>
      <c r="AU25" s="114" t="s">
        <v>52</v>
      </c>
      <c r="AV25" s="115" t="s">
        <v>50</v>
      </c>
      <c r="AW25" s="116">
        <v>1</v>
      </c>
      <c r="AX25" s="117">
        <f>(D25*1)+(H25*1)+(L25*1.5)</f>
        <v>2.4063795824370704</v>
      </c>
      <c r="AY25" s="118">
        <f t="shared" si="0"/>
        <v>7.84195312414188</v>
      </c>
      <c r="AZ25" s="118">
        <f t="shared" si="8"/>
        <v>2.7</v>
      </c>
      <c r="BA25" s="107">
        <f t="shared" si="9"/>
        <v>27.11764197522884</v>
      </c>
      <c r="BB25" s="110" t="str">
        <f>степень!F20</f>
        <v>I СТЕПЕНЬ</v>
      </c>
    </row>
    <row r="26" spans="1:48" ht="76.5">
      <c r="A26" s="99" t="s">
        <v>131</v>
      </c>
      <c r="C26" s="62"/>
      <c r="D26" s="62"/>
      <c r="E26" s="62"/>
      <c r="F26" s="62"/>
      <c r="G26" s="62"/>
      <c r="H26" s="144"/>
      <c r="I26" s="62"/>
      <c r="J26" s="62"/>
      <c r="K26" s="62"/>
      <c r="L26" s="144"/>
      <c r="M26" s="70"/>
      <c r="N26" s="62"/>
      <c r="O26" s="62"/>
      <c r="P26" s="144"/>
      <c r="Q26" s="70"/>
      <c r="R26" s="70"/>
      <c r="S26" s="62"/>
      <c r="T26" s="144"/>
      <c r="U26" s="62" t="s">
        <v>136</v>
      </c>
      <c r="V26" s="62"/>
      <c r="W26" s="62"/>
      <c r="X26" s="144"/>
      <c r="Y26" s="62"/>
      <c r="Z26" s="62"/>
      <c r="AA26" s="62"/>
      <c r="AB26" s="144"/>
      <c r="AC26" s="146" t="s">
        <v>141</v>
      </c>
      <c r="AD26" s="146" t="s">
        <v>140</v>
      </c>
      <c r="AE26" s="62"/>
      <c r="AF26" s="147"/>
      <c r="AG26" s="62" t="s">
        <v>144</v>
      </c>
      <c r="AH26" s="62"/>
      <c r="AI26" s="62"/>
      <c r="AJ26" s="62"/>
      <c r="AK26" s="70"/>
      <c r="AL26" s="62"/>
      <c r="AM26" s="62"/>
      <c r="AN26" s="70"/>
      <c r="AO26" s="70"/>
      <c r="AP26" s="62"/>
      <c r="AQ26" s="62"/>
      <c r="AR26" s="62"/>
      <c r="AS26" s="62"/>
      <c r="AT26" s="62"/>
      <c r="AU26" s="62"/>
      <c r="AV26" s="62"/>
    </row>
    <row r="27" spans="1:48" ht="63.75">
      <c r="A27" s="99" t="s">
        <v>132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</row>
    <row r="28" spans="1:50" ht="63.75">
      <c r="A28" s="99" t="s">
        <v>133</v>
      </c>
      <c r="AW28" s="1"/>
      <c r="AX28"/>
    </row>
    <row r="29" ht="19.5" customHeight="1">
      <c r="A29" s="99" t="s">
        <v>134</v>
      </c>
    </row>
  </sheetData>
  <sheetProtection/>
  <autoFilter ref="A11:BB11"/>
  <mergeCells count="57">
    <mergeCell ref="AX3:BB3"/>
    <mergeCell ref="AO3:AW3"/>
    <mergeCell ref="M3:AN3"/>
    <mergeCell ref="AO4:AO7"/>
    <mergeCell ref="AP4:AP7"/>
    <mergeCell ref="AK4:AK9"/>
    <mergeCell ref="AL4:AL9"/>
    <mergeCell ref="N4:N9"/>
    <mergeCell ref="O4:O9"/>
    <mergeCell ref="P4:P9"/>
    <mergeCell ref="Q4:Q9"/>
    <mergeCell ref="AC4:AC9"/>
    <mergeCell ref="AD4:AD9"/>
    <mergeCell ref="AE4:AE7"/>
    <mergeCell ref="Z4:Z9"/>
    <mergeCell ref="AA4:AA9"/>
    <mergeCell ref="AB4:AB9"/>
    <mergeCell ref="AF4:AF9"/>
    <mergeCell ref="BB4:BB7"/>
    <mergeCell ref="AM4:AM7"/>
    <mergeCell ref="AN4:AN9"/>
    <mergeCell ref="AU4:AU7"/>
    <mergeCell ref="AH4:AH9"/>
    <mergeCell ref="AG4:AG9"/>
    <mergeCell ref="AI4:AI7"/>
    <mergeCell ref="AS4:AS9"/>
    <mergeCell ref="AT4:AT7"/>
    <mergeCell ref="K4:K7"/>
    <mergeCell ref="V4:V9"/>
    <mergeCell ref="W4:W9"/>
    <mergeCell ref="X4:X9"/>
    <mergeCell ref="Y4:Y9"/>
    <mergeCell ref="C3:L3"/>
    <mergeCell ref="L4:L9"/>
    <mergeCell ref="C4:C9"/>
    <mergeCell ref="D4:D9"/>
    <mergeCell ref="I4:I7"/>
    <mergeCell ref="J4:J7"/>
    <mergeCell ref="A3:A9"/>
    <mergeCell ref="B3:B9"/>
    <mergeCell ref="S4:S9"/>
    <mergeCell ref="U4:U9"/>
    <mergeCell ref="R4:R9"/>
    <mergeCell ref="E4:E9"/>
    <mergeCell ref="F4:F9"/>
    <mergeCell ref="G4:G9"/>
    <mergeCell ref="H4:H9"/>
    <mergeCell ref="M4:M9"/>
    <mergeCell ref="BA4:BA7"/>
    <mergeCell ref="AX4:AX9"/>
    <mergeCell ref="AV4:AV9"/>
    <mergeCell ref="AW4:AW9"/>
    <mergeCell ref="AZ4:AZ7"/>
    <mergeCell ref="AY4:AY9"/>
    <mergeCell ref="AQ4:AQ9"/>
    <mergeCell ref="AR4:AR9"/>
    <mergeCell ref="AJ4:AJ9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18" sqref="K18"/>
    </sheetView>
  </sheetViews>
  <sheetFormatPr defaultColWidth="8.8515625" defaultRowHeight="15"/>
  <cols>
    <col min="1" max="1" width="5.8515625" style="88" customWidth="1"/>
    <col min="2" max="2" width="31.00390625" style="92" customWidth="1"/>
    <col min="3" max="3" width="15.140625" style="91" customWidth="1"/>
    <col min="4" max="4" width="14.57421875" style="91" customWidth="1"/>
    <col min="5" max="5" width="13.00390625" style="89" hidden="1" customWidth="1"/>
    <col min="6" max="6" width="14.8515625" style="89" customWidth="1"/>
    <col min="7" max="16384" width="8.8515625" style="89" customWidth="1"/>
  </cols>
  <sheetData>
    <row r="1" spans="2:5" ht="15">
      <c r="B1" s="235" t="s">
        <v>111</v>
      </c>
      <c r="C1" s="236"/>
      <c r="D1" s="236"/>
      <c r="E1" s="236"/>
    </row>
    <row r="2" spans="2:9" ht="15.75">
      <c r="B2" s="90" t="s">
        <v>145</v>
      </c>
      <c r="I2" s="89">
        <v>2020</v>
      </c>
    </row>
    <row r="4" spans="1:6" s="93" customFormat="1" ht="15">
      <c r="A4" s="237" t="s">
        <v>114</v>
      </c>
      <c r="B4" s="239" t="s">
        <v>115</v>
      </c>
      <c r="C4" s="143" t="s">
        <v>112</v>
      </c>
      <c r="D4" s="143" t="s">
        <v>112</v>
      </c>
      <c r="E4" s="94" t="s">
        <v>113</v>
      </c>
      <c r="F4" s="94"/>
    </row>
    <row r="5" spans="1:6" s="95" customFormat="1" ht="76.5">
      <c r="A5" s="238"/>
      <c r="B5" s="237"/>
      <c r="C5" s="143" t="s">
        <v>116</v>
      </c>
      <c r="D5" s="143" t="s">
        <v>117</v>
      </c>
      <c r="E5" s="132" t="s">
        <v>118</v>
      </c>
      <c r="F5" s="133" t="s">
        <v>119</v>
      </c>
    </row>
    <row r="6" spans="1:6" s="97" customFormat="1" ht="11.25">
      <c r="A6" s="134">
        <v>1</v>
      </c>
      <c r="B6" s="135">
        <v>2</v>
      </c>
      <c r="C6" s="136">
        <v>3</v>
      </c>
      <c r="D6" s="136">
        <v>4</v>
      </c>
      <c r="E6" s="96"/>
      <c r="F6" s="96">
        <v>5</v>
      </c>
    </row>
    <row r="7" spans="1:9" ht="15.75">
      <c r="A7" s="137">
        <v>1</v>
      </c>
      <c r="B7" s="139" t="s">
        <v>121</v>
      </c>
      <c r="C7" s="140">
        <f>оценка!BA12</f>
        <v>18.155583056795347</v>
      </c>
      <c r="D7" s="109"/>
      <c r="E7" s="141" t="str">
        <f>IF(AND($C7&gt;=0,$C7&lt;AVERAGE($C$7:$C$18)-2/3*STDEV($C$7:$C$18)),"III СТЕПЕНЬ",IF(AND($C7&gt;=AVERAGE($C$7:$C$18)-2/3*STDEV($C$7:$C$18),$C7&lt;=AVERAGE($C$7:$C$18)+2/3*STDEV($C$7:$C$18)),"II СТЕПЕНЬ",IF(AND($C7&lt;=100,$C7&gt;=AVERAGE($C$7:$C$18)+2/3*STDEV($C$7:$C$18)),"I СТЕПЕНЬ",0)))</f>
        <v>III СТЕПЕНЬ</v>
      </c>
      <c r="F7" s="148" t="str">
        <f>IF(AND($C7&gt;=0,$C7&lt;AVERAGE($C$7:$C$21)-3/4*STDEV($C$7:$C$21)),"III СТЕПЕНЬ",IF(AND($C7&gt;=AVERAGE($C$7:$C$21)-3/4*STDEV($C$7:$C$21),$C7&lt;=AVERAGE($C$7:$C$21)+3/4*STDEV($C$7:$C$21)),"II СТЕПЕНЬ",IF(AND($C7&lt;=100,$C7&gt;=AVERAGE($C$7:$C$21)+3/4*STDEV($C$7:$C$21)),"I СТЕПЕНЬ",0)))</f>
        <v>III СТЕПЕНЬ</v>
      </c>
      <c r="I7" s="89">
        <v>3</v>
      </c>
    </row>
    <row r="8" spans="1:9" ht="15.75">
      <c r="A8" s="137">
        <v>2</v>
      </c>
      <c r="B8" s="139" t="s">
        <v>122</v>
      </c>
      <c r="C8" s="140">
        <f>оценка!BA13</f>
        <v>18.396960983986244</v>
      </c>
      <c r="D8" s="109"/>
      <c r="E8" s="141" t="str">
        <f aca="true" t="shared" si="0" ref="E8:E18">IF(AND($C8&gt;=0,$C8&lt;AVERAGE($C$7:$C$18)-2/3*STDEV($C$7:$C$18)),"III СТЕПЕНЬ",IF(AND($C8&gt;=AVERAGE($C$7:$C$18)-2/3*STDEV($C$7:$C$18),$C8&lt;=AVERAGE($C$7:$C$18)+2/3*STDEV($C$7:$C$18)),"II СТЕПЕНЬ",IF(AND($C8&lt;=100,$C8&gt;=AVERAGE($C$7:$C$18)+2/3*STDEV($C$7:$C$18)),"I СТЕПЕНЬ",0)))</f>
        <v>II СТЕПЕНЬ</v>
      </c>
      <c r="F8" s="148" t="str">
        <f aca="true" t="shared" si="1" ref="F8:F20">IF(AND($C8&gt;=0,$C8&lt;AVERAGE($C$7:$C$21)-3/4*STDEV($C$7:$C$21)),"III СТЕПЕНЬ",IF(AND($C8&gt;=AVERAGE($C$7:$C$21)-3/4*STDEV($C$7:$C$21),$C8&lt;=AVERAGE($C$7:$C$21)+3/4*STDEV($C$7:$C$21)),"II СТЕПЕНЬ",IF(AND($C8&lt;=100,$C8&gt;=AVERAGE($C$7:$C$21)+3/4*STDEV($C$7:$C$21)),"I СТЕПЕНЬ",0)))</f>
        <v>II СТЕПЕНЬ</v>
      </c>
      <c r="I8" s="89">
        <v>2</v>
      </c>
    </row>
    <row r="9" spans="1:9" ht="25.5">
      <c r="A9" s="137">
        <v>3</v>
      </c>
      <c r="B9" s="139" t="s">
        <v>123</v>
      </c>
      <c r="C9" s="140">
        <f>оценка!BA14</f>
        <v>21.718208325393377</v>
      </c>
      <c r="D9" s="109"/>
      <c r="E9" s="141" t="str">
        <f t="shared" si="0"/>
        <v>I СТЕПЕНЬ</v>
      </c>
      <c r="F9" s="148" t="str">
        <f t="shared" si="1"/>
        <v>II СТЕПЕНЬ</v>
      </c>
      <c r="I9" s="89">
        <v>2</v>
      </c>
    </row>
    <row r="10" spans="1:9" ht="15.75">
      <c r="A10" s="137">
        <v>4</v>
      </c>
      <c r="B10" s="139" t="s">
        <v>124</v>
      </c>
      <c r="C10" s="140">
        <f>оценка!BA15</f>
        <v>22.848430305521422</v>
      </c>
      <c r="D10" s="109"/>
      <c r="E10" s="141" t="str">
        <f t="shared" si="0"/>
        <v>I СТЕПЕНЬ</v>
      </c>
      <c r="F10" s="148" t="str">
        <f t="shared" si="1"/>
        <v>I СТЕПЕНЬ</v>
      </c>
      <c r="I10" s="89">
        <v>1</v>
      </c>
    </row>
    <row r="11" spans="1:9" ht="15.75">
      <c r="A11" s="137">
        <v>5</v>
      </c>
      <c r="B11" s="139" t="s">
        <v>125</v>
      </c>
      <c r="C11" s="140">
        <f>оценка!BA16</f>
        <v>18.13919217519815</v>
      </c>
      <c r="D11" s="109"/>
      <c r="E11" s="141" t="str">
        <f t="shared" si="0"/>
        <v>III СТЕПЕНЬ</v>
      </c>
      <c r="F11" s="148" t="str">
        <f t="shared" si="1"/>
        <v>III СТЕПЕНЬ</v>
      </c>
      <c r="I11" s="89">
        <v>2</v>
      </c>
    </row>
    <row r="12" spans="1:9" ht="15.75">
      <c r="A12" s="137">
        <v>6</v>
      </c>
      <c r="B12" s="139" t="s">
        <v>126</v>
      </c>
      <c r="C12" s="140">
        <f>оценка!BA17</f>
        <v>21.698358260914514</v>
      </c>
      <c r="D12" s="109"/>
      <c r="E12" s="141" t="str">
        <f t="shared" si="0"/>
        <v>I СТЕПЕНЬ</v>
      </c>
      <c r="F12" s="148" t="str">
        <f t="shared" si="1"/>
        <v>II СТЕПЕНЬ</v>
      </c>
      <c r="I12" s="89">
        <v>3</v>
      </c>
    </row>
    <row r="13" spans="1:9" ht="15.75">
      <c r="A13" s="137">
        <v>7</v>
      </c>
      <c r="B13" s="139" t="s">
        <v>127</v>
      </c>
      <c r="C13" s="140">
        <f>оценка!BA18</f>
        <v>19.541106788018567</v>
      </c>
      <c r="D13" s="109"/>
      <c r="E13" s="141" t="str">
        <f t="shared" si="0"/>
        <v>II СТЕПЕНЬ</v>
      </c>
      <c r="F13" s="148" t="str">
        <f t="shared" si="1"/>
        <v>II СТЕПЕНЬ</v>
      </c>
      <c r="I13" s="89">
        <v>2</v>
      </c>
    </row>
    <row r="14" spans="1:9" ht="25.5">
      <c r="A14" s="137">
        <v>8</v>
      </c>
      <c r="B14" s="139" t="s">
        <v>128</v>
      </c>
      <c r="C14" s="140">
        <f>оценка!BA19</f>
        <v>20.250596162084555</v>
      </c>
      <c r="D14" s="109"/>
      <c r="E14" s="141" t="str">
        <f t="shared" si="0"/>
        <v>II СТЕПЕНЬ</v>
      </c>
      <c r="F14" s="148" t="str">
        <f t="shared" si="1"/>
        <v>II СТЕПЕНЬ</v>
      </c>
      <c r="I14" s="89">
        <v>2</v>
      </c>
    </row>
    <row r="15" spans="1:9" ht="15.75">
      <c r="A15" s="137">
        <v>9</v>
      </c>
      <c r="B15" s="139" t="s">
        <v>129</v>
      </c>
      <c r="C15" s="140">
        <f>оценка!BA20</f>
        <v>16.487357806410973</v>
      </c>
      <c r="D15" s="109"/>
      <c r="E15" s="141" t="str">
        <f t="shared" si="0"/>
        <v>III СТЕПЕНЬ</v>
      </c>
      <c r="F15" s="148" t="str">
        <f t="shared" si="1"/>
        <v>III СТЕПЕНЬ</v>
      </c>
      <c r="I15" s="89">
        <v>2</v>
      </c>
    </row>
    <row r="16" spans="1:9" ht="25.5">
      <c r="A16" s="137">
        <v>10</v>
      </c>
      <c r="B16" s="139" t="s">
        <v>130</v>
      </c>
      <c r="C16" s="140">
        <f>оценка!BA21</f>
        <v>20.602596032483394</v>
      </c>
      <c r="D16" s="109"/>
      <c r="E16" s="141" t="str">
        <f t="shared" si="0"/>
        <v>II СТЕПЕНЬ</v>
      </c>
      <c r="F16" s="148" t="str">
        <f t="shared" si="1"/>
        <v>II СТЕПЕНЬ</v>
      </c>
      <c r="I16" s="89">
        <v>3</v>
      </c>
    </row>
    <row r="17" spans="1:9" ht="25.5">
      <c r="A17" s="137">
        <v>11</v>
      </c>
      <c r="B17" s="139" t="s">
        <v>131</v>
      </c>
      <c r="C17" s="140">
        <f>оценка!BA22</f>
        <v>21.275317290564733</v>
      </c>
      <c r="D17" s="109"/>
      <c r="E17" s="141" t="str">
        <f t="shared" si="0"/>
        <v>I СТЕПЕНЬ</v>
      </c>
      <c r="F17" s="148" t="str">
        <f t="shared" si="1"/>
        <v>II СТЕПЕНЬ</v>
      </c>
      <c r="I17" s="89">
        <v>2</v>
      </c>
    </row>
    <row r="18" spans="1:9" ht="25.5">
      <c r="A18" s="137">
        <v>12</v>
      </c>
      <c r="B18" s="139" t="s">
        <v>132</v>
      </c>
      <c r="C18" s="140">
        <f>оценка!BA23</f>
        <v>17.205371032756855</v>
      </c>
      <c r="D18" s="109"/>
      <c r="E18" s="141" t="str">
        <f t="shared" si="0"/>
        <v>III СТЕПЕНЬ</v>
      </c>
      <c r="F18" s="148" t="str">
        <f t="shared" si="1"/>
        <v>III СТЕПЕНЬ</v>
      </c>
      <c r="I18" s="89">
        <v>2</v>
      </c>
    </row>
    <row r="19" spans="1:9" ht="25.5">
      <c r="A19" s="137">
        <v>13</v>
      </c>
      <c r="B19" s="139" t="s">
        <v>133</v>
      </c>
      <c r="C19" s="140">
        <f>оценка!BA24</f>
        <v>21.061533731474352</v>
      </c>
      <c r="D19" s="109"/>
      <c r="E19" s="141"/>
      <c r="F19" s="148" t="str">
        <f t="shared" si="1"/>
        <v>II СТЕПЕНЬ</v>
      </c>
      <c r="I19" s="89">
        <v>2</v>
      </c>
    </row>
    <row r="20" spans="1:9" ht="25.5">
      <c r="A20" s="137">
        <v>14</v>
      </c>
      <c r="B20" s="139" t="s">
        <v>134</v>
      </c>
      <c r="C20" s="140">
        <f>оценка!BA25</f>
        <v>27.11764197522884</v>
      </c>
      <c r="D20" s="109"/>
      <c r="E20" s="141"/>
      <c r="F20" s="148" t="str">
        <f t="shared" si="1"/>
        <v>I СТЕПЕНЬ</v>
      </c>
      <c r="I20" s="89">
        <v>2</v>
      </c>
    </row>
    <row r="21" spans="1:6" ht="15">
      <c r="A21" s="137"/>
      <c r="B21" s="142"/>
      <c r="C21" s="138">
        <f>(C7+C8+C9+C10+C11+C12+C13+C14+C15+C16+C17+C18+C19+C20)/14</f>
        <v>20.32130385191652</v>
      </c>
      <c r="D21" s="109" t="s">
        <v>120</v>
      </c>
      <c r="E21" s="141"/>
      <c r="F21" s="141"/>
    </row>
    <row r="22" ht="15">
      <c r="C22" s="98"/>
    </row>
    <row r="23" spans="2:3" ht="15">
      <c r="B23" s="89"/>
      <c r="C23" s="89"/>
    </row>
    <row r="24" spans="2:3" ht="15">
      <c r="B24" s="89"/>
      <c r="C24" s="89"/>
    </row>
    <row r="25" spans="2:3" ht="15">
      <c r="B25" s="89"/>
      <c r="C25" s="89"/>
    </row>
  </sheetData>
  <sheetProtection/>
  <mergeCells count="3">
    <mergeCell ref="B1:E1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</dc:creator>
  <cp:keywords/>
  <dc:description/>
  <cp:lastModifiedBy>Пользователь Windows</cp:lastModifiedBy>
  <cp:lastPrinted>2023-02-01T00:56:46Z</cp:lastPrinted>
  <dcterms:created xsi:type="dcterms:W3CDTF">2015-01-30T07:14:52Z</dcterms:created>
  <dcterms:modified xsi:type="dcterms:W3CDTF">2023-02-06T06:10:30Z</dcterms:modified>
  <cp:category/>
  <cp:version/>
  <cp:contentType/>
  <cp:contentStatus/>
</cp:coreProperties>
</file>