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firstSheet="1" activeTab="2"/>
  </bookViews>
  <sheets>
    <sheet name="Лист1" sheetId="1" state="hidden" r:id="rId1"/>
    <sheet name="оценка" sheetId="2" r:id="rId2"/>
    <sheet name="степень" sheetId="3" r:id="rId3"/>
  </sheets>
  <definedNames>
    <definedName name="_xlnm.Print_Titles" localSheetId="1">'оценка'!$B:$B</definedName>
  </definedNames>
  <calcPr fullCalcOnLoad="1"/>
</workbook>
</file>

<file path=xl/sharedStrings.xml><?xml version="1.0" encoding="utf-8"?>
<sst xmlns="http://schemas.openxmlformats.org/spreadsheetml/2006/main" count="378" uniqueCount="146">
  <si>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</si>
  <si>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</si>
  <si>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</si>
  <si>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</si>
  <si>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</si>
  <si>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</si>
  <si>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</si>
  <si>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</si>
  <si>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</si>
  <si>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</si>
  <si>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</si>
  <si>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</si>
  <si>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</si>
  <si>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</si>
  <si>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</si>
  <si>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</si>
  <si>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</si>
  <si>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</si>
  <si>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</si>
  <si>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</si>
  <si>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</si>
  <si>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</si>
  <si>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</si>
  <si>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</si>
  <si>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</si>
  <si>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</si>
  <si>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</si>
  <si>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</si>
  <si>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</si>
  <si>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</si>
  <si>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</si>
  <si>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</si>
  <si>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</si>
  <si>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</si>
  <si>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</si>
  <si>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</si>
  <si>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</si>
  <si>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</si>
  <si>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</si>
  <si>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</si>
  <si>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</si>
  <si>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</si>
  <si>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</si>
  <si>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</si>
  <si>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</si>
  <si>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</si>
  <si>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</si>
  <si>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</si>
  <si>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</si>
  <si>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</si>
  <si>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</si>
  <si>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</si>
  <si>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</si>
  <si>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</si>
  <si>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</si>
  <si>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</si>
  <si>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</si>
  <si>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</si>
  <si>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</si>
  <si>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</si>
  <si>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</si>
  <si>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</si>
  <si>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</si>
  <si>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</si>
  <si>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</si>
  <si>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</si>
  <si>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</si>
  <si>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</si>
  <si>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</si>
  <si>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</si>
  <si>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</si>
  <si>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</si>
  <si>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</si>
  <si>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</si>
  <si>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</si>
  <si>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</si>
  <si>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</si>
  <si>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</si>
  <si>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</si>
  <si>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</si>
  <si>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</si>
  <si>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</si>
  <si>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</si>
  <si>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</si>
  <si>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</si>
  <si>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</si>
  <si>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</si>
  <si>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</si>
  <si>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</si>
  <si>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</si>
  <si>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</si>
  <si>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</si>
  <si>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</si>
  <si>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</si>
  <si>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</si>
  <si>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</si>
  <si>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</si>
  <si>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</si>
  <si>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</si>
  <si>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</si>
  <si>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</si>
  <si>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</si>
  <si>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</si>
  <si>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</si>
  <si>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</si>
  <si>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</si>
  <si>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</si>
  <si>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</si>
  <si>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</si>
  <si>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</si>
  <si>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</si>
  <si>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</si>
  <si>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>Отчётный период: 2019 год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</si>
  <si>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</si>
  <si>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</si>
  <si>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</si>
  <si>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</si>
  <si>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</si>
  <si>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</si>
  <si>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</si>
  <si>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</si>
  <si>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>X</t>
  </si>
  <si>
    <t>сельское поселение "Алтанское""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</si>
  <si>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</si>
  <si>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</si>
  <si>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</si>
  <si>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"Кыринское"</t>
  </si>
  <si>
    <t>сельское поселение "Любавинское"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</si>
  <si>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</si>
  <si>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</si>
  <si>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</si>
  <si>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"Надежнинское"</t>
  </si>
  <si>
    <t>сельское поселение "Тарбальджейское"</t>
  </si>
  <si>
    <t>сельское поселение "Ульхун-Партионское</t>
  </si>
  <si>
    <t>сельское поселение "Хапчерангинское"</t>
  </si>
  <si>
    <t>сельское поселение "Шумундинское"</t>
  </si>
  <si>
    <t xml:space="preserve">Утверждение бюджета на очередной финансовый год </t>
  </si>
  <si>
    <t>Оценка качества управления муниципальными финансами муниципальными образованиями  Кыринского района за 2019 год</t>
  </si>
  <si>
    <t>5 прилож</t>
  </si>
  <si>
    <t>Объем просроченной кредиторской задолженности бюджетов поселений по оплате коммунальных услуг</t>
  </si>
  <si>
    <t>Объем просроченной кредиторской задолженности бюджетов поселений по налогам</t>
  </si>
  <si>
    <t>Объем фактически полученных собственных доходов (без учета межбюджетных трансфертов) бюджета i-го поселения</t>
  </si>
  <si>
    <t>налоговые неналог</t>
  </si>
  <si>
    <t xml:space="preserve">дотация+подушевая+сбал-ть </t>
  </si>
  <si>
    <t xml:space="preserve"> не осуществляется</t>
  </si>
  <si>
    <t>6=(5-4)/4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</si>
</sst>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64" fontId="58" fillId="35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0" fillId="9" borderId="10" xfId="0" applyFill="1" applyBorder="1" applyAlignment="1">
      <alignment/>
    </xf>
    <xf numFmtId="0" fontId="59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49" fontId="0" fillId="9" borderId="10" xfId="0" applyNumberFormat="1" applyFill="1" applyBorder="1" applyAlignment="1">
      <alignment/>
    </xf>
    <xf numFmtId="164" fontId="0" fillId="9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7" fontId="4" fillId="34" borderId="10" xfId="0" applyNumberFormat="1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2" fontId="4" fillId="33" borderId="10" xfId="0" applyNumberFormat="1" applyFont="1" applyFill="1" applyBorder="1" applyAlignment="1" applyProtection="1">
      <alignment/>
      <protection hidden="1"/>
    </xf>
    <xf numFmtId="166" fontId="0" fillId="0" borderId="10" xfId="0" applyNumberFormat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165" fontId="0" fillId="9" borderId="10" xfId="0" applyNumberFormat="1" applyFill="1" applyBorder="1" applyAlignment="1">
      <alignment/>
    </xf>
    <xf numFmtId="166" fontId="0" fillId="9" borderId="10" xfId="0" applyNumberFormat="1" applyFill="1" applyBorder="1" applyAlignment="1">
      <alignment/>
    </xf>
    <xf numFmtId="167" fontId="4" fillId="9" borderId="10" xfId="0" applyNumberFormat="1" applyFont="1" applyFill="1" applyBorder="1" applyAlignment="1" applyProtection="1">
      <alignment/>
      <protection hidden="1"/>
    </xf>
    <xf numFmtId="164" fontId="4" fillId="9" borderId="10" xfId="0" applyNumberFormat="1" applyFont="1" applyFill="1" applyBorder="1" applyAlignment="1" applyProtection="1">
      <alignment/>
      <protection hidden="1"/>
    </xf>
    <xf numFmtId="2" fontId="4" fillId="9" borderId="10" xfId="0" applyNumberFormat="1" applyFont="1" applyFill="1" applyBorder="1" applyAlignment="1" applyProtection="1">
      <alignment/>
      <protection hidden="1"/>
    </xf>
    <xf numFmtId="49" fontId="0" fillId="9" borderId="10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3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7" fontId="4" fillId="33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5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59" fillId="16" borderId="10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60" fillId="0" borderId="14" xfId="0" applyFont="1" applyBorder="1" applyAlignment="1">
      <alignment/>
    </xf>
    <xf numFmtId="0" fontId="61" fillId="0" borderId="0" xfId="0" applyFont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2" fillId="8" borderId="0" xfId="0" applyFont="1" applyFill="1" applyAlignment="1">
      <alignment/>
    </xf>
    <xf numFmtId="0" fontId="56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16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46" fillId="16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2" fontId="8" fillId="33" borderId="0" xfId="0" applyNumberFormat="1" applyFont="1" applyFill="1" applyAlignment="1" applyProtection="1">
      <alignment horizontal="center"/>
      <protection/>
    </xf>
    <xf numFmtId="164" fontId="2" fillId="36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165" fontId="0" fillId="0" borderId="0" xfId="0" applyNumberFormat="1" applyAlignment="1">
      <alignment wrapText="1"/>
    </xf>
    <xf numFmtId="0" fontId="37" fillId="13" borderId="10" xfId="0" applyFont="1" applyFill="1" applyBorder="1" applyAlignment="1">
      <alignment horizontal="center" wrapText="1"/>
    </xf>
    <xf numFmtId="0" fontId="37" fillId="13" borderId="1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1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6" fontId="0" fillId="13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1" fillId="34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/>
      <protection hidden="1"/>
    </xf>
    <xf numFmtId="166" fontId="0" fillId="37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13" borderId="10" xfId="0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 wrapText="1"/>
    </xf>
    <xf numFmtId="164" fontId="57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6" fillId="8" borderId="11" xfId="0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6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B1">
      <selection activeCell="B3" sqref="A1:IV16384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3.28125" style="0" customWidth="1"/>
    <col min="4" max="4" width="11.28125" style="0" customWidth="1"/>
    <col min="5" max="14" width="13.28125" style="0" customWidth="1"/>
    <col min="15" max="15" width="14.00390625" style="0" customWidth="1"/>
    <col min="16" max="17" width="13.140625" style="0" customWidth="1"/>
    <col min="18" max="18" width="11.140625" style="0" customWidth="1"/>
    <col min="19" max="19" width="16.57421875" style="0" customWidth="1"/>
    <col min="20" max="20" width="10.28125" style="0" customWidth="1"/>
    <col min="21" max="21" width="16.140625" style="0" customWidth="1"/>
    <col min="22" max="22" width="13.28125" style="0" customWidth="1"/>
    <col min="23" max="23" width="15.57421875" style="0" customWidth="1"/>
    <col min="25" max="25" width="10.8515625" style="0" customWidth="1"/>
    <col min="27" max="27" width="9.57421875" style="0" customWidth="1"/>
    <col min="28" max="28" width="11.57421875" style="0" bestFit="1" customWidth="1"/>
    <col min="29" max="29" width="18.140625" style="0" customWidth="1"/>
    <col min="30" max="30" width="13.140625" style="0" customWidth="1"/>
    <col min="31" max="31" width="9.57421875" style="0" customWidth="1"/>
    <col min="32" max="32" width="13.140625" style="0" customWidth="1"/>
    <col min="33" max="33" width="12.00390625" style="0" customWidth="1"/>
    <col min="34" max="35" width="16.57421875" style="0" customWidth="1"/>
    <col min="36" max="36" width="18.00390625" style="0" customWidth="1"/>
    <col min="37" max="37" width="13.28125" style="0" customWidth="1"/>
    <col min="38" max="38" width="13.7109375" style="1" customWidth="1"/>
    <col min="39" max="39" width="10.57421875" style="0" bestFit="1" customWidth="1"/>
    <col min="40" max="40" width="9.57421875" style="0" bestFit="1" customWidth="1"/>
  </cols>
  <sheetData>
    <row r="1" spans="2:20" ht="15">
      <c r="B1" s="150" t="s">
        <v>70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2:38" s="2" customFormat="1" ht="1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AL2" s="3"/>
    </row>
    <row r="3" spans="1:41" ht="15" customHeight="1">
      <c r="A3" s="200" t="s">
        <v>0</v>
      </c>
      <c r="B3" s="203" t="s">
        <v>1</v>
      </c>
      <c r="C3" s="206" t="s">
        <v>2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O3" s="206" t="s">
        <v>3</v>
      </c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167" t="s">
        <v>4</v>
      </c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4"/>
      <c r="AO3" s="4"/>
    </row>
    <row r="4" spans="1:41" ht="33" customHeight="1">
      <c r="A4" s="201"/>
      <c r="B4" s="204"/>
      <c r="C4" s="191" t="s">
        <v>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167" t="s">
        <v>6</v>
      </c>
      <c r="P4" s="167"/>
      <c r="Q4" s="167"/>
      <c r="R4" s="167"/>
      <c r="S4" s="209" t="s">
        <v>7</v>
      </c>
      <c r="T4" s="209"/>
      <c r="U4" s="167"/>
      <c r="V4" s="167"/>
      <c r="W4" s="167"/>
      <c r="X4" s="167"/>
      <c r="Y4" s="5"/>
      <c r="Z4" s="5"/>
      <c r="AA4" s="5"/>
      <c r="AB4" s="5"/>
      <c r="AC4" s="167" t="s">
        <v>8</v>
      </c>
      <c r="AD4" s="167"/>
      <c r="AE4" s="5"/>
      <c r="AF4" s="167" t="s">
        <v>9</v>
      </c>
      <c r="AG4" s="167"/>
      <c r="AH4" s="167" t="s">
        <v>10</v>
      </c>
      <c r="AI4" s="167"/>
      <c r="AJ4" s="167" t="s">
        <v>11</v>
      </c>
      <c r="AK4" s="167"/>
      <c r="AL4" s="184" t="s">
        <v>12</v>
      </c>
      <c r="AM4" s="178" t="s">
        <v>13</v>
      </c>
      <c r="AN4" s="178" t="s">
        <v>14</v>
      </c>
      <c r="AO4" s="178" t="s">
        <v>15</v>
      </c>
    </row>
    <row r="5" spans="1:41" ht="15.75" customHeight="1">
      <c r="A5" s="201"/>
      <c r="B5" s="204"/>
      <c r="C5" s="160" t="s">
        <v>16</v>
      </c>
      <c r="D5" s="162" t="s">
        <v>17</v>
      </c>
      <c r="E5" s="155" t="s">
        <v>18</v>
      </c>
      <c r="F5" s="177" t="s">
        <v>19</v>
      </c>
      <c r="G5" s="172" t="s">
        <v>20</v>
      </c>
      <c r="H5" s="172" t="s">
        <v>21</v>
      </c>
      <c r="I5" s="172" t="s">
        <v>22</v>
      </c>
      <c r="J5" s="175" t="s">
        <v>23</v>
      </c>
      <c r="K5" s="6"/>
      <c r="L5" s="194" t="s">
        <v>24</v>
      </c>
      <c r="M5" s="180" t="s">
        <v>25</v>
      </c>
      <c r="N5" s="7"/>
      <c r="O5" s="178" t="s">
        <v>26</v>
      </c>
      <c r="P5" s="178" t="s">
        <v>27</v>
      </c>
      <c r="Q5" s="183" t="s">
        <v>28</v>
      </c>
      <c r="R5" s="157" t="s">
        <v>23</v>
      </c>
      <c r="S5" s="154" t="s">
        <v>29</v>
      </c>
      <c r="T5" s="157" t="s">
        <v>23</v>
      </c>
      <c r="U5" s="183" t="s">
        <v>30</v>
      </c>
      <c r="V5" s="178" t="s">
        <v>31</v>
      </c>
      <c r="W5" s="199" t="s">
        <v>32</v>
      </c>
      <c r="X5" s="157" t="s">
        <v>23</v>
      </c>
      <c r="Y5" s="168" t="s">
        <v>33</v>
      </c>
      <c r="Z5" s="168" t="s">
        <v>34</v>
      </c>
      <c r="AA5" s="168" t="s">
        <v>35</v>
      </c>
      <c r="AB5" s="157" t="s">
        <v>23</v>
      </c>
      <c r="AC5" s="196" t="s">
        <v>36</v>
      </c>
      <c r="AD5" s="178" t="s">
        <v>37</v>
      </c>
      <c r="AE5" s="8"/>
      <c r="AF5" s="164" t="s">
        <v>38</v>
      </c>
      <c r="AG5" s="171" t="s">
        <v>23</v>
      </c>
      <c r="AH5" s="190" t="s">
        <v>39</v>
      </c>
      <c r="AI5" s="171" t="s">
        <v>23</v>
      </c>
      <c r="AJ5" s="164" t="s">
        <v>40</v>
      </c>
      <c r="AK5" s="187" t="s">
        <v>23</v>
      </c>
      <c r="AL5" s="185"/>
      <c r="AM5" s="179"/>
      <c r="AN5" s="179"/>
      <c r="AO5" s="179"/>
    </row>
    <row r="6" spans="1:41" ht="15.75" customHeight="1">
      <c r="A6" s="201"/>
      <c r="B6" s="204"/>
      <c r="C6" s="160"/>
      <c r="D6" s="163"/>
      <c r="E6" s="155"/>
      <c r="F6" s="195"/>
      <c r="G6" s="173"/>
      <c r="H6" s="173"/>
      <c r="I6" s="173"/>
      <c r="J6" s="176"/>
      <c r="K6" s="152" t="s">
        <v>41</v>
      </c>
      <c r="L6" s="152"/>
      <c r="M6" s="181"/>
      <c r="N6" s="9"/>
      <c r="O6" s="179"/>
      <c r="P6" s="179"/>
      <c r="Q6" s="183"/>
      <c r="R6" s="158"/>
      <c r="S6" s="155"/>
      <c r="T6" s="158"/>
      <c r="U6" s="183"/>
      <c r="V6" s="179"/>
      <c r="W6" s="185"/>
      <c r="X6" s="158"/>
      <c r="Y6" s="169"/>
      <c r="Z6" s="169"/>
      <c r="AA6" s="169"/>
      <c r="AB6" s="158"/>
      <c r="AC6" s="197"/>
      <c r="AD6" s="179"/>
      <c r="AE6" s="10"/>
      <c r="AF6" s="165"/>
      <c r="AG6" s="171"/>
      <c r="AH6" s="190"/>
      <c r="AI6" s="171"/>
      <c r="AJ6" s="165"/>
      <c r="AK6" s="188"/>
      <c r="AL6" s="185"/>
      <c r="AM6" s="179"/>
      <c r="AN6" s="179"/>
      <c r="AO6" s="179"/>
    </row>
    <row r="7" spans="1:41" ht="15" customHeight="1">
      <c r="A7" s="201"/>
      <c r="B7" s="204"/>
      <c r="C7" s="160"/>
      <c r="D7" s="163"/>
      <c r="E7" s="155"/>
      <c r="F7" s="195"/>
      <c r="G7" s="173"/>
      <c r="H7" s="173"/>
      <c r="I7" s="173"/>
      <c r="J7" s="176"/>
      <c r="K7" s="152"/>
      <c r="L7" s="152"/>
      <c r="M7" s="181"/>
      <c r="N7" s="9"/>
      <c r="O7" s="179"/>
      <c r="P7" s="179"/>
      <c r="Q7" s="183"/>
      <c r="R7" s="158"/>
      <c r="S7" s="155"/>
      <c r="T7" s="158"/>
      <c r="U7" s="183"/>
      <c r="V7" s="179"/>
      <c r="W7" s="185"/>
      <c r="X7" s="158"/>
      <c r="Y7" s="169"/>
      <c r="Z7" s="169"/>
      <c r="AA7" s="169"/>
      <c r="AB7" s="158"/>
      <c r="AC7" s="197"/>
      <c r="AD7" s="179"/>
      <c r="AE7" s="10"/>
      <c r="AF7" s="165"/>
      <c r="AG7" s="171"/>
      <c r="AH7" s="190"/>
      <c r="AI7" s="171"/>
      <c r="AJ7" s="165"/>
      <c r="AK7" s="188"/>
      <c r="AL7" s="185"/>
      <c r="AM7" s="179"/>
      <c r="AN7" s="179"/>
      <c r="AO7" s="179"/>
    </row>
    <row r="8" spans="1:41" ht="248.25" customHeight="1">
      <c r="A8" s="201"/>
      <c r="B8" s="204"/>
      <c r="C8" s="160"/>
      <c r="D8" s="163"/>
      <c r="E8" s="155"/>
      <c r="F8" s="195"/>
      <c r="G8" s="173"/>
      <c r="H8" s="173"/>
      <c r="I8" s="173"/>
      <c r="J8" s="176"/>
      <c r="K8" s="152"/>
      <c r="L8" s="152"/>
      <c r="M8" s="181"/>
      <c r="N8" s="9" t="s">
        <v>23</v>
      </c>
      <c r="O8" s="179"/>
      <c r="P8" s="179"/>
      <c r="Q8" s="183"/>
      <c r="R8" s="158"/>
      <c r="S8" s="155"/>
      <c r="T8" s="158"/>
      <c r="U8" s="183"/>
      <c r="V8" s="179"/>
      <c r="W8" s="186"/>
      <c r="X8" s="158"/>
      <c r="Y8" s="170"/>
      <c r="Z8" s="170"/>
      <c r="AA8" s="170"/>
      <c r="AB8" s="159"/>
      <c r="AC8" s="197"/>
      <c r="AD8" s="179"/>
      <c r="AE8" s="10" t="s">
        <v>23</v>
      </c>
      <c r="AF8" s="165"/>
      <c r="AG8" s="171"/>
      <c r="AH8" s="190"/>
      <c r="AI8" s="171"/>
      <c r="AJ8" s="165"/>
      <c r="AK8" s="188"/>
      <c r="AL8" s="185"/>
      <c r="AM8" s="179"/>
      <c r="AN8" s="162"/>
      <c r="AO8" s="162"/>
    </row>
    <row r="9" spans="1:41" ht="6.75" customHeight="1" hidden="1">
      <c r="A9" s="201"/>
      <c r="B9" s="204"/>
      <c r="C9" s="160"/>
      <c r="D9" s="163"/>
      <c r="E9" s="155"/>
      <c r="F9" s="195"/>
      <c r="G9" s="173"/>
      <c r="H9" s="173"/>
      <c r="I9" s="173"/>
      <c r="J9" s="176"/>
      <c r="K9" s="152"/>
      <c r="L9" s="152"/>
      <c r="M9" s="181"/>
      <c r="N9" s="9"/>
      <c r="O9" s="179"/>
      <c r="P9" s="179"/>
      <c r="Q9" s="183"/>
      <c r="R9" s="158"/>
      <c r="S9" s="155"/>
      <c r="T9" s="158"/>
      <c r="U9" s="183"/>
      <c r="V9" s="179"/>
      <c r="W9" s="11"/>
      <c r="X9" s="158"/>
      <c r="Y9" s="12"/>
      <c r="Z9" s="12"/>
      <c r="AA9" s="12"/>
      <c r="AB9" s="13"/>
      <c r="AC9" s="197"/>
      <c r="AE9" s="10"/>
      <c r="AF9" s="165"/>
      <c r="AG9" s="171"/>
      <c r="AH9" s="190"/>
      <c r="AI9" s="171"/>
      <c r="AJ9" s="165"/>
      <c r="AK9" s="188"/>
      <c r="AL9" s="185"/>
      <c r="AM9" s="179"/>
      <c r="AN9" s="14"/>
      <c r="AO9" s="14"/>
    </row>
    <row r="10" spans="1:41" ht="10.5" customHeight="1" hidden="1">
      <c r="A10" s="202"/>
      <c r="B10" s="205"/>
      <c r="C10" s="161"/>
      <c r="D10" s="163"/>
      <c r="E10" s="156"/>
      <c r="F10" s="195"/>
      <c r="G10" s="174"/>
      <c r="H10" s="174"/>
      <c r="I10" s="174"/>
      <c r="J10" s="177"/>
      <c r="K10" s="153"/>
      <c r="L10" s="153"/>
      <c r="M10" s="182"/>
      <c r="N10" s="15"/>
      <c r="O10" s="162"/>
      <c r="P10" s="162"/>
      <c r="Q10" s="183"/>
      <c r="R10" s="159"/>
      <c r="S10" s="156"/>
      <c r="T10" s="159"/>
      <c r="U10" s="183"/>
      <c r="V10" s="162"/>
      <c r="W10" s="11"/>
      <c r="X10" s="159"/>
      <c r="Y10" s="12"/>
      <c r="Z10" s="12"/>
      <c r="AA10" s="12"/>
      <c r="AB10" s="13"/>
      <c r="AC10" s="198"/>
      <c r="AE10" s="16"/>
      <c r="AF10" s="166"/>
      <c r="AG10" s="171"/>
      <c r="AH10" s="190"/>
      <c r="AI10" s="171"/>
      <c r="AJ10" s="166"/>
      <c r="AK10" s="189"/>
      <c r="AL10" s="186"/>
      <c r="AM10" s="162"/>
      <c r="AN10" s="14"/>
      <c r="AO10" s="14"/>
    </row>
    <row r="11" spans="1:41" s="26" customFormat="1" ht="24.75" customHeight="1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0.059849575257679984</v>
      </c>
      <c r="G13" s="34">
        <v>634.7</v>
      </c>
      <c r="H13" s="34">
        <v>739.1</v>
      </c>
      <c r="I13" s="34">
        <f>G13/H13</f>
        <v>0.8587471248816128</v>
      </c>
      <c r="J13" s="35">
        <f>(I13-0.1)/(10.4-0.1)</f>
        <v>0.07366476940598182</v>
      </c>
      <c r="K13" s="36">
        <f>613.8+227.9</f>
        <v>841.6999999999999</v>
      </c>
      <c r="L13" s="36">
        <f>277.6+1099.3</f>
        <v>1376.9</v>
      </c>
      <c r="M13" s="37">
        <f>K13/L13</f>
        <v>0.6113007480572299</v>
      </c>
      <c r="N13" s="35">
        <f>(5.51-M13)/(5.51-0.06)</f>
        <v>0.8988438994390402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0.7721308180434721</v>
      </c>
      <c r="X13" s="39">
        <f>(9.4-W13)/(9.4-0.6)</f>
        <v>0.9804396797677872</v>
      </c>
      <c r="Y13" s="34">
        <v>5646.3</v>
      </c>
      <c r="Z13" s="34">
        <v>5103.1</v>
      </c>
      <c r="AA13" s="34">
        <f>Y13/Z13</f>
        <v>1.1064451019968253</v>
      </c>
      <c r="AB13" s="40">
        <f>(AA13-0.8)/(2.5-0.8)</f>
        <v>0.1802618247040149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7.284582042650499</v>
      </c>
      <c r="AM13" s="48">
        <f>AL13/100*30+AL13</f>
        <v>9.469956655445648</v>
      </c>
      <c r="AN13" s="48">
        <f>AL13-AL13/100*30</f>
        <v>5.099207429855349</v>
      </c>
      <c r="AO13" s="4">
        <v>1</v>
      </c>
    </row>
    <row r="14" spans="1:41" ht="15" customHeight="1">
      <c r="A14" s="4"/>
      <c r="B14" s="18" t="s">
        <v>54</v>
      </c>
      <c r="C14" s="32">
        <v>445</v>
      </c>
      <c r="D14" s="32">
        <v>445</v>
      </c>
      <c r="E14" s="32">
        <f aca="true" t="shared" si="0" ref="E14:E28">D14/C14</f>
        <v>1</v>
      </c>
      <c r="F14" s="33">
        <f aca="true" t="shared" si="1" ref="F14:F23">(E14-1)/(1.7-1)</f>
        <v>0</v>
      </c>
      <c r="G14" s="34">
        <v>19</v>
      </c>
      <c r="H14" s="34">
        <v>64.6</v>
      </c>
      <c r="I14" s="34">
        <f aca="true" t="shared" si="2" ref="I14:I28">G14/H14</f>
        <v>0.29411764705882354</v>
      </c>
      <c r="J14" s="35">
        <f aca="true" t="shared" si="3" ref="J14:J23">(I14-0.1)/(10.4-0.1)</f>
        <v>0.01884637350085665</v>
      </c>
      <c r="K14" s="36">
        <f>1.9+3.8</f>
        <v>5.699999999999999</v>
      </c>
      <c r="L14" s="36">
        <f>3.2+65</f>
        <v>68.2</v>
      </c>
      <c r="M14" s="37">
        <f aca="true" t="shared" si="4" ref="M14:M22">K14/L14</f>
        <v>0.08357771260997066</v>
      </c>
      <c r="N14" s="35">
        <f aca="true" t="shared" si="5" ref="N14:N28">(5.51-M14)/(5.51-0.06)</f>
        <v>0.9956738142000052</v>
      </c>
      <c r="O14" s="32">
        <v>2335.7</v>
      </c>
      <c r="P14" s="32">
        <v>2057.2</v>
      </c>
      <c r="Q14" s="38">
        <f aca="true" t="shared" si="6" ref="Q14:Q28">(O14-P14)/O14</f>
        <v>0.11923620327953077</v>
      </c>
      <c r="R14" s="39">
        <f aca="true" t="shared" si="7" ref="R14:R28">(0.846-Q14)/(0.846-0.111)</f>
        <v>0.988794281252339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aca="true" t="shared" si="8" ref="W14:W23">U14/V14</f>
        <v>3.6680662983425414</v>
      </c>
      <c r="X14" s="39">
        <f aca="true" t="shared" si="9" ref="X14:X28">(9.4-W14)/(9.4-0.6)</f>
        <v>0.6513561024610748</v>
      </c>
      <c r="Y14" s="34">
        <v>261.2</v>
      </c>
      <c r="Z14" s="34">
        <v>215.5</v>
      </c>
      <c r="AA14" s="34">
        <f aca="true" t="shared" si="10" ref="AA14:AA22">Y14/Z14</f>
        <v>1.2120649651972157</v>
      </c>
      <c r="AB14" s="40">
        <f aca="true" t="shared" si="11" ref="AB14:AB28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aca="true" t="shared" si="12" ref="AL14:AL22">F14+J14+N14+R14+T14+X14+AB14+AE14+AG14+AI14+AK14/11</f>
        <v>6.987970818321728</v>
      </c>
      <c r="AM14" s="48">
        <f aca="true" t="shared" si="13" ref="AM14:AM26">AL14/100*30+AL14</f>
        <v>9.084362063818247</v>
      </c>
      <c r="AN14" s="48">
        <f aca="true" t="shared" si="14" ref="AN14:AN26">AL14-AL14/100*30</f>
        <v>4.89157957282521</v>
      </c>
      <c r="AO14" s="4">
        <v>1</v>
      </c>
    </row>
    <row r="15" spans="1:41" ht="15" customHeight="1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0.0278797666021724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0.08737864077669903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0.1347759441654165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5.782657657657658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6.66306068783027</v>
      </c>
      <c r="AM15" s="48">
        <f t="shared" si="13"/>
        <v>8.66197889417935</v>
      </c>
      <c r="AN15" s="48">
        <f t="shared" si="14"/>
        <v>4.664142481481189</v>
      </c>
      <c r="AO15" s="4">
        <v>2</v>
      </c>
    </row>
    <row r="16" spans="1:41" ht="15" customHeight="1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0.015062566134079589</v>
      </c>
      <c r="G16" s="34">
        <v>254.4</v>
      </c>
      <c r="H16" s="34">
        <v>265.1</v>
      </c>
      <c r="I16" s="34">
        <f t="shared" si="2"/>
        <v>0.959637872500943</v>
      </c>
      <c r="J16" s="35">
        <f t="shared" si="3"/>
        <v>0.08345998762145078</v>
      </c>
      <c r="K16" s="36">
        <f>43+17.1</f>
        <v>60.1</v>
      </c>
      <c r="L16" s="36">
        <f>42.6+1026.5</f>
        <v>1069.1</v>
      </c>
      <c r="M16" s="37">
        <f t="shared" si="4"/>
        <v>0.05621550837152746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</v>
      </c>
      <c r="S16" s="32" t="s">
        <v>50</v>
      </c>
      <c r="T16" s="39">
        <v>1</v>
      </c>
      <c r="U16" s="32">
        <v>2145.7</v>
      </c>
      <c r="V16" s="32">
        <v>3074.4</v>
      </c>
      <c r="W16" s="32">
        <f t="shared" si="8"/>
        <v>0.6979247983346343</v>
      </c>
      <c r="X16" s="39">
        <f t="shared" si="9"/>
        <v>0.9888721820074279</v>
      </c>
      <c r="Y16" s="34">
        <v>2783.2</v>
      </c>
      <c r="Z16" s="34">
        <v>3227.8</v>
      </c>
      <c r="AA16" s="34">
        <f t="shared" si="10"/>
        <v>0.8622591238614535</v>
      </c>
      <c r="AB16" s="40">
        <f t="shared" si="11"/>
        <v>0.036623014036149114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</v>
      </c>
      <c r="AM16" s="48">
        <f t="shared" si="13"/>
        <v>9.218858464526338</v>
      </c>
      <c r="AN16" s="48">
        <f t="shared" si="14"/>
        <v>4.964000711668028</v>
      </c>
      <c r="AO16" s="4">
        <v>1</v>
      </c>
    </row>
    <row r="17" spans="1:41" ht="15" customHeight="1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0.9936988027725268</v>
      </c>
      <c r="F17" s="33">
        <f t="shared" si="1"/>
        <v>-0.009001710324961776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0.148991784914115</v>
      </c>
      <c r="K17" s="36">
        <f>91.5+71.4</f>
        <v>162.9</v>
      </c>
      <c r="L17" s="36">
        <f>80.3+737.5</f>
        <v>817.8</v>
      </c>
      <c r="M17" s="37">
        <f t="shared" si="4"/>
        <v>0.1991929567131328</v>
      </c>
      <c r="N17" s="35">
        <f t="shared" si="5"/>
        <v>0.9744600079425444</v>
      </c>
      <c r="O17" s="32">
        <v>8791.4</v>
      </c>
      <c r="P17" s="32">
        <v>7288.9</v>
      </c>
      <c r="Q17" s="38">
        <f t="shared" si="6"/>
        <v>0.1709056578019428</v>
      </c>
      <c r="R17" s="39">
        <f t="shared" si="7"/>
        <v>0.9184957036708261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</v>
      </c>
      <c r="X17" s="39">
        <f t="shared" si="9"/>
        <v>0.9637307435455953</v>
      </c>
      <c r="Y17" s="34">
        <v>2197.7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</v>
      </c>
      <c r="AM17" s="48">
        <f t="shared" si="13"/>
        <v>9.465800022519485</v>
      </c>
      <c r="AN17" s="48">
        <f t="shared" si="14"/>
        <v>5.096969242895107</v>
      </c>
      <c r="AO17" s="4">
        <v>1</v>
      </c>
    </row>
    <row r="18" spans="1:41" ht="15" customHeight="1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0.3748804590372968</v>
      </c>
      <c r="J18" s="35">
        <f t="shared" si="3"/>
        <v>0.026687423207504536</v>
      </c>
      <c r="K18" s="36">
        <f>401.6+42.6</f>
        <v>444.20000000000005</v>
      </c>
      <c r="L18" s="36">
        <f>24.6+56</f>
        <v>80.6</v>
      </c>
      <c r="M18" s="37">
        <f t="shared" si="4"/>
        <v>5.511166253101738</v>
      </c>
      <c r="N18" s="35">
        <f t="shared" si="5"/>
        <v>-0.00021399139481435503</v>
      </c>
      <c r="O18" s="32">
        <v>9237.2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2129.7</v>
      </c>
      <c r="W18" s="32">
        <f t="shared" si="8"/>
        <v>2.4199652533220646</v>
      </c>
      <c r="X18" s="39">
        <f t="shared" si="9"/>
        <v>0.7931857666679472</v>
      </c>
      <c r="Y18" s="34">
        <v>1318.8</v>
      </c>
      <c r="Z18" s="34">
        <v>1632.6</v>
      </c>
      <c r="AA18" s="34">
        <f t="shared" si="10"/>
        <v>0.8077912532157295</v>
      </c>
      <c r="AB18" s="40">
        <f t="shared" si="11"/>
        <v>0.004583090126899699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5.753991314226059</v>
      </c>
      <c r="AM18" s="48">
        <f t="shared" si="13"/>
        <v>7.480188708493876</v>
      </c>
      <c r="AN18" s="48">
        <f t="shared" si="14"/>
        <v>4.027793919958241</v>
      </c>
      <c r="AO18" s="4">
        <v>3</v>
      </c>
    </row>
    <row r="19" spans="1:41" ht="15" customHeight="1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0.05225608611302311</v>
      </c>
      <c r="G19" s="34">
        <v>286.1</v>
      </c>
      <c r="H19" s="34">
        <v>27.4</v>
      </c>
      <c r="I19" s="34">
        <f t="shared" si="2"/>
        <v>10.44160583941606</v>
      </c>
      <c r="J19" s="35">
        <f t="shared" si="3"/>
        <v>1.0040394018850543</v>
      </c>
      <c r="K19" s="36">
        <f>102.6+55.7</f>
        <v>158.3</v>
      </c>
      <c r="L19" s="36">
        <f>72+198.7</f>
        <v>270.7</v>
      </c>
      <c r="M19" s="37">
        <f t="shared" si="4"/>
        <v>0.5847801994828223</v>
      </c>
      <c r="N19" s="35">
        <f t="shared" si="5"/>
        <v>0.9037100551407664</v>
      </c>
      <c r="O19" s="32">
        <v>19539.8</v>
      </c>
      <c r="P19" s="32">
        <v>14132.2</v>
      </c>
      <c r="Q19" s="38">
        <f t="shared" si="6"/>
        <v>0.2767479708082989</v>
      </c>
      <c r="R19" s="39">
        <f t="shared" si="7"/>
        <v>0.7744925567234029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4.491266675835511</v>
      </c>
      <c r="X19" s="39">
        <f t="shared" si="9"/>
        <v>0.557810605018692</v>
      </c>
      <c r="Y19" s="34">
        <v>2174.6</v>
      </c>
      <c r="Z19" s="34">
        <v>2054.3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7.535311968415026</v>
      </c>
      <c r="AM19" s="48">
        <f t="shared" si="13"/>
        <v>9.795905558939534</v>
      </c>
      <c r="AN19" s="48">
        <f t="shared" si="14"/>
        <v>5.274718377890518</v>
      </c>
      <c r="AO19" s="4">
        <v>1</v>
      </c>
    </row>
    <row r="20" spans="1:41" ht="15" customHeight="1">
      <c r="A20" s="4"/>
      <c r="B20" s="18" t="s">
        <v>60</v>
      </c>
      <c r="C20" s="32">
        <v>566.3</v>
      </c>
      <c r="D20" s="32">
        <v>566.3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</v>
      </c>
      <c r="I20" s="34">
        <f t="shared" si="2"/>
        <v>0.11595221363316935</v>
      </c>
      <c r="J20" s="35">
        <f t="shared" si="3"/>
        <v>0.001548758605162072</v>
      </c>
      <c r="K20" s="36">
        <f>0.1+0.7</f>
        <v>0.7999999999999999</v>
      </c>
      <c r="L20" s="36">
        <f>0.6+1.8</f>
        <v>2.4</v>
      </c>
      <c r="M20" s="37">
        <f t="shared" si="4"/>
        <v>0.3333333333333333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</v>
      </c>
      <c r="X20" s="39">
        <f t="shared" si="9"/>
        <v>0.5048129534308758</v>
      </c>
      <c r="Y20" s="34">
        <v>131.7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6.57935651932839</v>
      </c>
      <c r="AM20" s="48">
        <f t="shared" si="13"/>
        <v>8.553163475126906</v>
      </c>
      <c r="AN20" s="48">
        <f t="shared" si="14"/>
        <v>4.605549563529873</v>
      </c>
      <c r="AO20" s="4">
        <v>2</v>
      </c>
    </row>
    <row r="21" spans="1:41" ht="15" customHeight="1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</v>
      </c>
      <c r="F21" s="33">
        <f t="shared" si="1"/>
        <v>0.013965201465201575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10.2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0.269856789555415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</v>
      </c>
      <c r="Y21" s="34">
        <v>52</v>
      </c>
      <c r="Z21" s="34">
        <v>21.2</v>
      </c>
      <c r="AA21" s="34">
        <f t="shared" si="10"/>
        <v>2.452830188679245</v>
      </c>
      <c r="AB21" s="40">
        <f t="shared" si="11"/>
        <v>0.9722530521642618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6.961914443936663</v>
      </c>
      <c r="AM21" s="48">
        <f t="shared" si="13"/>
        <v>9.05048877711766</v>
      </c>
      <c r="AN21" s="48">
        <f t="shared" si="14"/>
        <v>4.873340110755664</v>
      </c>
      <c r="AO21" s="4">
        <v>1</v>
      </c>
    </row>
    <row r="22" spans="1:41" ht="15" customHeight="1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</v>
      </c>
      <c r="J22" s="35">
        <f t="shared" si="3"/>
        <v>0.057209119967039465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0.9604199706903819</v>
      </c>
      <c r="O22" s="32">
        <v>19655</v>
      </c>
      <c r="P22" s="32">
        <v>3021.1</v>
      </c>
      <c r="Q22" s="38">
        <f t="shared" si="6"/>
        <v>0.8462935639786314</v>
      </c>
      <c r="R22" s="39">
        <f t="shared" si="7"/>
        <v>-0.0003994067736482318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</v>
      </c>
      <c r="X22" s="39">
        <f t="shared" si="9"/>
        <v>0.002357964503074885</v>
      </c>
      <c r="Y22" s="34">
        <v>225.4</v>
      </c>
      <c r="Z22" s="34">
        <v>235.2</v>
      </c>
      <c r="AA22" s="34">
        <f t="shared" si="10"/>
        <v>0.9583333333333334</v>
      </c>
      <c r="AB22" s="40">
        <f t="shared" si="11"/>
        <v>0.09313725490196079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</v>
      </c>
      <c r="AM22" s="48">
        <f t="shared" si="13"/>
        <v>8.122284760544153</v>
      </c>
      <c r="AN22" s="48">
        <f t="shared" si="14"/>
        <v>4.373537947985312</v>
      </c>
      <c r="AO22" s="4">
        <v>2</v>
      </c>
    </row>
    <row r="23" spans="1:41" ht="15" customHeight="1">
      <c r="A23" s="4"/>
      <c r="B23" s="18" t="s">
        <v>64</v>
      </c>
      <c r="C23" s="32">
        <f>SUM(C13:C22)</f>
        <v>24458.199999999997</v>
      </c>
      <c r="D23" s="32">
        <f>SUM(D13:D22)</f>
        <v>25018.499999999996</v>
      </c>
      <c r="E23" s="32">
        <f t="shared" si="0"/>
        <v>1.0229084724141597</v>
      </c>
      <c r="F23" s="33">
        <f t="shared" si="1"/>
        <v>0.03272638916308532</v>
      </c>
      <c r="G23" s="34">
        <f>SUM(G13:G22)</f>
        <v>1752.5000000000002</v>
      </c>
      <c r="H23" s="34">
        <v>1961.1</v>
      </c>
      <c r="I23" s="34">
        <f t="shared" si="2"/>
        <v>0.8936311253888125</v>
      </c>
      <c r="J23" s="35">
        <f t="shared" si="3"/>
        <v>0.07705156557172936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>SUM(O13:O22)</f>
        <v>92573.79999999999</v>
      </c>
      <c r="P23" s="32">
        <f>SUM(P13:P22)</f>
        <v>61434.4</v>
      </c>
      <c r="Q23" s="38">
        <f t="shared" si="6"/>
        <v>0.33637379042450444</v>
      </c>
      <c r="R23" s="39">
        <f t="shared" si="7"/>
        <v>0.6933689926197218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>SUM(AF13:AF22)</f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0.01835384841389771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</v>
      </c>
      <c r="N25" s="35">
        <f t="shared" si="5"/>
        <v>0.9351913799004183</v>
      </c>
      <c r="O25" s="32">
        <v>26936.6</v>
      </c>
      <c r="P25" s="32">
        <v>20502.9</v>
      </c>
      <c r="Q25" s="38">
        <f t="shared" si="6"/>
        <v>0.2388460310506893</v>
      </c>
      <c r="R25" s="39">
        <f t="shared" si="7"/>
        <v>0.8260598216997423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0.825787226472158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</v>
      </c>
      <c r="AM25" s="48">
        <f t="shared" si="13"/>
        <v>9.018014215239166</v>
      </c>
      <c r="AN25" s="48">
        <f t="shared" si="14"/>
        <v>4.855853808205706</v>
      </c>
      <c r="AO25" s="4">
        <v>2</v>
      </c>
    </row>
    <row r="26" spans="1:41" ht="15" customHeight="1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>(E26-1)/(1.7-1)</f>
        <v>0</v>
      </c>
      <c r="G26" s="34">
        <v>1194</v>
      </c>
      <c r="H26" s="34">
        <v>1481.3</v>
      </c>
      <c r="I26" s="34">
        <f t="shared" si="2"/>
        <v>0.806048740970769</v>
      </c>
      <c r="J26" s="35">
        <f>(I26-0.1)/(10.4-0.1)</f>
        <v>0.06854842145347272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</v>
      </c>
      <c r="O26" s="32">
        <v>54077.8</v>
      </c>
      <c r="P26" s="32">
        <v>37779.9</v>
      </c>
      <c r="Q26" s="38">
        <f t="shared" si="6"/>
        <v>0.3013787543132302</v>
      </c>
      <c r="R26" s="39">
        <f t="shared" si="7"/>
        <v>0.7409812866486665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</v>
      </c>
      <c r="X26" s="39">
        <f t="shared" si="9"/>
        <v>0.9984363988724454</v>
      </c>
      <c r="Y26" s="34">
        <v>29511.7</v>
      </c>
      <c r="Z26" s="34">
        <v>28319.8</v>
      </c>
      <c r="AA26" s="34">
        <f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</v>
      </c>
      <c r="AM26" s="48">
        <f t="shared" si="13"/>
        <v>9.064974504344962</v>
      </c>
      <c r="AN26" s="48">
        <f t="shared" si="14"/>
        <v>4.881140117724211</v>
      </c>
      <c r="AO26" s="4">
        <v>1</v>
      </c>
    </row>
    <row r="27" spans="1:41" ht="15" customHeight="1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>(E27-1)/(1.7-1)</f>
        <v>0.003527904961308107</v>
      </c>
      <c r="G27" s="34">
        <f>SUM(G25:G26)</f>
        <v>1793.1</v>
      </c>
      <c r="H27" s="34">
        <f>SUM(H25:H26)</f>
        <v>1968.1</v>
      </c>
      <c r="I27" s="34">
        <f t="shared" si="2"/>
        <v>0.9110817539759158</v>
      </c>
      <c r="J27" s="35">
        <f>(I27-0.1)/(10.4-0.1)</f>
        <v>0.07874580135688503</v>
      </c>
      <c r="K27" s="37">
        <f>SUM(K25:K26)</f>
        <v>1796.3999999999999</v>
      </c>
      <c r="L27" s="58">
        <f>SUM(L25:L26)</f>
        <v>4188.8</v>
      </c>
      <c r="M27" s="37">
        <f>K27/L27</f>
        <v>0.4288579067990832</v>
      </c>
      <c r="N27" s="35">
        <f t="shared" si="5"/>
        <v>0.9323196501286086</v>
      </c>
      <c r="O27" s="32">
        <v>33724.8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2.141752596284742</v>
      </c>
      <c r="S27" s="32" t="s">
        <v>50</v>
      </c>
      <c r="T27" s="39">
        <v>1</v>
      </c>
      <c r="U27" s="32">
        <f>SUM(U25:U26)</f>
        <v>33270.7</v>
      </c>
      <c r="V27" s="32">
        <f>SUM(V25:V26)</f>
        <v>38016.8</v>
      </c>
      <c r="W27" s="32">
        <f>U27/V27</f>
        <v>0.8751578249615958</v>
      </c>
      <c r="X27" s="39">
        <f t="shared" si="9"/>
        <v>0.9687320653452732</v>
      </c>
      <c r="Y27" s="34">
        <f>SUM(Y25:Y26)</f>
        <v>34579.2</v>
      </c>
      <c r="Z27" s="34">
        <f>SUM(Z25:Z26)</f>
        <v>33276</v>
      </c>
      <c r="AA27" s="34">
        <f>Y27/Z27</f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>
      <c r="A28" s="4"/>
      <c r="B28" s="18" t="s">
        <v>69</v>
      </c>
      <c r="C28" s="32">
        <f>C23+C27</f>
        <v>65437.6</v>
      </c>
      <c r="D28" s="32">
        <f>D23+D27</f>
        <v>66099.09999999999</v>
      </c>
      <c r="E28" s="32">
        <f t="shared" si="0"/>
        <v>1.0101088670733644</v>
      </c>
      <c r="F28" s="33">
        <f>(E28-1)/(1.7-1)</f>
        <v>0.014441238676234926</v>
      </c>
      <c r="G28" s="34">
        <f>G23+G27</f>
        <v>3545.6000000000004</v>
      </c>
      <c r="H28" s="34">
        <f>H23+H27</f>
        <v>3929.2</v>
      </c>
      <c r="I28" s="34">
        <f t="shared" si="2"/>
        <v>0.9023719841189047</v>
      </c>
      <c r="J28" s="35">
        <f>(I28-0.1)/(10.4-0.1)</f>
        <v>0.07790019263290338</v>
      </c>
      <c r="K28" s="37">
        <f>K23+K27</f>
        <v>3524.2</v>
      </c>
      <c r="L28" s="37">
        <f>L23+L27</f>
        <v>8016.1</v>
      </c>
      <c r="M28" s="37">
        <f>K28/L28</f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0.05210984128090082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74827.29999999999</v>
      </c>
      <c r="V28" s="32">
        <f>V23+V27</f>
        <v>59597</v>
      </c>
      <c r="W28" s="32">
        <f>U28/V28</f>
        <v>1.2555548098058624</v>
      </c>
      <c r="X28" s="39">
        <f t="shared" si="9"/>
        <v>0.9255051352493336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3:36" ht="1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3:36" ht="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sheetProtection/>
  <mergeCells count="51">
    <mergeCell ref="AB5:AB8"/>
    <mergeCell ref="W5:W8"/>
    <mergeCell ref="A3:A10"/>
    <mergeCell ref="B3:B10"/>
    <mergeCell ref="C3:N3"/>
    <mergeCell ref="O3:AB3"/>
    <mergeCell ref="S4:T4"/>
    <mergeCell ref="U4:X4"/>
    <mergeCell ref="G5:G10"/>
    <mergeCell ref="AC3:AM3"/>
    <mergeCell ref="C4:N4"/>
    <mergeCell ref="X5:X10"/>
    <mergeCell ref="L5:L10"/>
    <mergeCell ref="Y5:Y8"/>
    <mergeCell ref="Z5:Z8"/>
    <mergeCell ref="E5:E10"/>
    <mergeCell ref="F5:F10"/>
    <mergeCell ref="AC4:AD4"/>
    <mergeCell ref="AC5:AC10"/>
    <mergeCell ref="AN4:AN8"/>
    <mergeCell ref="AO4:AO8"/>
    <mergeCell ref="AH4:AI4"/>
    <mergeCell ref="AJ4:AK4"/>
    <mergeCell ref="AL4:AL10"/>
    <mergeCell ref="AJ5:AJ10"/>
    <mergeCell ref="AK5:AK10"/>
    <mergeCell ref="AH5:AH10"/>
    <mergeCell ref="AM4:AM10"/>
    <mergeCell ref="AI5:AI10"/>
    <mergeCell ref="V5:V10"/>
    <mergeCell ref="H5:H10"/>
    <mergeCell ref="P5:P10"/>
    <mergeCell ref="Q5:Q10"/>
    <mergeCell ref="U5:U10"/>
    <mergeCell ref="O5:O10"/>
    <mergeCell ref="AF5:AF10"/>
    <mergeCell ref="AF4:AG4"/>
    <mergeCell ref="R5:R10"/>
    <mergeCell ref="AA5:AA8"/>
    <mergeCell ref="AG5:AG10"/>
    <mergeCell ref="I5:I10"/>
    <mergeCell ref="J5:J10"/>
    <mergeCell ref="O4:R4"/>
    <mergeCell ref="AD5:AD8"/>
    <mergeCell ref="M5:M10"/>
    <mergeCell ref="B1:T2"/>
    <mergeCell ref="K6:K10"/>
    <mergeCell ref="S5:S10"/>
    <mergeCell ref="T5:T10"/>
    <mergeCell ref="C5:C10"/>
    <mergeCell ref="D5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"/>
  <sheetViews>
    <sheetView zoomScalePageLayoutView="0" workbookViewId="0" topLeftCell="B5">
      <pane xSplit="1" topLeftCell="AR1" activePane="topRight" state="frozen"/>
      <selection pane="topLeft" activeCell="B7" sqref="B7"/>
      <selection pane="topRight" activeCell="B17" sqref="A17:IV17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5.421875" style="0" customWidth="1"/>
    <col min="4" max="4" width="10.28125" style="0" customWidth="1"/>
    <col min="5" max="5" width="13.28125" style="0" customWidth="1"/>
    <col min="6" max="6" width="12.140625" style="0" customWidth="1"/>
    <col min="7" max="8" width="13.28125" style="0" customWidth="1"/>
    <col min="9" max="9" width="15.140625" style="0" customWidth="1"/>
    <col min="10" max="10" width="14.7109375" style="0" customWidth="1"/>
    <col min="11" max="13" width="13.28125" style="0" customWidth="1"/>
    <col min="14" max="14" width="14.7109375" style="0" customWidth="1"/>
    <col min="15" max="20" width="13.28125" style="0" customWidth="1"/>
    <col min="21" max="21" width="14.00390625" style="0" customWidth="1"/>
    <col min="22" max="22" width="14.8515625" style="0" customWidth="1"/>
    <col min="23" max="23" width="16.00390625" style="0" customWidth="1"/>
    <col min="24" max="24" width="11.140625" style="0" customWidth="1"/>
    <col min="25" max="25" width="12.7109375" style="0" customWidth="1"/>
    <col min="26" max="28" width="11.140625" style="0" customWidth="1"/>
    <col min="29" max="29" width="16.140625" style="0" customWidth="1"/>
    <col min="30" max="30" width="13.28125" style="0" customWidth="1"/>
    <col min="31" max="31" width="15.57421875" style="0" customWidth="1"/>
    <col min="32" max="32" width="10.8515625" style="0" customWidth="1"/>
    <col min="33" max="33" width="13.140625" style="0" customWidth="1"/>
    <col min="34" max="34" width="16.00390625" style="0" customWidth="1"/>
    <col min="35" max="35" width="10.7109375" style="0" customWidth="1"/>
    <col min="36" max="36" width="12.28125" style="0" customWidth="1"/>
    <col min="37" max="37" width="14.140625" style="0" customWidth="1"/>
    <col min="38" max="38" width="14.8515625" style="0" customWidth="1"/>
    <col min="39" max="39" width="14.7109375" style="0" customWidth="1"/>
    <col min="40" max="40" width="12.28125" style="0" customWidth="1"/>
    <col min="41" max="41" width="17.140625" style="0" customWidth="1"/>
    <col min="43" max="43" width="16.57421875" style="0" customWidth="1"/>
    <col min="44" max="44" width="9.57421875" style="0" customWidth="1"/>
    <col min="45" max="45" width="15.57421875" style="0" customWidth="1"/>
    <col min="46" max="46" width="14.8515625" style="0" customWidth="1"/>
    <col min="47" max="47" width="9.57421875" style="0" customWidth="1"/>
    <col min="48" max="48" width="14.28125" style="0" customWidth="1"/>
    <col min="49" max="49" width="10.28125" style="0" customWidth="1"/>
    <col min="50" max="50" width="13.7109375" style="1" customWidth="1"/>
    <col min="51" max="51" width="11.28125" style="0" customWidth="1"/>
    <col min="52" max="52" width="10.8515625" style="0" customWidth="1"/>
    <col min="53" max="53" width="12.140625" style="0" customWidth="1"/>
    <col min="54" max="54" width="16.28125" style="2" customWidth="1"/>
  </cols>
  <sheetData>
    <row r="1" spans="3:53" ht="15" customHeight="1">
      <c r="C1" s="72"/>
      <c r="D1" s="72"/>
      <c r="E1" s="72" t="s">
        <v>137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2:50" s="2" customFormat="1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8"/>
      <c r="Z2" s="78"/>
      <c r="AA2" s="78"/>
      <c r="AB2" s="78"/>
      <c r="AX2" s="3"/>
    </row>
    <row r="3" spans="1:54" ht="15" customHeight="1">
      <c r="A3" s="200" t="s">
        <v>0</v>
      </c>
      <c r="B3" s="154" t="s">
        <v>1</v>
      </c>
      <c r="C3" s="226" t="s">
        <v>74</v>
      </c>
      <c r="D3" s="226"/>
      <c r="E3" s="226"/>
      <c r="F3" s="226"/>
      <c r="G3" s="226"/>
      <c r="H3" s="226"/>
      <c r="I3" s="226"/>
      <c r="J3" s="226"/>
      <c r="K3" s="226"/>
      <c r="L3" s="226"/>
      <c r="M3" s="212" t="s">
        <v>3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4"/>
      <c r="AO3" s="211" t="s">
        <v>4</v>
      </c>
      <c r="AP3" s="211"/>
      <c r="AQ3" s="211"/>
      <c r="AR3" s="211"/>
      <c r="AS3" s="211"/>
      <c r="AT3" s="211"/>
      <c r="AU3" s="211"/>
      <c r="AV3" s="211"/>
      <c r="AW3" s="211"/>
      <c r="AX3" s="210"/>
      <c r="AY3" s="210"/>
      <c r="AZ3" s="210"/>
      <c r="BA3" s="210"/>
      <c r="BB3" s="210"/>
    </row>
    <row r="4" spans="1:54" ht="15.75" customHeight="1">
      <c r="A4" s="201"/>
      <c r="B4" s="155"/>
      <c r="C4" s="215" t="s">
        <v>136</v>
      </c>
      <c r="D4" s="175" t="s">
        <v>23</v>
      </c>
      <c r="E4" s="216" t="s">
        <v>76</v>
      </c>
      <c r="F4" s="221" t="s">
        <v>109</v>
      </c>
      <c r="G4" s="216" t="s">
        <v>75</v>
      </c>
      <c r="H4" s="177" t="s">
        <v>19</v>
      </c>
      <c r="I4" s="215" t="s">
        <v>77</v>
      </c>
      <c r="J4" s="215" t="s">
        <v>78</v>
      </c>
      <c r="K4" s="215" t="s">
        <v>79</v>
      </c>
      <c r="L4" s="177" t="s">
        <v>19</v>
      </c>
      <c r="M4" s="218" t="s">
        <v>72</v>
      </c>
      <c r="N4" s="218" t="s">
        <v>73</v>
      </c>
      <c r="O4" s="215" t="s">
        <v>80</v>
      </c>
      <c r="P4" s="175" t="s">
        <v>23</v>
      </c>
      <c r="Q4" s="222" t="s">
        <v>82</v>
      </c>
      <c r="R4" s="222" t="s">
        <v>41</v>
      </c>
      <c r="S4" s="222" t="s">
        <v>83</v>
      </c>
      <c r="T4" s="65"/>
      <c r="U4" s="215" t="s">
        <v>85</v>
      </c>
      <c r="V4" s="215" t="s">
        <v>86</v>
      </c>
      <c r="W4" s="215" t="s">
        <v>87</v>
      </c>
      <c r="X4" s="175" t="s">
        <v>23</v>
      </c>
      <c r="Y4" s="215" t="s">
        <v>88</v>
      </c>
      <c r="Z4" s="215" t="s">
        <v>139</v>
      </c>
      <c r="AA4" s="215" t="s">
        <v>140</v>
      </c>
      <c r="AB4" s="175" t="s">
        <v>23</v>
      </c>
      <c r="AC4" s="217" t="s">
        <v>30</v>
      </c>
      <c r="AD4" s="215" t="s">
        <v>141</v>
      </c>
      <c r="AE4" s="215" t="s">
        <v>90</v>
      </c>
      <c r="AF4" s="175" t="s">
        <v>23</v>
      </c>
      <c r="AG4" s="217" t="s">
        <v>91</v>
      </c>
      <c r="AH4" s="217" t="s">
        <v>92</v>
      </c>
      <c r="AI4" s="215" t="s">
        <v>93</v>
      </c>
      <c r="AJ4" s="175" t="s">
        <v>23</v>
      </c>
      <c r="AK4" s="217" t="s">
        <v>95</v>
      </c>
      <c r="AL4" s="217" t="s">
        <v>96</v>
      </c>
      <c r="AM4" s="215" t="s">
        <v>97</v>
      </c>
      <c r="AN4" s="175" t="s">
        <v>23</v>
      </c>
      <c r="AO4" s="215" t="s">
        <v>99</v>
      </c>
      <c r="AP4" s="175" t="s">
        <v>23</v>
      </c>
      <c r="AQ4" s="217" t="s">
        <v>39</v>
      </c>
      <c r="AR4" s="195" t="s">
        <v>23</v>
      </c>
      <c r="AS4" s="215" t="s">
        <v>101</v>
      </c>
      <c r="AT4" s="215" t="s">
        <v>37</v>
      </c>
      <c r="AU4" s="175" t="s">
        <v>23</v>
      </c>
      <c r="AV4" s="215" t="s">
        <v>108</v>
      </c>
      <c r="AW4" s="175" t="s">
        <v>23</v>
      </c>
      <c r="AX4" s="173" t="s">
        <v>103</v>
      </c>
      <c r="AY4" s="173" t="s">
        <v>104</v>
      </c>
      <c r="AZ4" s="155" t="s">
        <v>105</v>
      </c>
      <c r="BA4" s="155" t="s">
        <v>107</v>
      </c>
      <c r="BB4" s="225" t="s">
        <v>110</v>
      </c>
    </row>
    <row r="5" spans="1:54" ht="15.75" customHeight="1">
      <c r="A5" s="201"/>
      <c r="B5" s="155"/>
      <c r="C5" s="216"/>
      <c r="D5" s="176"/>
      <c r="E5" s="216"/>
      <c r="F5" s="217"/>
      <c r="G5" s="216"/>
      <c r="H5" s="195"/>
      <c r="I5" s="216"/>
      <c r="J5" s="216"/>
      <c r="K5" s="216"/>
      <c r="L5" s="195"/>
      <c r="M5" s="219"/>
      <c r="N5" s="219"/>
      <c r="O5" s="216"/>
      <c r="P5" s="176"/>
      <c r="Q5" s="223"/>
      <c r="R5" s="223"/>
      <c r="S5" s="223"/>
      <c r="T5" s="66"/>
      <c r="U5" s="216"/>
      <c r="V5" s="216"/>
      <c r="W5" s="216"/>
      <c r="X5" s="176"/>
      <c r="Y5" s="216"/>
      <c r="Z5" s="216"/>
      <c r="AA5" s="216"/>
      <c r="AB5" s="176"/>
      <c r="AC5" s="217"/>
      <c r="AD5" s="216"/>
      <c r="AE5" s="216"/>
      <c r="AF5" s="176"/>
      <c r="AG5" s="217"/>
      <c r="AH5" s="217"/>
      <c r="AI5" s="216"/>
      <c r="AJ5" s="176"/>
      <c r="AK5" s="217"/>
      <c r="AL5" s="217"/>
      <c r="AM5" s="216"/>
      <c r="AN5" s="176"/>
      <c r="AO5" s="216"/>
      <c r="AP5" s="176"/>
      <c r="AQ5" s="217"/>
      <c r="AR5" s="195"/>
      <c r="AS5" s="216"/>
      <c r="AT5" s="216"/>
      <c r="AU5" s="176"/>
      <c r="AV5" s="216"/>
      <c r="AW5" s="176"/>
      <c r="AX5" s="173"/>
      <c r="AY5" s="173"/>
      <c r="AZ5" s="155"/>
      <c r="BA5" s="155"/>
      <c r="BB5" s="225"/>
    </row>
    <row r="6" spans="1:54" ht="15" customHeight="1">
      <c r="A6" s="201"/>
      <c r="B6" s="155"/>
      <c r="C6" s="216"/>
      <c r="D6" s="176"/>
      <c r="E6" s="216"/>
      <c r="F6" s="217"/>
      <c r="G6" s="216"/>
      <c r="H6" s="195"/>
      <c r="I6" s="216"/>
      <c r="J6" s="216"/>
      <c r="K6" s="216"/>
      <c r="L6" s="195"/>
      <c r="M6" s="219"/>
      <c r="N6" s="219"/>
      <c r="O6" s="216"/>
      <c r="P6" s="176"/>
      <c r="Q6" s="223"/>
      <c r="R6" s="223"/>
      <c r="S6" s="223"/>
      <c r="T6" s="66"/>
      <c r="U6" s="216"/>
      <c r="V6" s="216"/>
      <c r="W6" s="216"/>
      <c r="X6" s="176"/>
      <c r="Y6" s="216"/>
      <c r="Z6" s="216"/>
      <c r="AA6" s="216"/>
      <c r="AB6" s="176"/>
      <c r="AC6" s="217"/>
      <c r="AD6" s="216"/>
      <c r="AE6" s="216"/>
      <c r="AF6" s="176"/>
      <c r="AG6" s="217"/>
      <c r="AH6" s="217"/>
      <c r="AI6" s="216"/>
      <c r="AJ6" s="176"/>
      <c r="AK6" s="217"/>
      <c r="AL6" s="217"/>
      <c r="AM6" s="216"/>
      <c r="AN6" s="176"/>
      <c r="AO6" s="216"/>
      <c r="AP6" s="176"/>
      <c r="AQ6" s="217"/>
      <c r="AR6" s="195"/>
      <c r="AS6" s="216"/>
      <c r="AT6" s="216"/>
      <c r="AU6" s="176"/>
      <c r="AV6" s="216"/>
      <c r="AW6" s="176"/>
      <c r="AX6" s="173"/>
      <c r="AY6" s="173"/>
      <c r="AZ6" s="155"/>
      <c r="BA6" s="155"/>
      <c r="BB6" s="225"/>
    </row>
    <row r="7" spans="1:54" ht="200.25" customHeight="1">
      <c r="A7" s="201"/>
      <c r="B7" s="155"/>
      <c r="C7" s="216"/>
      <c r="D7" s="176"/>
      <c r="E7" s="216"/>
      <c r="F7" s="217"/>
      <c r="G7" s="216"/>
      <c r="H7" s="195"/>
      <c r="I7" s="216"/>
      <c r="J7" s="216"/>
      <c r="K7" s="216"/>
      <c r="L7" s="195"/>
      <c r="M7" s="219"/>
      <c r="N7" s="219"/>
      <c r="O7" s="216"/>
      <c r="P7" s="176"/>
      <c r="Q7" s="223"/>
      <c r="R7" s="223"/>
      <c r="S7" s="223"/>
      <c r="T7" s="66" t="s">
        <v>23</v>
      </c>
      <c r="U7" s="216"/>
      <c r="V7" s="216"/>
      <c r="W7" s="216"/>
      <c r="X7" s="176"/>
      <c r="Y7" s="216"/>
      <c r="Z7" s="216"/>
      <c r="AA7" s="216"/>
      <c r="AB7" s="176"/>
      <c r="AC7" s="217"/>
      <c r="AD7" s="216"/>
      <c r="AE7" s="221"/>
      <c r="AF7" s="176"/>
      <c r="AG7" s="217"/>
      <c r="AH7" s="217"/>
      <c r="AI7" s="221"/>
      <c r="AJ7" s="176"/>
      <c r="AK7" s="217"/>
      <c r="AL7" s="217"/>
      <c r="AM7" s="221"/>
      <c r="AN7" s="176"/>
      <c r="AO7" s="216"/>
      <c r="AP7" s="176"/>
      <c r="AQ7" s="217"/>
      <c r="AR7" s="195"/>
      <c r="AS7" s="216"/>
      <c r="AT7" s="216"/>
      <c r="AU7" s="176"/>
      <c r="AV7" s="216"/>
      <c r="AW7" s="176"/>
      <c r="AX7" s="173"/>
      <c r="AY7" s="173"/>
      <c r="AZ7" s="156"/>
      <c r="BA7" s="156"/>
      <c r="BB7" s="225"/>
    </row>
    <row r="8" spans="1:54" ht="6.75" customHeight="1" hidden="1">
      <c r="A8" s="201"/>
      <c r="B8" s="155"/>
      <c r="C8" s="216"/>
      <c r="D8" s="176"/>
      <c r="E8" s="216"/>
      <c r="F8" s="217"/>
      <c r="G8" s="216"/>
      <c r="H8" s="195"/>
      <c r="I8" s="74"/>
      <c r="J8" s="74"/>
      <c r="K8" s="74"/>
      <c r="L8" s="195"/>
      <c r="M8" s="219"/>
      <c r="N8" s="219"/>
      <c r="O8" s="216"/>
      <c r="P8" s="176"/>
      <c r="Q8" s="223"/>
      <c r="R8" s="223"/>
      <c r="S8" s="223"/>
      <c r="T8" s="66"/>
      <c r="U8" s="216"/>
      <c r="V8" s="216"/>
      <c r="W8" s="216"/>
      <c r="X8" s="176"/>
      <c r="Y8" s="216"/>
      <c r="Z8" s="216"/>
      <c r="AA8" s="216"/>
      <c r="AB8" s="176"/>
      <c r="AC8" s="217"/>
      <c r="AD8" s="216"/>
      <c r="AE8" s="77"/>
      <c r="AF8" s="176"/>
      <c r="AG8" s="217"/>
      <c r="AH8" s="217"/>
      <c r="AI8" s="77"/>
      <c r="AJ8" s="176"/>
      <c r="AK8" s="217"/>
      <c r="AL8" s="217"/>
      <c r="AM8" s="77"/>
      <c r="AN8" s="176"/>
      <c r="AO8" s="76"/>
      <c r="AP8" s="76"/>
      <c r="AQ8" s="217"/>
      <c r="AR8" s="195"/>
      <c r="AS8" s="216"/>
      <c r="AT8" s="79"/>
      <c r="AU8" s="10"/>
      <c r="AV8" s="216"/>
      <c r="AW8" s="176"/>
      <c r="AX8" s="173"/>
      <c r="AY8" s="173"/>
      <c r="AZ8" s="80"/>
      <c r="BA8" s="14"/>
      <c r="BB8" s="86"/>
    </row>
    <row r="9" spans="1:54" ht="10.5" customHeight="1" hidden="1">
      <c r="A9" s="202"/>
      <c r="B9" s="156"/>
      <c r="C9" s="221"/>
      <c r="D9" s="177"/>
      <c r="E9" s="221"/>
      <c r="F9" s="217"/>
      <c r="G9" s="221"/>
      <c r="H9" s="195"/>
      <c r="I9" s="73"/>
      <c r="J9" s="73"/>
      <c r="K9" s="73"/>
      <c r="L9" s="195"/>
      <c r="M9" s="220"/>
      <c r="N9" s="220"/>
      <c r="O9" s="221"/>
      <c r="P9" s="177"/>
      <c r="Q9" s="224"/>
      <c r="R9" s="224"/>
      <c r="S9" s="224"/>
      <c r="T9" s="64"/>
      <c r="U9" s="221"/>
      <c r="V9" s="221"/>
      <c r="W9" s="221"/>
      <c r="X9" s="177"/>
      <c r="Y9" s="221"/>
      <c r="Z9" s="221"/>
      <c r="AA9" s="221"/>
      <c r="AB9" s="177"/>
      <c r="AC9" s="217"/>
      <c r="AD9" s="221"/>
      <c r="AE9" s="77"/>
      <c r="AF9" s="177"/>
      <c r="AG9" s="217"/>
      <c r="AH9" s="217"/>
      <c r="AI9" s="77"/>
      <c r="AJ9" s="177"/>
      <c r="AK9" s="217"/>
      <c r="AL9" s="217"/>
      <c r="AM9" s="77"/>
      <c r="AN9" s="177"/>
      <c r="AO9" s="75"/>
      <c r="AP9" s="75"/>
      <c r="AQ9" s="217"/>
      <c r="AR9" s="195"/>
      <c r="AS9" s="221"/>
      <c r="AT9" s="79"/>
      <c r="AU9" s="16"/>
      <c r="AV9" s="221"/>
      <c r="AW9" s="177"/>
      <c r="AX9" s="174"/>
      <c r="AY9" s="174"/>
      <c r="AZ9" s="80"/>
      <c r="BA9" s="14"/>
      <c r="BB9" s="86"/>
    </row>
    <row r="10" spans="1:54" s="83" customFormat="1" ht="24.75" customHeight="1">
      <c r="A10" s="81">
        <v>1</v>
      </c>
      <c r="B10" s="81">
        <v>1</v>
      </c>
      <c r="C10" s="104">
        <v>2</v>
      </c>
      <c r="D10" s="104">
        <v>3</v>
      </c>
      <c r="E10" s="104">
        <v>4</v>
      </c>
      <c r="F10" s="104">
        <v>5</v>
      </c>
      <c r="G10" s="105" t="s">
        <v>145</v>
      </c>
      <c r="H10" s="111">
        <v>7</v>
      </c>
      <c r="I10" s="107">
        <v>8</v>
      </c>
      <c r="J10" s="107">
        <v>9</v>
      </c>
      <c r="K10" s="107">
        <v>10</v>
      </c>
      <c r="L10" s="107">
        <v>11</v>
      </c>
      <c r="M10" s="108">
        <v>12</v>
      </c>
      <c r="N10" s="108">
        <v>13</v>
      </c>
      <c r="O10" s="108" t="s">
        <v>81</v>
      </c>
      <c r="P10" s="105">
        <v>15</v>
      </c>
      <c r="Q10" s="105">
        <v>16</v>
      </c>
      <c r="R10" s="105">
        <v>17</v>
      </c>
      <c r="S10" s="105" t="s">
        <v>84</v>
      </c>
      <c r="T10" s="105">
        <v>19</v>
      </c>
      <c r="U10" s="108">
        <v>20</v>
      </c>
      <c r="V10" s="109">
        <v>21</v>
      </c>
      <c r="W10" s="109">
        <v>22</v>
      </c>
      <c r="X10" s="108">
        <v>23</v>
      </c>
      <c r="Y10" s="108">
        <v>24</v>
      </c>
      <c r="Z10" s="108">
        <v>25</v>
      </c>
      <c r="AA10" s="108">
        <v>26</v>
      </c>
      <c r="AB10" s="108">
        <v>27</v>
      </c>
      <c r="AC10" s="105">
        <v>28</v>
      </c>
      <c r="AD10" s="105">
        <v>29</v>
      </c>
      <c r="AE10" s="105" t="s">
        <v>89</v>
      </c>
      <c r="AF10" s="105">
        <v>31</v>
      </c>
      <c r="AG10" s="105">
        <v>32</v>
      </c>
      <c r="AH10" s="105">
        <v>33</v>
      </c>
      <c r="AI10" s="105" t="s">
        <v>94</v>
      </c>
      <c r="AJ10" s="105">
        <v>35</v>
      </c>
      <c r="AK10" s="105">
        <v>36</v>
      </c>
      <c r="AL10" s="105">
        <v>37</v>
      </c>
      <c r="AM10" s="105" t="s">
        <v>98</v>
      </c>
      <c r="AN10" s="105">
        <v>39</v>
      </c>
      <c r="AO10" s="105">
        <v>40</v>
      </c>
      <c r="AP10" s="105">
        <v>41</v>
      </c>
      <c r="AQ10" s="105">
        <v>42</v>
      </c>
      <c r="AR10" s="105">
        <v>43</v>
      </c>
      <c r="AS10" s="105" t="s">
        <v>102</v>
      </c>
      <c r="AT10" s="105">
        <v>45</v>
      </c>
      <c r="AU10" s="105">
        <v>46</v>
      </c>
      <c r="AV10" s="105">
        <v>47</v>
      </c>
      <c r="AW10" s="105">
        <v>48</v>
      </c>
      <c r="AX10" s="82">
        <v>49</v>
      </c>
      <c r="AY10" s="81">
        <v>50</v>
      </c>
      <c r="AZ10" s="81">
        <v>51</v>
      </c>
      <c r="BA10" s="81">
        <v>52</v>
      </c>
      <c r="BB10" s="87">
        <v>53</v>
      </c>
    </row>
    <row r="11" spans="1:54" ht="15" customHeight="1">
      <c r="A11" s="27"/>
      <c r="B11" s="69" t="s">
        <v>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7"/>
      <c r="R11" s="27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85"/>
      <c r="AY11" s="85"/>
      <c r="AZ11" s="85"/>
      <c r="BA11" s="85"/>
      <c r="BB11" s="88"/>
    </row>
    <row r="12" spans="1:54" ht="15" customHeight="1">
      <c r="A12" s="63"/>
      <c r="B12" s="102" t="s">
        <v>122</v>
      </c>
      <c r="C12" s="118" t="s">
        <v>100</v>
      </c>
      <c r="D12" s="124">
        <v>1</v>
      </c>
      <c r="E12" s="125">
        <v>441.5</v>
      </c>
      <c r="F12" s="125">
        <v>673.2</v>
      </c>
      <c r="G12" s="134">
        <f>(F12-E12)/E12</f>
        <v>0.5248018120045301</v>
      </c>
      <c r="H12" s="135">
        <f>(G17-G12)/(G17-G21)</f>
        <v>0.7751810526031261</v>
      </c>
      <c r="I12" s="120">
        <v>3760.7</v>
      </c>
      <c r="J12" s="120">
        <v>1571.5</v>
      </c>
      <c r="K12" s="134">
        <f>(I12-J12)/J12</f>
        <v>1.3930639516385617</v>
      </c>
      <c r="L12" s="135">
        <f>(K23-K12)/(K23-K21)</f>
        <v>0.029158536959706067</v>
      </c>
      <c r="M12" s="122">
        <v>673.4</v>
      </c>
      <c r="N12" s="122">
        <v>453.5</v>
      </c>
      <c r="O12" s="131">
        <f>M12/N12</f>
        <v>1.4848952590959206</v>
      </c>
      <c r="P12" s="129">
        <f>(O12-O21)/(O25-O21)</f>
        <v>0.03387800078884905</v>
      </c>
      <c r="Q12" s="132">
        <v>14393.7</v>
      </c>
      <c r="R12" s="132">
        <v>21955.38</v>
      </c>
      <c r="S12" s="133">
        <f>R12-Q12</f>
        <v>7561.68</v>
      </c>
      <c r="T12" s="129">
        <v>0</v>
      </c>
      <c r="U12" s="130">
        <v>0</v>
      </c>
      <c r="V12" s="130">
        <v>3742.4</v>
      </c>
      <c r="W12" s="131">
        <f>U12/V12</f>
        <v>0</v>
      </c>
      <c r="X12" s="124">
        <v>1</v>
      </c>
      <c r="Y12" s="122">
        <v>0</v>
      </c>
      <c r="Z12" s="122">
        <v>0</v>
      </c>
      <c r="AA12" s="122">
        <v>0</v>
      </c>
      <c r="AB12" s="124">
        <v>1</v>
      </c>
      <c r="AC12" s="122">
        <v>3030.8</v>
      </c>
      <c r="AD12" s="122">
        <v>673.4</v>
      </c>
      <c r="AE12" s="128">
        <f>AC12/AD12</f>
        <v>4.5007425007425015</v>
      </c>
      <c r="AF12" s="124">
        <f>(AE21-AE12)/(AE21-AE18)</f>
        <v>0.9313550993823687</v>
      </c>
      <c r="AG12" s="122">
        <v>0</v>
      </c>
      <c r="AH12" s="122">
        <v>0</v>
      </c>
      <c r="AI12" s="122">
        <v>0</v>
      </c>
      <c r="AJ12" s="124">
        <v>0</v>
      </c>
      <c r="AK12" s="122">
        <v>540.2</v>
      </c>
      <c r="AL12" s="122">
        <v>569.1</v>
      </c>
      <c r="AM12" s="123">
        <f>AK12/AL12</f>
        <v>0.9492180636092076</v>
      </c>
      <c r="AN12" s="124">
        <f>(AM24-AM12)/(AM24-AM19)</f>
        <v>1.4518044214516428</v>
      </c>
      <c r="AO12" s="125" t="s">
        <v>106</v>
      </c>
      <c r="AP12" s="114">
        <v>1</v>
      </c>
      <c r="AQ12" s="118" t="s">
        <v>100</v>
      </c>
      <c r="AR12" s="114">
        <v>1</v>
      </c>
      <c r="AS12" s="115" t="s">
        <v>51</v>
      </c>
      <c r="AT12" s="116" t="s">
        <v>51</v>
      </c>
      <c r="AU12" s="117" t="s">
        <v>51</v>
      </c>
      <c r="AV12" s="118" t="s">
        <v>50</v>
      </c>
      <c r="AW12" s="119">
        <v>1</v>
      </c>
      <c r="AX12" s="120">
        <f aca="true" t="shared" si="0" ref="AX12:AX25">(D12*1)+(H12*1)+(L12*1.5)</f>
        <v>1.8189188580426854</v>
      </c>
      <c r="AY12" s="121">
        <f aca="true" t="shared" si="1" ref="AY12:AY25">(P12*2)+(T12*1.4)+(X12*1)+(AB12*2)+(AF12*1)+(AJ12*0.5)+(AN12*0.5)</f>
        <v>4.725013311685888</v>
      </c>
      <c r="AZ12" s="121">
        <f>(AP12*0.5)+(AR12*0.7)+(AU12*0.5)+(AW12*1)</f>
        <v>2.2</v>
      </c>
      <c r="BA12" s="110">
        <f>(AX12*2)+(AY12*2.5)+(AZ12*1)</f>
        <v>17.65037099530009</v>
      </c>
      <c r="BB12" s="113">
        <f>степень!D7</f>
        <v>3</v>
      </c>
    </row>
    <row r="13" spans="1:54" ht="15" customHeight="1">
      <c r="A13" s="63"/>
      <c r="B13" s="102" t="s">
        <v>123</v>
      </c>
      <c r="C13" s="118" t="s">
        <v>100</v>
      </c>
      <c r="D13" s="124">
        <v>1</v>
      </c>
      <c r="E13" s="125">
        <v>342.5</v>
      </c>
      <c r="F13" s="125">
        <v>413.4</v>
      </c>
      <c r="G13" s="134">
        <f>(F13-E13)/E13</f>
        <v>0.20700729927007291</v>
      </c>
      <c r="H13" s="135">
        <f>(G17-G13)/(G17-G21)</f>
        <v>0.8720026055041366</v>
      </c>
      <c r="I13" s="120">
        <v>3826</v>
      </c>
      <c r="J13" s="120">
        <v>1726.1</v>
      </c>
      <c r="K13" s="134">
        <f aca="true" t="shared" si="2" ref="K13:K25">(I13-J13)/J13</f>
        <v>1.2165575574995655</v>
      </c>
      <c r="L13" s="135">
        <f>(K23-K13)/(K23-K21)</f>
        <v>0.11512525656136244</v>
      </c>
      <c r="M13" s="122">
        <v>414.8</v>
      </c>
      <c r="N13" s="122">
        <v>381.5</v>
      </c>
      <c r="O13" s="131">
        <f aca="true" t="shared" si="3" ref="O13:O25">M13/N13</f>
        <v>1.087287024901704</v>
      </c>
      <c r="P13" s="129">
        <f>(O13-O21)/(O25-O21)</f>
        <v>0.015022867933597766</v>
      </c>
      <c r="Q13" s="132">
        <v>14739.72</v>
      </c>
      <c r="R13" s="132">
        <v>14651.68</v>
      </c>
      <c r="S13" s="133">
        <f aca="true" t="shared" si="4" ref="S13:S25">R13-Q13</f>
        <v>-88.03999999999905</v>
      </c>
      <c r="T13" s="129">
        <v>1</v>
      </c>
      <c r="U13" s="130">
        <v>0</v>
      </c>
      <c r="V13" s="130">
        <v>3826</v>
      </c>
      <c r="W13" s="131">
        <f aca="true" t="shared" si="5" ref="W13:W25">U13/V13</f>
        <v>0</v>
      </c>
      <c r="X13" s="124">
        <v>1</v>
      </c>
      <c r="Y13" s="122">
        <v>0</v>
      </c>
      <c r="Z13" s="122">
        <v>0</v>
      </c>
      <c r="AA13" s="122">
        <v>0</v>
      </c>
      <c r="AB13" s="124">
        <v>1</v>
      </c>
      <c r="AC13" s="122">
        <v>3168</v>
      </c>
      <c r="AD13" s="122">
        <v>414.8</v>
      </c>
      <c r="AE13" s="128">
        <f aca="true" t="shared" si="6" ref="AE13:AE25">AC13/AD13</f>
        <v>7.6374156219864995</v>
      </c>
      <c r="AF13" s="124">
        <f>(AE21-AE13)/(AE21-AE18)</f>
        <v>0.882053312553127</v>
      </c>
      <c r="AG13" s="122">
        <v>0</v>
      </c>
      <c r="AH13" s="122">
        <v>0</v>
      </c>
      <c r="AI13" s="122">
        <v>0</v>
      </c>
      <c r="AJ13" s="124">
        <v>0</v>
      </c>
      <c r="AK13" s="122">
        <v>479.8</v>
      </c>
      <c r="AL13" s="122">
        <v>517.7</v>
      </c>
      <c r="AM13" s="123">
        <f>AK13/AL13</f>
        <v>0.9267915781340544</v>
      </c>
      <c r="AN13" s="124">
        <f>(AM24-AM13)/(AM24-AM19)</f>
        <v>1.6200919139608267</v>
      </c>
      <c r="AO13" s="125" t="s">
        <v>106</v>
      </c>
      <c r="AP13" s="114">
        <v>1</v>
      </c>
      <c r="AQ13" s="118" t="s">
        <v>100</v>
      </c>
      <c r="AR13" s="114">
        <v>1</v>
      </c>
      <c r="AS13" s="115" t="s">
        <v>51</v>
      </c>
      <c r="AT13" s="116" t="s">
        <v>51</v>
      </c>
      <c r="AU13" s="117" t="s">
        <v>51</v>
      </c>
      <c r="AV13" s="118" t="s">
        <v>50</v>
      </c>
      <c r="AW13" s="119">
        <v>1</v>
      </c>
      <c r="AX13" s="120">
        <f t="shared" si="0"/>
        <v>2.0446904903461802</v>
      </c>
      <c r="AY13" s="121">
        <f t="shared" si="1"/>
        <v>6.1221450054007365</v>
      </c>
      <c r="AZ13" s="121">
        <f aca="true" t="shared" si="7" ref="AZ13:AZ25">(AP13*0.5)+(AR13*0.7)+(AU13*0.5)+(AW13*1)</f>
        <v>2.2</v>
      </c>
      <c r="BA13" s="110">
        <f aca="true" t="shared" si="8" ref="BA13:BA25">(AX13*2)+(AY13*2.5)+(AZ13*1)</f>
        <v>21.5947434941942</v>
      </c>
      <c r="BB13" s="113">
        <f>степень!D8</f>
        <v>2</v>
      </c>
    </row>
    <row r="14" spans="1:54" ht="15" customHeight="1">
      <c r="A14" s="63"/>
      <c r="B14" s="102" t="s">
        <v>124</v>
      </c>
      <c r="C14" s="118" t="s">
        <v>100</v>
      </c>
      <c r="D14" s="124">
        <v>1</v>
      </c>
      <c r="E14" s="125">
        <v>1054.5</v>
      </c>
      <c r="F14" s="125">
        <v>1492.6</v>
      </c>
      <c r="G14" s="134">
        <f aca="true" t="shared" si="9" ref="G14:G25">(F14-E14)/E14</f>
        <v>0.4154575628259838</v>
      </c>
      <c r="H14" s="135">
        <f>(G17-G14)/(G17-G21)</f>
        <v>0.808494654890237</v>
      </c>
      <c r="I14" s="120">
        <v>4672.7</v>
      </c>
      <c r="J14" s="120">
        <v>2491.2</v>
      </c>
      <c r="K14" s="134">
        <f t="shared" si="2"/>
        <v>0.8756824020552345</v>
      </c>
      <c r="L14" s="135">
        <f>(K23-K14)/(K23-K21)</f>
        <v>0.2811471111814134</v>
      </c>
      <c r="M14" s="122">
        <v>1495.1</v>
      </c>
      <c r="N14" s="122">
        <v>1893.8</v>
      </c>
      <c r="O14" s="131">
        <f t="shared" si="3"/>
        <v>0.7894709050586123</v>
      </c>
      <c r="P14" s="129">
        <f>(O14-O21)/(O25-O21)</f>
        <v>0.0009000152782525101</v>
      </c>
      <c r="Q14" s="132">
        <v>218002.76</v>
      </c>
      <c r="R14" s="132">
        <v>41669.55</v>
      </c>
      <c r="S14" s="133">
        <f t="shared" si="4"/>
        <v>-176333.21000000002</v>
      </c>
      <c r="T14" s="129">
        <v>1</v>
      </c>
      <c r="U14" s="130">
        <v>0</v>
      </c>
      <c r="V14" s="122">
        <v>4479</v>
      </c>
      <c r="W14" s="131">
        <f t="shared" si="5"/>
        <v>0</v>
      </c>
      <c r="X14" s="124">
        <v>1</v>
      </c>
      <c r="Y14" s="122">
        <v>0</v>
      </c>
      <c r="Z14" s="122">
        <v>0</v>
      </c>
      <c r="AA14" s="122">
        <v>0</v>
      </c>
      <c r="AB14" s="124">
        <v>1</v>
      </c>
      <c r="AC14" s="122">
        <v>2794.8</v>
      </c>
      <c r="AD14" s="122">
        <v>1495.1</v>
      </c>
      <c r="AE14" s="128">
        <f t="shared" si="6"/>
        <v>1.8693064009096383</v>
      </c>
      <c r="AF14" s="124">
        <f>(AE21-AE14)/(AE21-AE18)</f>
        <v>0.9727156417895669</v>
      </c>
      <c r="AG14" s="122">
        <v>0</v>
      </c>
      <c r="AH14" s="122">
        <v>0</v>
      </c>
      <c r="AI14" s="122">
        <v>0</v>
      </c>
      <c r="AJ14" s="124">
        <v>0</v>
      </c>
      <c r="AK14" s="122">
        <v>513.5</v>
      </c>
      <c r="AL14" s="122">
        <v>494.4</v>
      </c>
      <c r="AM14" s="123">
        <f>AK14/AL14</f>
        <v>1.0386326860841424</v>
      </c>
      <c r="AN14" s="124">
        <f>(AM24-AM14)/(AM24-AM19)</f>
        <v>0.7808405012853086</v>
      </c>
      <c r="AO14" s="125" t="s">
        <v>106</v>
      </c>
      <c r="AP14" s="114">
        <v>1</v>
      </c>
      <c r="AQ14" s="118" t="s">
        <v>100</v>
      </c>
      <c r="AR14" s="114">
        <v>1</v>
      </c>
      <c r="AS14" s="115" t="s">
        <v>51</v>
      </c>
      <c r="AT14" s="116" t="s">
        <v>52</v>
      </c>
      <c r="AU14" s="117" t="s">
        <v>52</v>
      </c>
      <c r="AV14" s="118" t="s">
        <v>50</v>
      </c>
      <c r="AW14" s="119">
        <v>1</v>
      </c>
      <c r="AX14" s="120">
        <f t="shared" si="0"/>
        <v>2.230215321662357</v>
      </c>
      <c r="AY14" s="121">
        <f t="shared" si="1"/>
        <v>5.764935922988726</v>
      </c>
      <c r="AZ14" s="121">
        <f t="shared" si="7"/>
        <v>2.7</v>
      </c>
      <c r="BA14" s="110">
        <f t="shared" si="8"/>
        <v>21.57277045079653</v>
      </c>
      <c r="BB14" s="113">
        <f>степень!D9</f>
        <v>2</v>
      </c>
    </row>
    <row r="15" spans="1:54" ht="15" customHeight="1">
      <c r="A15" s="100" t="s">
        <v>122</v>
      </c>
      <c r="B15" s="102" t="s">
        <v>125</v>
      </c>
      <c r="C15" s="118" t="s">
        <v>100</v>
      </c>
      <c r="D15" s="124">
        <v>1</v>
      </c>
      <c r="E15" s="125">
        <v>231</v>
      </c>
      <c r="F15" s="125">
        <v>250.9</v>
      </c>
      <c r="G15" s="134">
        <f t="shared" si="9"/>
        <v>0.08614718614718617</v>
      </c>
      <c r="H15" s="135">
        <f>(G17-G15)/(G17-G21)</f>
        <v>0.9088247133991447</v>
      </c>
      <c r="I15" s="120">
        <v>2597.1</v>
      </c>
      <c r="J15" s="120">
        <v>1197.3</v>
      </c>
      <c r="K15" s="134">
        <f t="shared" si="2"/>
        <v>1.1691305437233777</v>
      </c>
      <c r="L15" s="135">
        <f>(K26-K15)/(K26-K24)</f>
        <v>2.7747664706497734</v>
      </c>
      <c r="M15" s="122">
        <v>251.2</v>
      </c>
      <c r="N15" s="122">
        <v>236.8</v>
      </c>
      <c r="O15" s="131">
        <f t="shared" si="3"/>
        <v>1.0608108108108107</v>
      </c>
      <c r="P15" s="129">
        <f>(O15-O21)/(O25-O21)</f>
        <v>0.013767329211670743</v>
      </c>
      <c r="Q15" s="132">
        <v>9618.17</v>
      </c>
      <c r="R15" s="132">
        <v>2812.07</v>
      </c>
      <c r="S15" s="133">
        <f t="shared" si="4"/>
        <v>-6806.1</v>
      </c>
      <c r="T15" s="129">
        <v>1</v>
      </c>
      <c r="U15" s="130">
        <v>0</v>
      </c>
      <c r="V15" s="122">
        <v>2403.8</v>
      </c>
      <c r="W15" s="131">
        <f t="shared" si="5"/>
        <v>0</v>
      </c>
      <c r="X15" s="124">
        <v>1</v>
      </c>
      <c r="Y15" s="122">
        <v>0</v>
      </c>
      <c r="Z15" s="122">
        <v>0</v>
      </c>
      <c r="AA15" s="122">
        <v>0</v>
      </c>
      <c r="AB15" s="124">
        <v>1</v>
      </c>
      <c r="AC15" s="122">
        <v>2065.8</v>
      </c>
      <c r="AD15" s="122">
        <v>251</v>
      </c>
      <c r="AE15" s="128">
        <f t="shared" si="6"/>
        <v>8.230278884462152</v>
      </c>
      <c r="AF15" s="124">
        <f>(AE21-AE15)/(AE21-AE18)</f>
        <v>0.8727347712019418</v>
      </c>
      <c r="AG15" s="122">
        <v>0</v>
      </c>
      <c r="AH15" s="122">
        <v>0</v>
      </c>
      <c r="AI15" s="122">
        <v>0</v>
      </c>
      <c r="AJ15" s="124">
        <v>0</v>
      </c>
      <c r="AK15" s="122">
        <v>850.6</v>
      </c>
      <c r="AL15" s="122">
        <v>800.6</v>
      </c>
      <c r="AM15" s="123">
        <f>AK15/AL15</f>
        <v>1.0624531601299025</v>
      </c>
      <c r="AN15" s="124">
        <f>(AM24-AM15)/(AM24-AM19)</f>
        <v>0.6020925716561922</v>
      </c>
      <c r="AO15" s="125" t="s">
        <v>106</v>
      </c>
      <c r="AP15" s="114">
        <v>1</v>
      </c>
      <c r="AQ15" s="118" t="s">
        <v>100</v>
      </c>
      <c r="AR15" s="114">
        <v>1</v>
      </c>
      <c r="AS15" s="115" t="s">
        <v>51</v>
      </c>
      <c r="AT15" s="116" t="s">
        <v>52</v>
      </c>
      <c r="AU15" s="117" t="s">
        <v>52</v>
      </c>
      <c r="AV15" s="118" t="s">
        <v>50</v>
      </c>
      <c r="AW15" s="119">
        <v>1</v>
      </c>
      <c r="AX15" s="120">
        <f t="shared" si="0"/>
        <v>6.070974419373805</v>
      </c>
      <c r="AY15" s="121">
        <f t="shared" si="1"/>
        <v>5.601315715453379</v>
      </c>
      <c r="AZ15" s="121">
        <f t="shared" si="7"/>
        <v>2.7</v>
      </c>
      <c r="BA15" s="110">
        <f t="shared" si="8"/>
        <v>28.845238127381055</v>
      </c>
      <c r="BB15" s="113">
        <f>степень!D10</f>
        <v>1</v>
      </c>
    </row>
    <row r="16" spans="1:54" ht="15" customHeight="1">
      <c r="A16" s="100"/>
      <c r="B16" s="103" t="s">
        <v>126</v>
      </c>
      <c r="C16" s="118" t="s">
        <v>100</v>
      </c>
      <c r="D16" s="124">
        <v>1</v>
      </c>
      <c r="E16" s="125">
        <v>7019.4</v>
      </c>
      <c r="F16" s="125">
        <v>6260.9</v>
      </c>
      <c r="G16" s="134">
        <f t="shared" si="9"/>
        <v>-0.10805766874661653</v>
      </c>
      <c r="H16" s="135">
        <f>(G17-G16)/(G17-G21)</f>
        <v>0.967992555757219</v>
      </c>
      <c r="I16" s="120">
        <v>7852.6</v>
      </c>
      <c r="J16" s="120">
        <v>8117.8</v>
      </c>
      <c r="K16" s="134">
        <f t="shared" si="2"/>
        <v>-0.03266894971544012</v>
      </c>
      <c r="L16" s="135">
        <f>(K27-K16)/(K27-K25)</f>
        <v>-0.038060715421687735</v>
      </c>
      <c r="M16" s="122">
        <v>6274.2</v>
      </c>
      <c r="N16" s="122">
        <v>7091.2</v>
      </c>
      <c r="O16" s="131">
        <f t="shared" si="3"/>
        <v>0.8847867779783394</v>
      </c>
      <c r="P16" s="129">
        <f>(O16-O21)/(O25-O21)</f>
        <v>0.005420025913238105</v>
      </c>
      <c r="Q16" s="132">
        <v>247993.93</v>
      </c>
      <c r="R16" s="132">
        <v>236830.98</v>
      </c>
      <c r="S16" s="133">
        <f t="shared" si="4"/>
        <v>-11162.949999999983</v>
      </c>
      <c r="T16" s="129">
        <v>1</v>
      </c>
      <c r="U16" s="130">
        <v>0</v>
      </c>
      <c r="V16" s="122">
        <v>7774</v>
      </c>
      <c r="W16" s="131">
        <f t="shared" si="5"/>
        <v>0</v>
      </c>
      <c r="X16" s="124">
        <v>1</v>
      </c>
      <c r="Y16" s="122">
        <v>0</v>
      </c>
      <c r="Z16" s="122">
        <v>0</v>
      </c>
      <c r="AA16" s="122">
        <v>0</v>
      </c>
      <c r="AB16" s="124">
        <v>1</v>
      </c>
      <c r="AC16" s="122">
        <v>1098.4</v>
      </c>
      <c r="AD16" s="122">
        <v>6274.2</v>
      </c>
      <c r="AE16" s="128">
        <f t="shared" si="6"/>
        <v>0.17506614389085462</v>
      </c>
      <c r="AF16" s="124">
        <f>(AE21-AE16)/(AE21-AE18)</f>
        <v>0.9993454717910853</v>
      </c>
      <c r="AG16" s="122">
        <v>0</v>
      </c>
      <c r="AH16" s="122">
        <v>0</v>
      </c>
      <c r="AI16" s="122">
        <v>0</v>
      </c>
      <c r="AJ16" s="124">
        <v>0</v>
      </c>
      <c r="AK16" s="122">
        <v>80.1</v>
      </c>
      <c r="AL16" s="122">
        <v>76.7</v>
      </c>
      <c r="AM16" s="123">
        <f aca="true" t="shared" si="10" ref="AM16:AM25">AK16/AL16</f>
        <v>1.044328552803129</v>
      </c>
      <c r="AN16" s="124">
        <f>(AM24-AM16)/(AM24-AM19)</f>
        <v>0.7380989344505605</v>
      </c>
      <c r="AO16" s="125" t="s">
        <v>106</v>
      </c>
      <c r="AP16" s="114">
        <v>1</v>
      </c>
      <c r="AQ16" s="118" t="s">
        <v>100</v>
      </c>
      <c r="AR16" s="114">
        <v>1</v>
      </c>
      <c r="AS16" s="115" t="s">
        <v>51</v>
      </c>
      <c r="AT16" s="116" t="s">
        <v>51</v>
      </c>
      <c r="AU16" s="117" t="s">
        <v>51</v>
      </c>
      <c r="AV16" s="118" t="s">
        <v>50</v>
      </c>
      <c r="AW16" s="119">
        <v>1</v>
      </c>
      <c r="AX16" s="120">
        <f t="shared" si="0"/>
        <v>1.9109014826246875</v>
      </c>
      <c r="AY16" s="121">
        <f t="shared" si="1"/>
        <v>5.779234990842841</v>
      </c>
      <c r="AZ16" s="121">
        <f t="shared" si="7"/>
        <v>2.2</v>
      </c>
      <c r="BA16" s="110">
        <f t="shared" si="8"/>
        <v>20.469890442356476</v>
      </c>
      <c r="BB16" s="113">
        <f>степень!D11</f>
        <v>2</v>
      </c>
    </row>
    <row r="17" spans="1:54" ht="15" customHeight="1">
      <c r="A17" s="100"/>
      <c r="B17" s="102" t="s">
        <v>127</v>
      </c>
      <c r="C17" s="118" t="s">
        <v>100</v>
      </c>
      <c r="D17" s="124">
        <v>1</v>
      </c>
      <c r="E17" s="125">
        <v>399.1</v>
      </c>
      <c r="F17" s="125">
        <v>1624</v>
      </c>
      <c r="G17" s="127">
        <f t="shared" si="9"/>
        <v>3.0691556001002254</v>
      </c>
      <c r="H17" s="135">
        <f>(G17-G17)/(G17-G21)</f>
        <v>0</v>
      </c>
      <c r="I17" s="120">
        <v>3543.6</v>
      </c>
      <c r="J17" s="120">
        <v>1069.2</v>
      </c>
      <c r="K17" s="134">
        <f t="shared" si="2"/>
        <v>2.3142536475869804</v>
      </c>
      <c r="L17" s="135">
        <f>(K23-K17)/(K23-K21)</f>
        <v>-0.4195031485153852</v>
      </c>
      <c r="M17" s="122">
        <v>1722.5</v>
      </c>
      <c r="N17" s="122">
        <v>1255.4</v>
      </c>
      <c r="O17" s="131">
        <f t="shared" si="3"/>
        <v>1.3720726461685517</v>
      </c>
      <c r="P17" s="129">
        <f>(O17-O21)/(O25-O21)</f>
        <v>0.028527796308971422</v>
      </c>
      <c r="Q17" s="132">
        <v>9798.57</v>
      </c>
      <c r="R17" s="132">
        <v>9865.32</v>
      </c>
      <c r="S17" s="133">
        <f t="shared" si="4"/>
        <v>66.75</v>
      </c>
      <c r="T17" s="129">
        <v>0</v>
      </c>
      <c r="U17" s="130">
        <v>0</v>
      </c>
      <c r="V17" s="122">
        <v>3539.3</v>
      </c>
      <c r="W17" s="131">
        <f t="shared" si="5"/>
        <v>0</v>
      </c>
      <c r="X17" s="124">
        <v>1</v>
      </c>
      <c r="Y17" s="122">
        <v>0</v>
      </c>
      <c r="Z17" s="122">
        <v>0</v>
      </c>
      <c r="AA17" s="122">
        <v>0</v>
      </c>
      <c r="AB17" s="124">
        <v>1</v>
      </c>
      <c r="AC17" s="122">
        <v>1918.2</v>
      </c>
      <c r="AD17" s="122">
        <v>1722.5</v>
      </c>
      <c r="AE17" s="128">
        <f t="shared" si="6"/>
        <v>1.1136139332365749</v>
      </c>
      <c r="AF17" s="124">
        <f>(AE21-AE17)/(AE21-AE18)</f>
        <v>0.9845935096800231</v>
      </c>
      <c r="AG17" s="122">
        <v>0</v>
      </c>
      <c r="AH17" s="122">
        <v>0</v>
      </c>
      <c r="AI17" s="122">
        <v>0</v>
      </c>
      <c r="AJ17" s="124">
        <v>0</v>
      </c>
      <c r="AK17" s="122">
        <v>283.5</v>
      </c>
      <c r="AL17" s="122">
        <v>541.4</v>
      </c>
      <c r="AM17" s="123">
        <f t="shared" si="10"/>
        <v>0.5236424085703731</v>
      </c>
      <c r="AN17" s="124">
        <f>(AM24-AM17)/(AM24-AM19)</f>
        <v>4.645307921533608</v>
      </c>
      <c r="AO17" s="125" t="s">
        <v>106</v>
      </c>
      <c r="AP17" s="114">
        <v>1</v>
      </c>
      <c r="AQ17" s="118" t="s">
        <v>100</v>
      </c>
      <c r="AR17" s="114">
        <v>1</v>
      </c>
      <c r="AS17" s="115" t="s">
        <v>51</v>
      </c>
      <c r="AT17" s="116" t="s">
        <v>51</v>
      </c>
      <c r="AU17" s="117" t="s">
        <v>51</v>
      </c>
      <c r="AV17" s="118" t="s">
        <v>50</v>
      </c>
      <c r="AW17" s="119">
        <v>1</v>
      </c>
      <c r="AX17" s="120">
        <f t="shared" si="0"/>
        <v>0.3707452772269222</v>
      </c>
      <c r="AY17" s="121">
        <f t="shared" si="1"/>
        <v>6.364303063064771</v>
      </c>
      <c r="AZ17" s="121">
        <f t="shared" si="7"/>
        <v>2.2</v>
      </c>
      <c r="BA17" s="110">
        <f t="shared" si="8"/>
        <v>18.85224821211577</v>
      </c>
      <c r="BB17" s="113">
        <f>степень!D12</f>
        <v>3</v>
      </c>
    </row>
    <row r="18" spans="1:54" ht="15" customHeight="1">
      <c r="A18" s="100"/>
      <c r="B18" s="102" t="s">
        <v>128</v>
      </c>
      <c r="C18" s="118" t="s">
        <v>100</v>
      </c>
      <c r="D18" s="124">
        <v>1</v>
      </c>
      <c r="E18" s="125">
        <v>6534.5</v>
      </c>
      <c r="F18" s="125">
        <v>6339.1</v>
      </c>
      <c r="G18" s="134">
        <f t="shared" si="9"/>
        <v>-0.029902823475399746</v>
      </c>
      <c r="H18" s="135">
        <f>(G17-G18)/(G17-G21)</f>
        <v>0.944181340702602</v>
      </c>
      <c r="I18" s="120">
        <v>6982.6</v>
      </c>
      <c r="J18" s="120">
        <v>7329.9</v>
      </c>
      <c r="K18" s="134">
        <f t="shared" si="2"/>
        <v>-0.04738127396008121</v>
      </c>
      <c r="L18" s="135">
        <f>(K23-K18)/(K23-K21)</f>
        <v>0.7307215110073693</v>
      </c>
      <c r="M18" s="122">
        <v>6336.1</v>
      </c>
      <c r="N18" s="122">
        <v>5342</v>
      </c>
      <c r="O18" s="131">
        <f t="shared" si="3"/>
        <v>1.1860913515537252</v>
      </c>
      <c r="P18" s="129">
        <f>(O18-O21)/(O25-O21)</f>
        <v>0.019708305873465774</v>
      </c>
      <c r="Q18" s="132">
        <v>74503.48</v>
      </c>
      <c r="R18" s="132">
        <v>90527.32</v>
      </c>
      <c r="S18" s="133">
        <f t="shared" si="4"/>
        <v>16023.840000000011</v>
      </c>
      <c r="T18" s="129">
        <v>0</v>
      </c>
      <c r="U18" s="130">
        <v>0</v>
      </c>
      <c r="V18" s="122">
        <v>6982.6</v>
      </c>
      <c r="W18" s="131">
        <f t="shared" si="5"/>
        <v>0</v>
      </c>
      <c r="X18" s="124">
        <v>1</v>
      </c>
      <c r="Y18" s="122">
        <v>0</v>
      </c>
      <c r="Z18" s="122">
        <v>0</v>
      </c>
      <c r="AA18" s="122">
        <v>0</v>
      </c>
      <c r="AB18" s="124">
        <v>1</v>
      </c>
      <c r="AC18" s="122">
        <v>845.4</v>
      </c>
      <c r="AD18" s="122">
        <v>6336.2</v>
      </c>
      <c r="AE18" s="127">
        <f t="shared" si="6"/>
        <v>0.13342381869259176</v>
      </c>
      <c r="AF18" s="124">
        <f>(AE21-AE18)/(AE21-AE18)</f>
        <v>1</v>
      </c>
      <c r="AG18" s="122">
        <v>0</v>
      </c>
      <c r="AH18" s="122">
        <v>0</v>
      </c>
      <c r="AI18" s="122">
        <v>0</v>
      </c>
      <c r="AJ18" s="124">
        <v>0</v>
      </c>
      <c r="AK18" s="122">
        <v>224.6</v>
      </c>
      <c r="AL18" s="122">
        <v>248</v>
      </c>
      <c r="AM18" s="123">
        <f t="shared" si="10"/>
        <v>0.9056451612903226</v>
      </c>
      <c r="AN18" s="124">
        <f>(AM24-AM18)/(AM24-AM19)</f>
        <v>1.7787738202331382</v>
      </c>
      <c r="AO18" s="126" t="s">
        <v>144</v>
      </c>
      <c r="AP18" s="114">
        <v>0</v>
      </c>
      <c r="AQ18" s="118" t="s">
        <v>100</v>
      </c>
      <c r="AR18" s="114">
        <v>1</v>
      </c>
      <c r="AS18" s="115" t="s">
        <v>51</v>
      </c>
      <c r="AT18" s="116" t="s">
        <v>51</v>
      </c>
      <c r="AU18" s="117" t="s">
        <v>51</v>
      </c>
      <c r="AV18" s="118" t="s">
        <v>50</v>
      </c>
      <c r="AW18" s="119">
        <v>1</v>
      </c>
      <c r="AX18" s="120">
        <f t="shared" si="0"/>
        <v>3.0402636072136557</v>
      </c>
      <c r="AY18" s="121">
        <f t="shared" si="1"/>
        <v>4.9288035218635</v>
      </c>
      <c r="AZ18" s="121">
        <f t="shared" si="7"/>
        <v>1.7</v>
      </c>
      <c r="BA18" s="110">
        <f t="shared" si="8"/>
        <v>20.102536019086063</v>
      </c>
      <c r="BB18" s="113">
        <f>степень!D13</f>
        <v>2</v>
      </c>
    </row>
    <row r="19" spans="1:54" ht="15" customHeight="1">
      <c r="A19" s="100"/>
      <c r="B19" s="102" t="s">
        <v>129</v>
      </c>
      <c r="C19" s="118" t="s">
        <v>100</v>
      </c>
      <c r="D19" s="124">
        <v>1</v>
      </c>
      <c r="E19" s="125">
        <v>150.5</v>
      </c>
      <c r="F19" s="125">
        <v>295</v>
      </c>
      <c r="G19" s="134">
        <f t="shared" si="9"/>
        <v>0.9601328903654485</v>
      </c>
      <c r="H19" s="135">
        <f>(G17-G19)/(G17-G21)</f>
        <v>0.642549967596964</v>
      </c>
      <c r="I19" s="120">
        <v>3260.3</v>
      </c>
      <c r="J19" s="120">
        <v>1349.8</v>
      </c>
      <c r="K19" s="134">
        <f t="shared" si="2"/>
        <v>1.4153948733145654</v>
      </c>
      <c r="L19" s="135">
        <f>(K23-K19)/(K23-K21)</f>
        <v>0.018282352606544264</v>
      </c>
      <c r="M19" s="122">
        <v>296.4</v>
      </c>
      <c r="N19" s="122">
        <v>151.9</v>
      </c>
      <c r="O19" s="131">
        <f t="shared" si="3"/>
        <v>1.9512837393021722</v>
      </c>
      <c r="P19" s="129">
        <f>(O19-O21)/(O25-O21)</f>
        <v>0.05599478811914403</v>
      </c>
      <c r="Q19" s="132">
        <v>55000.01</v>
      </c>
      <c r="R19" s="132">
        <v>2582.26</v>
      </c>
      <c r="S19" s="133">
        <f t="shared" si="4"/>
        <v>-52417.75</v>
      </c>
      <c r="T19" s="129">
        <v>1</v>
      </c>
      <c r="U19" s="130">
        <v>0</v>
      </c>
      <c r="V19" s="122">
        <v>3252.8</v>
      </c>
      <c r="W19" s="131">
        <f t="shared" si="5"/>
        <v>0</v>
      </c>
      <c r="X19" s="124">
        <v>1</v>
      </c>
      <c r="Y19" s="122">
        <v>0</v>
      </c>
      <c r="Z19" s="122">
        <v>0</v>
      </c>
      <c r="AA19" s="122">
        <v>0</v>
      </c>
      <c r="AB19" s="124">
        <v>1</v>
      </c>
      <c r="AC19" s="122">
        <v>2932.5</v>
      </c>
      <c r="AD19" s="122">
        <v>296.4</v>
      </c>
      <c r="AE19" s="128">
        <f t="shared" si="6"/>
        <v>9.893724696356276</v>
      </c>
      <c r="AF19" s="124">
        <f>(AE21-AE19)/(AE21-AE18)</f>
        <v>0.8465889639565014</v>
      </c>
      <c r="AG19" s="122">
        <v>0</v>
      </c>
      <c r="AH19" s="122">
        <v>0</v>
      </c>
      <c r="AI19" s="122">
        <v>0</v>
      </c>
      <c r="AJ19" s="124">
        <v>0</v>
      </c>
      <c r="AK19" s="122">
        <v>803.1</v>
      </c>
      <c r="AL19" s="122">
        <v>795.6</v>
      </c>
      <c r="AM19" s="127">
        <f t="shared" si="10"/>
        <v>1.0094268476621417</v>
      </c>
      <c r="AN19" s="124">
        <f>(AM24-AM19)/(AM24-AM19)</f>
        <v>1</v>
      </c>
      <c r="AO19" s="125" t="s">
        <v>106</v>
      </c>
      <c r="AP19" s="114">
        <v>1</v>
      </c>
      <c r="AQ19" s="118" t="s">
        <v>100</v>
      </c>
      <c r="AR19" s="114">
        <v>1</v>
      </c>
      <c r="AS19" s="115" t="s">
        <v>51</v>
      </c>
      <c r="AT19" s="116" t="s">
        <v>52</v>
      </c>
      <c r="AU19" s="117" t="s">
        <v>52</v>
      </c>
      <c r="AV19" s="118" t="s">
        <v>50</v>
      </c>
      <c r="AW19" s="119">
        <v>1</v>
      </c>
      <c r="AX19" s="120">
        <f t="shared" si="0"/>
        <v>1.6699734965067805</v>
      </c>
      <c r="AY19" s="121">
        <f t="shared" si="1"/>
        <v>5.85857854019479</v>
      </c>
      <c r="AZ19" s="121">
        <f t="shared" si="7"/>
        <v>2.7</v>
      </c>
      <c r="BA19" s="110">
        <f t="shared" si="8"/>
        <v>20.686393343500537</v>
      </c>
      <c r="BB19" s="113">
        <f>степень!D14</f>
        <v>2</v>
      </c>
    </row>
    <row r="20" spans="1:54" ht="15" customHeight="1">
      <c r="A20" s="100"/>
      <c r="B20" s="102" t="s">
        <v>130</v>
      </c>
      <c r="C20" s="118" t="s">
        <v>100</v>
      </c>
      <c r="D20" s="124">
        <v>1</v>
      </c>
      <c r="E20" s="125">
        <v>230.5</v>
      </c>
      <c r="F20" s="125">
        <v>207.9</v>
      </c>
      <c r="G20" s="134">
        <f t="shared" si="9"/>
        <v>-0.09804772234273317</v>
      </c>
      <c r="H20" s="135">
        <f>(G17-G20)/(G17-G21)</f>
        <v>0.9649428537754554</v>
      </c>
      <c r="I20" s="120">
        <v>2972.6</v>
      </c>
      <c r="J20" s="120">
        <v>1260.5</v>
      </c>
      <c r="K20" s="134">
        <f t="shared" si="2"/>
        <v>1.3582705275684253</v>
      </c>
      <c r="L20" s="135">
        <f>(K23-K20)/(K23-K21)</f>
        <v>0.04610453229097724</v>
      </c>
      <c r="M20" s="122">
        <v>208</v>
      </c>
      <c r="N20" s="122">
        <v>184.2</v>
      </c>
      <c r="O20" s="131">
        <f t="shared" si="3"/>
        <v>1.1292073832790446</v>
      </c>
      <c r="P20" s="129">
        <f>(O20-O21)/(O25-O21)</f>
        <v>0.017010789356166737</v>
      </c>
      <c r="Q20" s="132">
        <v>19362.46</v>
      </c>
      <c r="R20" s="132">
        <v>18052.14</v>
      </c>
      <c r="S20" s="133">
        <f t="shared" si="4"/>
        <v>-1310.3199999999997</v>
      </c>
      <c r="T20" s="129">
        <v>1</v>
      </c>
      <c r="U20" s="130">
        <v>0</v>
      </c>
      <c r="V20" s="122">
        <v>2972.6</v>
      </c>
      <c r="W20" s="131">
        <f t="shared" si="5"/>
        <v>0</v>
      </c>
      <c r="X20" s="124">
        <v>1</v>
      </c>
      <c r="Y20" s="122">
        <v>0</v>
      </c>
      <c r="Z20" s="122">
        <v>0</v>
      </c>
      <c r="AA20" s="122">
        <v>0</v>
      </c>
      <c r="AB20" s="124">
        <v>1</v>
      </c>
      <c r="AC20" s="122">
        <v>2724.7</v>
      </c>
      <c r="AD20" s="122">
        <v>208</v>
      </c>
      <c r="AE20" s="128">
        <f t="shared" si="6"/>
        <v>13.09951923076923</v>
      </c>
      <c r="AF20" s="124">
        <f>(AE21-AE20)/(AE21-AE18)</f>
        <v>0.7962007364795839</v>
      </c>
      <c r="AG20" s="122">
        <v>0</v>
      </c>
      <c r="AH20" s="122">
        <v>0</v>
      </c>
      <c r="AI20" s="122">
        <v>0</v>
      </c>
      <c r="AJ20" s="124">
        <v>0</v>
      </c>
      <c r="AK20" s="122">
        <v>685.3</v>
      </c>
      <c r="AL20" s="122">
        <v>685.9</v>
      </c>
      <c r="AM20" s="123">
        <f t="shared" si="10"/>
        <v>0.9991252369150021</v>
      </c>
      <c r="AN20" s="124">
        <f>(AM24-AM20)/(AM24-AM19)</f>
        <v>1.0773028945334535</v>
      </c>
      <c r="AO20" s="126" t="s">
        <v>144</v>
      </c>
      <c r="AP20" s="114">
        <v>0</v>
      </c>
      <c r="AQ20" s="118" t="s">
        <v>100</v>
      </c>
      <c r="AR20" s="114">
        <v>1</v>
      </c>
      <c r="AS20" s="115" t="s">
        <v>51</v>
      </c>
      <c r="AT20" s="116" t="s">
        <v>51</v>
      </c>
      <c r="AU20" s="117" t="s">
        <v>51</v>
      </c>
      <c r="AV20" s="118" t="s">
        <v>50</v>
      </c>
      <c r="AW20" s="119">
        <v>1</v>
      </c>
      <c r="AX20" s="120">
        <f t="shared" si="0"/>
        <v>2.0340996522119212</v>
      </c>
      <c r="AY20" s="121">
        <f t="shared" si="1"/>
        <v>5.768873762458644</v>
      </c>
      <c r="AZ20" s="121">
        <f t="shared" si="7"/>
        <v>1.7</v>
      </c>
      <c r="BA20" s="110">
        <f t="shared" si="8"/>
        <v>20.19038371057045</v>
      </c>
      <c r="BB20" s="113">
        <f>степень!D15</f>
        <v>2</v>
      </c>
    </row>
    <row r="21" spans="1:54" ht="15" customHeight="1">
      <c r="A21" s="100"/>
      <c r="B21" s="102" t="s">
        <v>131</v>
      </c>
      <c r="C21" s="118" t="s">
        <v>100</v>
      </c>
      <c r="D21" s="124">
        <v>1</v>
      </c>
      <c r="E21" s="125">
        <v>12.2</v>
      </c>
      <c r="F21" s="125">
        <v>9.6</v>
      </c>
      <c r="G21" s="127">
        <f t="shared" si="9"/>
        <v>-0.21311475409836064</v>
      </c>
      <c r="H21" s="135">
        <f>(G17-G21)/(G17-G21)</f>
        <v>1</v>
      </c>
      <c r="I21" s="120">
        <v>609.4</v>
      </c>
      <c r="J21" s="120">
        <v>1524.5</v>
      </c>
      <c r="K21" s="127">
        <f t="shared" si="2"/>
        <v>-0.6002623811085602</v>
      </c>
      <c r="L21" s="135">
        <f>(K23-K21)/(K23-K21)</f>
        <v>1</v>
      </c>
      <c r="M21" s="122">
        <v>9.4</v>
      </c>
      <c r="N21" s="122">
        <v>12.2</v>
      </c>
      <c r="O21" s="127">
        <f t="shared" si="3"/>
        <v>0.7704918032786886</v>
      </c>
      <c r="P21" s="129">
        <f>(O21-O21)/(O25-O21)</f>
        <v>0</v>
      </c>
      <c r="Q21" s="132">
        <v>0</v>
      </c>
      <c r="R21" s="132">
        <v>0</v>
      </c>
      <c r="S21" s="133">
        <f t="shared" si="4"/>
        <v>0</v>
      </c>
      <c r="T21" s="129">
        <v>0</v>
      </c>
      <c r="U21" s="130">
        <v>0</v>
      </c>
      <c r="V21" s="122">
        <v>609.4</v>
      </c>
      <c r="W21" s="131">
        <f t="shared" si="5"/>
        <v>0</v>
      </c>
      <c r="X21" s="124">
        <v>1</v>
      </c>
      <c r="Y21" s="122">
        <v>0</v>
      </c>
      <c r="Z21" s="122">
        <v>0</v>
      </c>
      <c r="AA21" s="122">
        <v>0</v>
      </c>
      <c r="AB21" s="124">
        <v>1</v>
      </c>
      <c r="AC21" s="122">
        <v>599.3</v>
      </c>
      <c r="AD21" s="122">
        <v>9.4</v>
      </c>
      <c r="AE21" s="127">
        <f t="shared" si="6"/>
        <v>63.75531914893616</v>
      </c>
      <c r="AF21" s="124">
        <f>(AE21-AE21)/(AE21-AE18)</f>
        <v>0</v>
      </c>
      <c r="AG21" s="122">
        <v>0</v>
      </c>
      <c r="AH21" s="122">
        <v>0</v>
      </c>
      <c r="AI21" s="122">
        <v>0</v>
      </c>
      <c r="AJ21" s="124">
        <v>0</v>
      </c>
      <c r="AK21" s="122">
        <v>1760</v>
      </c>
      <c r="AL21" s="122">
        <v>1512.4</v>
      </c>
      <c r="AM21" s="123">
        <f t="shared" si="10"/>
        <v>1.1637133033588998</v>
      </c>
      <c r="AN21" s="124">
        <f>(AM24-AM21)/(AM24-AM19)</f>
        <v>-0.15775968490931871</v>
      </c>
      <c r="AO21" s="126" t="s">
        <v>144</v>
      </c>
      <c r="AP21" s="114">
        <v>0</v>
      </c>
      <c r="AQ21" s="118" t="s">
        <v>100</v>
      </c>
      <c r="AR21" s="114">
        <v>1</v>
      </c>
      <c r="AS21" s="115" t="s">
        <v>51</v>
      </c>
      <c r="AT21" s="116" t="s">
        <v>52</v>
      </c>
      <c r="AU21" s="117" t="s">
        <v>52</v>
      </c>
      <c r="AV21" s="118" t="s">
        <v>50</v>
      </c>
      <c r="AW21" s="119">
        <v>1</v>
      </c>
      <c r="AX21" s="120">
        <f t="shared" si="0"/>
        <v>3.5</v>
      </c>
      <c r="AY21" s="121">
        <f t="shared" si="1"/>
        <v>2.9211201575453405</v>
      </c>
      <c r="AZ21" s="121">
        <f t="shared" si="7"/>
        <v>2.2</v>
      </c>
      <c r="BA21" s="110">
        <f t="shared" si="8"/>
        <v>16.50280039386335</v>
      </c>
      <c r="BB21" s="113">
        <f>степень!D16</f>
        <v>3</v>
      </c>
    </row>
    <row r="22" spans="1:54" ht="15" customHeight="1">
      <c r="A22" s="100" t="s">
        <v>123</v>
      </c>
      <c r="B22" s="102" t="s">
        <v>132</v>
      </c>
      <c r="C22" s="118" t="s">
        <v>100</v>
      </c>
      <c r="D22" s="124">
        <v>1</v>
      </c>
      <c r="E22" s="125">
        <v>227</v>
      </c>
      <c r="F22" s="125">
        <v>321.8</v>
      </c>
      <c r="G22" s="134">
        <f t="shared" si="9"/>
        <v>0.4176211453744494</v>
      </c>
      <c r="H22" s="135">
        <f>(G17-G22)/(G17-G21)</f>
        <v>0.8078354823313104</v>
      </c>
      <c r="I22" s="120">
        <v>3112.9</v>
      </c>
      <c r="J22" s="120">
        <v>1288.1</v>
      </c>
      <c r="K22" s="134">
        <f t="shared" si="2"/>
        <v>1.4166601971896595</v>
      </c>
      <c r="L22" s="135">
        <f>(K23-K22)/(K23-K21)</f>
        <v>0.017666081772243266</v>
      </c>
      <c r="M22" s="122">
        <v>325.7</v>
      </c>
      <c r="N22" s="122">
        <v>277.3</v>
      </c>
      <c r="O22" s="131">
        <f t="shared" si="3"/>
        <v>1.1745402091597548</v>
      </c>
      <c r="P22" s="129">
        <f>(O22-O21)/(O25-O21)</f>
        <v>0.019160534711458472</v>
      </c>
      <c r="Q22" s="132">
        <v>5467</v>
      </c>
      <c r="R22" s="132">
        <v>4839.7</v>
      </c>
      <c r="S22" s="133">
        <f t="shared" si="4"/>
        <v>-627.3000000000002</v>
      </c>
      <c r="T22" s="129">
        <v>1</v>
      </c>
      <c r="U22" s="130">
        <v>0</v>
      </c>
      <c r="V22" s="122">
        <v>3100.2</v>
      </c>
      <c r="W22" s="131">
        <f t="shared" si="5"/>
        <v>0</v>
      </c>
      <c r="X22" s="124">
        <v>1</v>
      </c>
      <c r="Y22" s="122">
        <v>0</v>
      </c>
      <c r="Z22" s="122">
        <v>0</v>
      </c>
      <c r="AA22" s="122">
        <v>0</v>
      </c>
      <c r="AB22" s="124">
        <v>1</v>
      </c>
      <c r="AC22" s="122">
        <v>2747.3</v>
      </c>
      <c r="AD22" s="122">
        <v>325.7</v>
      </c>
      <c r="AE22" s="128">
        <f t="shared" si="6"/>
        <v>8.435062941357078</v>
      </c>
      <c r="AF22" s="124">
        <f>(AE21-AE22)/(AE21-AE18)</f>
        <v>0.8695160042062093</v>
      </c>
      <c r="AG22" s="122">
        <v>0</v>
      </c>
      <c r="AH22" s="122">
        <v>0</v>
      </c>
      <c r="AI22" s="122">
        <v>0</v>
      </c>
      <c r="AJ22" s="124">
        <v>0</v>
      </c>
      <c r="AK22" s="122">
        <v>1004.3</v>
      </c>
      <c r="AL22" s="122">
        <v>1009</v>
      </c>
      <c r="AM22" s="123">
        <f>AK22/AL22</f>
        <v>0.9953419226957383</v>
      </c>
      <c r="AN22" s="124">
        <f>(AM24-AM22)/(AM24-AM19)</f>
        <v>1.1056927402825634</v>
      </c>
      <c r="AO22" s="125" t="s">
        <v>106</v>
      </c>
      <c r="AP22" s="114">
        <v>1</v>
      </c>
      <c r="AQ22" s="118" t="s">
        <v>100</v>
      </c>
      <c r="AR22" s="114">
        <v>1</v>
      </c>
      <c r="AS22" s="115" t="s">
        <v>51</v>
      </c>
      <c r="AT22" s="116" t="s">
        <v>52</v>
      </c>
      <c r="AU22" s="117" t="s">
        <v>52</v>
      </c>
      <c r="AV22" s="118" t="s">
        <v>50</v>
      </c>
      <c r="AW22" s="119">
        <v>1</v>
      </c>
      <c r="AX22" s="120">
        <f t="shared" si="0"/>
        <v>1.8343346049896752</v>
      </c>
      <c r="AY22" s="121">
        <f t="shared" si="1"/>
        <v>5.860683443770409</v>
      </c>
      <c r="AZ22" s="121">
        <f t="shared" si="7"/>
        <v>2.7</v>
      </c>
      <c r="BA22" s="110">
        <f t="shared" si="8"/>
        <v>21.020377819405372</v>
      </c>
      <c r="BB22" s="113">
        <f>степень!D17</f>
        <v>2</v>
      </c>
    </row>
    <row r="23" spans="1:54" ht="15" customHeight="1">
      <c r="A23" s="100" t="s">
        <v>124</v>
      </c>
      <c r="B23" s="102" t="s">
        <v>133</v>
      </c>
      <c r="C23" s="118" t="s">
        <v>100</v>
      </c>
      <c r="D23" s="124">
        <v>1</v>
      </c>
      <c r="E23" s="125">
        <v>254.5</v>
      </c>
      <c r="F23" s="125">
        <v>325.4</v>
      </c>
      <c r="G23" s="134">
        <f t="shared" si="9"/>
        <v>0.2785854616895873</v>
      </c>
      <c r="H23" s="135">
        <f>(G17-G23)/(G17-G21)</f>
        <v>0.8501950897618842</v>
      </c>
      <c r="I23" s="120">
        <v>2543.2</v>
      </c>
      <c r="J23" s="120">
        <v>1036.8</v>
      </c>
      <c r="K23" s="127">
        <f t="shared" si="2"/>
        <v>1.452932098765432</v>
      </c>
      <c r="L23" s="135">
        <f>(K23-K23)/(K23-K21)</f>
        <v>0</v>
      </c>
      <c r="M23" s="122">
        <v>326.4</v>
      </c>
      <c r="N23" s="122">
        <v>310.2</v>
      </c>
      <c r="O23" s="131">
        <f t="shared" si="3"/>
        <v>1.0522243713733075</v>
      </c>
      <c r="P23" s="129">
        <f>(O23-O21)/(O25-O21)</f>
        <v>0.013360148367753382</v>
      </c>
      <c r="Q23" s="132">
        <v>55979.04</v>
      </c>
      <c r="R23" s="132">
        <v>53151.46</v>
      </c>
      <c r="S23" s="133">
        <f t="shared" si="4"/>
        <v>-2827.5800000000017</v>
      </c>
      <c r="T23" s="129">
        <v>1</v>
      </c>
      <c r="U23" s="130">
        <v>0</v>
      </c>
      <c r="V23" s="122">
        <v>2543.2</v>
      </c>
      <c r="W23" s="131">
        <f t="shared" si="5"/>
        <v>0</v>
      </c>
      <c r="X23" s="124">
        <v>1</v>
      </c>
      <c r="Y23" s="122">
        <v>0</v>
      </c>
      <c r="Z23" s="122">
        <v>0</v>
      </c>
      <c r="AA23" s="122">
        <v>0</v>
      </c>
      <c r="AB23" s="124">
        <v>1</v>
      </c>
      <c r="AC23" s="122">
        <v>2147.2</v>
      </c>
      <c r="AD23" s="122">
        <v>326.4</v>
      </c>
      <c r="AE23" s="128">
        <f t="shared" si="6"/>
        <v>6.578431372549019</v>
      </c>
      <c r="AF23" s="124">
        <f>(AE21-AE23)/(AE21-AE18)</f>
        <v>0.8986982780000158</v>
      </c>
      <c r="AG23" s="122">
        <v>0</v>
      </c>
      <c r="AH23" s="122">
        <v>0</v>
      </c>
      <c r="AI23" s="122">
        <v>0</v>
      </c>
      <c r="AJ23" s="124">
        <v>0</v>
      </c>
      <c r="AK23" s="122">
        <v>570.3</v>
      </c>
      <c r="AL23" s="122">
        <v>602.2</v>
      </c>
      <c r="AM23" s="123">
        <f t="shared" si="10"/>
        <v>0.9470275655928262</v>
      </c>
      <c r="AN23" s="124">
        <f>(AM24-AM23)/(AM24-AM19)</f>
        <v>1.4682418351039774</v>
      </c>
      <c r="AO23" s="125" t="s">
        <v>106</v>
      </c>
      <c r="AP23" s="114">
        <v>1</v>
      </c>
      <c r="AQ23" s="118" t="s">
        <v>100</v>
      </c>
      <c r="AR23" s="114">
        <v>1</v>
      </c>
      <c r="AS23" s="115" t="s">
        <v>51</v>
      </c>
      <c r="AT23" s="116" t="s">
        <v>51</v>
      </c>
      <c r="AU23" s="117" t="s">
        <v>51</v>
      </c>
      <c r="AV23" s="118" t="s">
        <v>50</v>
      </c>
      <c r="AW23" s="119">
        <v>1</v>
      </c>
      <c r="AX23" s="120">
        <f t="shared" si="0"/>
        <v>1.8501950897618842</v>
      </c>
      <c r="AY23" s="121">
        <f t="shared" si="1"/>
        <v>6.059539492287511</v>
      </c>
      <c r="AZ23" s="121">
        <f t="shared" si="7"/>
        <v>2.2</v>
      </c>
      <c r="BA23" s="110">
        <f t="shared" si="8"/>
        <v>21.049238910242547</v>
      </c>
      <c r="BB23" s="113">
        <f>степень!D18</f>
        <v>2</v>
      </c>
    </row>
    <row r="24" spans="1:54" ht="15" customHeight="1">
      <c r="A24" s="100" t="s">
        <v>125</v>
      </c>
      <c r="B24" s="102" t="s">
        <v>134</v>
      </c>
      <c r="C24" s="118" t="s">
        <v>100</v>
      </c>
      <c r="D24" s="124">
        <v>1</v>
      </c>
      <c r="E24" s="125">
        <v>1771.5</v>
      </c>
      <c r="F24" s="125">
        <v>1771.5</v>
      </c>
      <c r="G24" s="134">
        <f t="shared" si="9"/>
        <v>0</v>
      </c>
      <c r="H24" s="135">
        <f>(G17-G24)/(G17-G21)</f>
        <v>0.9350709322814464</v>
      </c>
      <c r="I24" s="120">
        <v>4034.2</v>
      </c>
      <c r="J24" s="120">
        <v>2838.3</v>
      </c>
      <c r="K24" s="134">
        <f t="shared" si="2"/>
        <v>0.4213437621111227</v>
      </c>
      <c r="L24" s="135">
        <f>(K23-K24)/(K23-K21)</f>
        <v>0.5024308933061322</v>
      </c>
      <c r="M24" s="122">
        <v>1749.3</v>
      </c>
      <c r="N24" s="122">
        <v>1542.6</v>
      </c>
      <c r="O24" s="131">
        <f t="shared" si="3"/>
        <v>1.133994554647997</v>
      </c>
      <c r="P24" s="129">
        <f>(O24-O21)/(O25-O21)</f>
        <v>0.017237803649131214</v>
      </c>
      <c r="Q24" s="132">
        <v>49344.73</v>
      </c>
      <c r="R24" s="132">
        <v>15838.99</v>
      </c>
      <c r="S24" s="133">
        <f t="shared" si="4"/>
        <v>-33505.740000000005</v>
      </c>
      <c r="T24" s="129">
        <v>1</v>
      </c>
      <c r="U24" s="130">
        <v>0</v>
      </c>
      <c r="V24" s="122">
        <v>4012.5</v>
      </c>
      <c r="W24" s="131">
        <f t="shared" si="5"/>
        <v>0</v>
      </c>
      <c r="X24" s="124">
        <v>1</v>
      </c>
      <c r="Y24" s="122">
        <v>0</v>
      </c>
      <c r="Z24" s="122">
        <v>0</v>
      </c>
      <c r="AA24" s="122">
        <v>0</v>
      </c>
      <c r="AB24" s="124">
        <v>1</v>
      </c>
      <c r="AC24" s="122">
        <v>2130.5</v>
      </c>
      <c r="AD24" s="122">
        <v>1749.3</v>
      </c>
      <c r="AE24" s="128">
        <f t="shared" si="6"/>
        <v>1.217915737723661</v>
      </c>
      <c r="AF24" s="124">
        <f>(AE21-AE24)/(AE21-AE18)</f>
        <v>0.9829541085910476</v>
      </c>
      <c r="AG24" s="122">
        <v>0</v>
      </c>
      <c r="AH24" s="122">
        <v>0</v>
      </c>
      <c r="AI24" s="122">
        <v>0</v>
      </c>
      <c r="AJ24" s="124">
        <v>0</v>
      </c>
      <c r="AK24" s="122">
        <v>487.7</v>
      </c>
      <c r="AL24" s="122">
        <v>426.8</v>
      </c>
      <c r="AM24" s="127">
        <f t="shared" si="10"/>
        <v>1.1426897844423618</v>
      </c>
      <c r="AN24" s="124">
        <f>(AM24-AM24)/(AM24-AM19)</f>
        <v>0</v>
      </c>
      <c r="AO24" s="125" t="s">
        <v>106</v>
      </c>
      <c r="AP24" s="114">
        <v>1</v>
      </c>
      <c r="AQ24" s="118" t="s">
        <v>100</v>
      </c>
      <c r="AR24" s="114">
        <v>1</v>
      </c>
      <c r="AS24" s="115" t="s">
        <v>51</v>
      </c>
      <c r="AT24" s="116" t="s">
        <v>52</v>
      </c>
      <c r="AU24" s="117" t="s">
        <v>52</v>
      </c>
      <c r="AV24" s="118" t="s">
        <v>50</v>
      </c>
      <c r="AW24" s="119">
        <v>1</v>
      </c>
      <c r="AX24" s="120">
        <f t="shared" si="0"/>
        <v>2.6887172722406447</v>
      </c>
      <c r="AY24" s="121">
        <f t="shared" si="1"/>
        <v>5.41742971588931</v>
      </c>
      <c r="AZ24" s="121">
        <f t="shared" si="7"/>
        <v>2.7</v>
      </c>
      <c r="BA24" s="110">
        <f t="shared" si="8"/>
        <v>21.621008834204563</v>
      </c>
      <c r="BB24" s="113">
        <f>степень!D19</f>
        <v>2</v>
      </c>
    </row>
    <row r="25" spans="1:54" ht="15" customHeight="1">
      <c r="A25" s="101" t="s">
        <v>126</v>
      </c>
      <c r="B25" s="102" t="s">
        <v>135</v>
      </c>
      <c r="C25" s="118" t="s">
        <v>100</v>
      </c>
      <c r="D25" s="124">
        <v>1</v>
      </c>
      <c r="E25" s="125">
        <v>869</v>
      </c>
      <c r="F25" s="125">
        <v>1061.5</v>
      </c>
      <c r="G25" s="134">
        <f t="shared" si="9"/>
        <v>0.22151898734177214</v>
      </c>
      <c r="H25" s="135">
        <f>(G17-G25)/(G17-G21)</f>
        <v>0.8675813706557836</v>
      </c>
      <c r="I25" s="120">
        <v>3488.1</v>
      </c>
      <c r="J25" s="120">
        <v>1877</v>
      </c>
      <c r="K25" s="134">
        <f t="shared" si="2"/>
        <v>0.8583377730420884</v>
      </c>
      <c r="L25" s="135">
        <f>(K23-K25)/(K23-K21)</f>
        <v>0.2895947420235782</v>
      </c>
      <c r="M25" s="122">
        <v>1062.3</v>
      </c>
      <c r="N25" s="122">
        <v>48.6</v>
      </c>
      <c r="O25" s="127">
        <f t="shared" si="3"/>
        <v>21.858024691358022</v>
      </c>
      <c r="P25" s="129">
        <f>(O25-O21)/(O25-O21)</f>
        <v>1</v>
      </c>
      <c r="Q25" s="132">
        <v>3196</v>
      </c>
      <c r="R25" s="132">
        <v>4217</v>
      </c>
      <c r="S25" s="133">
        <f t="shared" si="4"/>
        <v>1021</v>
      </c>
      <c r="T25" s="129">
        <v>0</v>
      </c>
      <c r="U25" s="130">
        <v>0</v>
      </c>
      <c r="V25" s="122">
        <v>3473.7</v>
      </c>
      <c r="W25" s="131">
        <f t="shared" si="5"/>
        <v>0</v>
      </c>
      <c r="X25" s="124">
        <v>1</v>
      </c>
      <c r="Y25" s="122">
        <v>0</v>
      </c>
      <c r="Z25" s="122">
        <v>0</v>
      </c>
      <c r="AA25" s="122">
        <v>0</v>
      </c>
      <c r="AB25" s="124">
        <v>1</v>
      </c>
      <c r="AC25" s="122">
        <v>2306.5</v>
      </c>
      <c r="AD25" s="122">
        <v>1062.3</v>
      </c>
      <c r="AE25" s="128">
        <f t="shared" si="6"/>
        <v>2.1712322319495434</v>
      </c>
      <c r="AF25" s="124">
        <f>(AE21-AE25)/(AE21-AE18)</f>
        <v>0.96797001405445</v>
      </c>
      <c r="AG25" s="122">
        <v>0</v>
      </c>
      <c r="AH25" s="122">
        <v>0</v>
      </c>
      <c r="AI25" s="122">
        <v>0</v>
      </c>
      <c r="AJ25" s="124">
        <v>0</v>
      </c>
      <c r="AK25" s="122">
        <v>1856.6</v>
      </c>
      <c r="AL25" s="122">
        <v>1777.9</v>
      </c>
      <c r="AM25" s="123">
        <f t="shared" si="10"/>
        <v>1.044265706732662</v>
      </c>
      <c r="AN25" s="124">
        <f>(AM24-AM25)/(AM24-AM19)</f>
        <v>0.7385705289687773</v>
      </c>
      <c r="AO25" s="126" t="s">
        <v>144</v>
      </c>
      <c r="AP25" s="114">
        <v>0</v>
      </c>
      <c r="AQ25" s="118" t="s">
        <v>100</v>
      </c>
      <c r="AR25" s="114">
        <v>1</v>
      </c>
      <c r="AS25" s="115" t="s">
        <v>51</v>
      </c>
      <c r="AT25" s="116" t="s">
        <v>52</v>
      </c>
      <c r="AU25" s="117" t="s">
        <v>52</v>
      </c>
      <c r="AV25" s="118" t="s">
        <v>50</v>
      </c>
      <c r="AW25" s="119">
        <v>1</v>
      </c>
      <c r="AX25" s="120">
        <f t="shared" si="0"/>
        <v>2.301973483691151</v>
      </c>
      <c r="AY25" s="121">
        <f t="shared" si="1"/>
        <v>6.337255278538839</v>
      </c>
      <c r="AZ25" s="121">
        <f t="shared" si="7"/>
        <v>2.2</v>
      </c>
      <c r="BA25" s="110">
        <f t="shared" si="8"/>
        <v>22.6470851637294</v>
      </c>
      <c r="BB25" s="113">
        <f>степень!D20</f>
        <v>2</v>
      </c>
    </row>
    <row r="26" spans="1:48" ht="76.5">
      <c r="A26" s="100" t="s">
        <v>132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70"/>
      <c r="N26" s="62"/>
      <c r="O26" s="62"/>
      <c r="P26" s="62"/>
      <c r="Q26" s="84"/>
      <c r="R26" s="84"/>
      <c r="S26" s="62"/>
      <c r="T26" s="62"/>
      <c r="U26" s="62" t="s">
        <v>138</v>
      </c>
      <c r="V26" s="62"/>
      <c r="W26" s="62"/>
      <c r="X26" s="62"/>
      <c r="Y26" s="62"/>
      <c r="Z26" s="62"/>
      <c r="AA26" s="62"/>
      <c r="AB26" s="62"/>
      <c r="AC26" s="106" t="s">
        <v>143</v>
      </c>
      <c r="AD26" s="106" t="s">
        <v>142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48" ht="63.75">
      <c r="A27" s="100" t="s">
        <v>133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50" ht="63.75">
      <c r="A28" s="100" t="s">
        <v>134</v>
      </c>
      <c r="AW28" s="1"/>
      <c r="AX28"/>
    </row>
    <row r="29" ht="19.5" customHeight="1">
      <c r="A29" s="100" t="s">
        <v>135</v>
      </c>
    </row>
  </sheetData>
  <sheetProtection/>
  <mergeCells count="57">
    <mergeCell ref="M4:M9"/>
    <mergeCell ref="BA4:BA7"/>
    <mergeCell ref="AX4:AX9"/>
    <mergeCell ref="AV4:AV9"/>
    <mergeCell ref="AW4:AW9"/>
    <mergeCell ref="AZ4:AZ7"/>
    <mergeCell ref="AY4:AY9"/>
    <mergeCell ref="AQ4:AQ9"/>
    <mergeCell ref="AR4:AR9"/>
    <mergeCell ref="AJ4:AJ9"/>
    <mergeCell ref="J4:J7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K4:K7"/>
    <mergeCell ref="V4:V9"/>
    <mergeCell ref="W4:W9"/>
    <mergeCell ref="X4:X9"/>
    <mergeCell ref="Y4:Y9"/>
    <mergeCell ref="C3:L3"/>
    <mergeCell ref="L4:L9"/>
    <mergeCell ref="C4:C9"/>
    <mergeCell ref="D4:D9"/>
    <mergeCell ref="I4:I7"/>
    <mergeCell ref="AF4:AF9"/>
    <mergeCell ref="BB4:BB7"/>
    <mergeCell ref="AM4:AM7"/>
    <mergeCell ref="AN4:AN9"/>
    <mergeCell ref="AU4:AU7"/>
    <mergeCell ref="AH4:AH9"/>
    <mergeCell ref="AG4:AG9"/>
    <mergeCell ref="AI4:AI7"/>
    <mergeCell ref="AS4:AS9"/>
    <mergeCell ref="AT4:AT7"/>
    <mergeCell ref="Q4:Q9"/>
    <mergeCell ref="AC4:AC9"/>
    <mergeCell ref="AD4:AD9"/>
    <mergeCell ref="AE4:AE7"/>
    <mergeCell ref="Z4:Z9"/>
    <mergeCell ref="AA4:AA9"/>
    <mergeCell ref="AB4:AB9"/>
    <mergeCell ref="AX3:BB3"/>
    <mergeCell ref="AO3:AW3"/>
    <mergeCell ref="M3:AN3"/>
    <mergeCell ref="AO4:AO7"/>
    <mergeCell ref="AP4:AP7"/>
    <mergeCell ref="AK4:AK9"/>
    <mergeCell ref="AL4:AL9"/>
    <mergeCell ref="N4:N9"/>
    <mergeCell ref="O4:O9"/>
    <mergeCell ref="P4:P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5.8515625" style="89" customWidth="1"/>
    <col min="2" max="2" width="31.00390625" style="93" customWidth="1"/>
    <col min="3" max="3" width="15.140625" style="92" customWidth="1"/>
    <col min="4" max="4" width="14.57421875" style="92" customWidth="1"/>
    <col min="5" max="5" width="13.00390625" style="90" hidden="1" customWidth="1"/>
    <col min="6" max="6" width="12.8515625" style="90" customWidth="1"/>
    <col min="7" max="16384" width="8.8515625" style="90" customWidth="1"/>
  </cols>
  <sheetData>
    <row r="1" spans="2:5" ht="15">
      <c r="B1" s="227" t="s">
        <v>111</v>
      </c>
      <c r="C1" s="228"/>
      <c r="D1" s="228"/>
      <c r="E1" s="228"/>
    </row>
    <row r="2" ht="15.75">
      <c r="B2" s="91" t="s">
        <v>112</v>
      </c>
    </row>
    <row r="4" spans="1:6" s="94" customFormat="1" ht="15">
      <c r="A4" s="229" t="s">
        <v>115</v>
      </c>
      <c r="B4" s="231" t="s">
        <v>116</v>
      </c>
      <c r="C4" s="147" t="s">
        <v>113</v>
      </c>
      <c r="D4" s="147" t="s">
        <v>113</v>
      </c>
      <c r="E4" s="95" t="s">
        <v>114</v>
      </c>
      <c r="F4" s="95"/>
    </row>
    <row r="5" spans="1:6" s="96" customFormat="1" ht="76.5">
      <c r="A5" s="230"/>
      <c r="B5" s="229"/>
      <c r="C5" s="147" t="s">
        <v>117</v>
      </c>
      <c r="D5" s="147" t="s">
        <v>118</v>
      </c>
      <c r="E5" s="136" t="s">
        <v>119</v>
      </c>
      <c r="F5" s="137" t="s">
        <v>120</v>
      </c>
    </row>
    <row r="6" spans="1:6" s="98" customFormat="1" ht="11.25">
      <c r="A6" s="138">
        <v>1</v>
      </c>
      <c r="B6" s="139">
        <v>2</v>
      </c>
      <c r="C6" s="140">
        <v>3</v>
      </c>
      <c r="D6" s="140">
        <v>4</v>
      </c>
      <c r="E6" s="97"/>
      <c r="F6" s="97">
        <v>5</v>
      </c>
    </row>
    <row r="7" spans="1:6" ht="15.75">
      <c r="A7" s="141">
        <v>1</v>
      </c>
      <c r="B7" s="143" t="s">
        <v>122</v>
      </c>
      <c r="C7" s="144">
        <f>оценка!BA12</f>
        <v>17.65037099530009</v>
      </c>
      <c r="D7" s="112">
        <v>3</v>
      </c>
      <c r="E7" s="145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III СТЕПЕНЬ</v>
      </c>
      <c r="F7" s="148" t="str">
        <f>IF(AND($C7&gt;=0,$C7&lt;AVERAGE($C$7:$C$21)-3/4*STDEV($C$7:$C$21)),"III СТЕПЕНЬ",IF(AND($C7&gt;=AVERAGE($C$7:$C$21)-3/4*STDEV($C$7:$C$21),$C7&lt;=AVERAGE($C$7:$C$21)+3/4*STDEV($C$7:$C$21)),"II СТЕПЕНЬ",IF(AND($C7&lt;=100,$C7&gt;=AVERAGE($C$7:$C$21)+3/4*STDEV($C$7:$C$21)),"I СТЕПЕНЬ",0)))</f>
        <v>III СТЕПЕНЬ</v>
      </c>
    </row>
    <row r="8" spans="1:6" ht="15.75">
      <c r="A8" s="141">
        <v>2</v>
      </c>
      <c r="B8" s="143" t="s">
        <v>123</v>
      </c>
      <c r="C8" s="144">
        <f>оценка!BA13</f>
        <v>21.5947434941942</v>
      </c>
      <c r="D8" s="112">
        <v>2</v>
      </c>
      <c r="E8" s="145" t="str">
        <f aca="true" t="shared" si="0" ref="E8:E18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 СТЕПЕНЬ</v>
      </c>
      <c r="F8" s="145" t="str">
        <f aca="true" t="shared" si="1" ref="F8:F20">IF(AND($C8&gt;=0,$C8&lt;AVERAGE($C$7:$C$21)-3/4*STDEV($C$7:$C$21)),"III СТЕПЕНЬ",IF(AND($C8&gt;=AVERAGE($C$7:$C$21)-3/4*STDEV($C$7:$C$21),$C8&lt;=AVERAGE($C$7:$C$21)+3/4*STDEV($C$7:$C$21)),"II СТЕПЕНЬ",IF(AND($C8&lt;=100,$C8&gt;=AVERAGE($C$7:$C$21)+3/4*STDEV($C$7:$C$21)),"I СТЕПЕНЬ",0)))</f>
        <v>II СТЕПЕНЬ</v>
      </c>
    </row>
    <row r="9" spans="1:6" ht="25.5">
      <c r="A9" s="141">
        <v>3</v>
      </c>
      <c r="B9" s="143" t="s">
        <v>124</v>
      </c>
      <c r="C9" s="144">
        <f>оценка!BA14</f>
        <v>21.57277045079653</v>
      </c>
      <c r="D9" s="112">
        <v>2</v>
      </c>
      <c r="E9" s="145" t="str">
        <f t="shared" si="0"/>
        <v>II СТЕПЕНЬ</v>
      </c>
      <c r="F9" s="145" t="str">
        <f t="shared" si="1"/>
        <v>II СТЕПЕНЬ</v>
      </c>
    </row>
    <row r="10" spans="1:6" ht="15.75">
      <c r="A10" s="141">
        <v>4</v>
      </c>
      <c r="B10" s="143" t="s">
        <v>125</v>
      </c>
      <c r="C10" s="144">
        <f>оценка!BA15</f>
        <v>28.845238127381055</v>
      </c>
      <c r="D10" s="112">
        <v>1</v>
      </c>
      <c r="E10" s="145" t="str">
        <f t="shared" si="0"/>
        <v>I СТЕПЕНЬ</v>
      </c>
      <c r="F10" s="149" t="str">
        <f t="shared" si="1"/>
        <v>I СТЕПЕНЬ</v>
      </c>
    </row>
    <row r="11" spans="1:6" ht="15.75">
      <c r="A11" s="141">
        <v>5</v>
      </c>
      <c r="B11" s="143" t="s">
        <v>126</v>
      </c>
      <c r="C11" s="144">
        <f>оценка!BA16</f>
        <v>20.469890442356476</v>
      </c>
      <c r="D11" s="112">
        <v>2</v>
      </c>
      <c r="E11" s="145" t="str">
        <f t="shared" si="0"/>
        <v>II СТЕПЕНЬ</v>
      </c>
      <c r="F11" s="145" t="str">
        <f t="shared" si="1"/>
        <v>II СТЕПЕНЬ</v>
      </c>
    </row>
    <row r="12" spans="1:6" ht="15.75">
      <c r="A12" s="141">
        <v>6</v>
      </c>
      <c r="B12" s="143" t="s">
        <v>127</v>
      </c>
      <c r="C12" s="144">
        <f>оценка!BA17</f>
        <v>18.85224821211577</v>
      </c>
      <c r="D12" s="112">
        <v>3</v>
      </c>
      <c r="E12" s="145" t="str">
        <f t="shared" si="0"/>
        <v>II СТЕПЕНЬ</v>
      </c>
      <c r="F12" s="148" t="str">
        <f t="shared" si="1"/>
        <v>III СТЕПЕНЬ</v>
      </c>
    </row>
    <row r="13" spans="1:6" ht="15.75">
      <c r="A13" s="141">
        <v>7</v>
      </c>
      <c r="B13" s="143" t="s">
        <v>128</v>
      </c>
      <c r="C13" s="144">
        <f>оценка!BA18</f>
        <v>20.102536019086063</v>
      </c>
      <c r="D13" s="112">
        <v>2</v>
      </c>
      <c r="E13" s="145" t="str">
        <f t="shared" si="0"/>
        <v>II СТЕПЕНЬ</v>
      </c>
      <c r="F13" s="145" t="str">
        <f t="shared" si="1"/>
        <v>II СТЕПЕНЬ</v>
      </c>
    </row>
    <row r="14" spans="1:6" ht="25.5">
      <c r="A14" s="141">
        <v>8</v>
      </c>
      <c r="B14" s="143" t="s">
        <v>129</v>
      </c>
      <c r="C14" s="144">
        <f>оценка!BA19</f>
        <v>20.686393343500537</v>
      </c>
      <c r="D14" s="112">
        <v>2</v>
      </c>
      <c r="E14" s="145" t="str">
        <f t="shared" si="0"/>
        <v>II СТЕПЕНЬ</v>
      </c>
      <c r="F14" s="145" t="str">
        <f t="shared" si="1"/>
        <v>II СТЕПЕНЬ</v>
      </c>
    </row>
    <row r="15" spans="1:6" ht="15.75">
      <c r="A15" s="141">
        <v>9</v>
      </c>
      <c r="B15" s="143" t="s">
        <v>130</v>
      </c>
      <c r="C15" s="144">
        <f>оценка!BA20</f>
        <v>20.19038371057045</v>
      </c>
      <c r="D15" s="112">
        <v>2</v>
      </c>
      <c r="E15" s="145" t="str">
        <f t="shared" si="0"/>
        <v>II СТЕПЕНЬ</v>
      </c>
      <c r="F15" s="145" t="str">
        <f t="shared" si="1"/>
        <v>II СТЕПЕНЬ</v>
      </c>
    </row>
    <row r="16" spans="1:6" ht="25.5">
      <c r="A16" s="141">
        <v>10</v>
      </c>
      <c r="B16" s="143" t="s">
        <v>131</v>
      </c>
      <c r="C16" s="144">
        <f>оценка!BA21</f>
        <v>16.50280039386335</v>
      </c>
      <c r="D16" s="112">
        <v>3</v>
      </c>
      <c r="E16" s="145" t="str">
        <f t="shared" si="0"/>
        <v>III СТЕПЕНЬ</v>
      </c>
      <c r="F16" s="148" t="str">
        <f t="shared" si="1"/>
        <v>III СТЕПЕНЬ</v>
      </c>
    </row>
    <row r="17" spans="1:6" ht="25.5">
      <c r="A17" s="141">
        <v>11</v>
      </c>
      <c r="B17" s="143" t="s">
        <v>132</v>
      </c>
      <c r="C17" s="144">
        <f>оценка!BA22</f>
        <v>21.020377819405372</v>
      </c>
      <c r="D17" s="112">
        <v>2</v>
      </c>
      <c r="E17" s="145" t="str">
        <f t="shared" si="0"/>
        <v>II СТЕПЕНЬ</v>
      </c>
      <c r="F17" s="145" t="str">
        <f t="shared" si="1"/>
        <v>II СТЕПЕНЬ</v>
      </c>
    </row>
    <row r="18" spans="1:6" ht="25.5">
      <c r="A18" s="141">
        <v>12</v>
      </c>
      <c r="B18" s="143" t="s">
        <v>133</v>
      </c>
      <c r="C18" s="144">
        <f>оценка!BA23</f>
        <v>21.049238910242547</v>
      </c>
      <c r="D18" s="112">
        <v>2</v>
      </c>
      <c r="E18" s="145" t="str">
        <f t="shared" si="0"/>
        <v>II СТЕПЕНЬ</v>
      </c>
      <c r="F18" s="145" t="str">
        <f t="shared" si="1"/>
        <v>II СТЕПЕНЬ</v>
      </c>
    </row>
    <row r="19" spans="1:6" ht="25.5">
      <c r="A19" s="141">
        <v>13</v>
      </c>
      <c r="B19" s="143" t="s">
        <v>134</v>
      </c>
      <c r="C19" s="144">
        <f>оценка!BA24</f>
        <v>21.621008834204563</v>
      </c>
      <c r="D19" s="112">
        <v>2</v>
      </c>
      <c r="E19" s="145"/>
      <c r="F19" s="145" t="str">
        <f t="shared" si="1"/>
        <v>II СТЕПЕНЬ</v>
      </c>
    </row>
    <row r="20" spans="1:6" ht="25.5">
      <c r="A20" s="141">
        <v>14</v>
      </c>
      <c r="B20" s="143" t="s">
        <v>135</v>
      </c>
      <c r="C20" s="144">
        <f>оценка!BA25</f>
        <v>22.6470851637294</v>
      </c>
      <c r="D20" s="112">
        <v>2</v>
      </c>
      <c r="E20" s="145"/>
      <c r="F20" s="145" t="str">
        <f t="shared" si="1"/>
        <v>II СТЕПЕНЬ</v>
      </c>
    </row>
    <row r="21" spans="1:6" ht="15">
      <c r="A21" s="141"/>
      <c r="B21" s="146"/>
      <c r="C21" s="142">
        <v>20.91464899</v>
      </c>
      <c r="D21" s="112" t="s">
        <v>121</v>
      </c>
      <c r="E21" s="145"/>
      <c r="F21" s="145"/>
    </row>
    <row r="22" ht="15">
      <c r="C22" s="99"/>
    </row>
  </sheetData>
  <sheetProtection/>
  <mergeCells count="3">
    <mergeCell ref="B1:E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</dc:creator>
  <cp:keywords/>
  <dc:description/>
  <cp:lastModifiedBy>Пользователь Windows</cp:lastModifiedBy>
  <cp:lastPrinted>2021-03-23T01:26:54Z</cp:lastPrinted>
  <dcterms:created xsi:type="dcterms:W3CDTF">2015-01-30T07:14:52Z</dcterms:created>
  <dcterms:modified xsi:type="dcterms:W3CDTF">2021-03-23T01:27:08Z</dcterms:modified>
  <cp:category/>
  <cp:version/>
  <cp:contentType/>
  <cp:contentStatus/>
</cp:coreProperties>
</file>