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20370" windowHeight="11475" activeTab="0"/>
  </bookViews>
  <sheets>
    <sheet name="к ОБАСАМ" sheetId="1" r:id="rId1"/>
    <sheet name="Лист3" sheetId="2" r:id="rId2"/>
    <sheet name="сокращенный" sheetId="3" r:id="rId3"/>
  </sheets>
  <definedNames/>
  <calcPr fullCalcOnLoad="1"/>
</workbook>
</file>

<file path=xl/sharedStrings.xml><?xml version="1.0" encoding="utf-8"?>
<sst xmlns="http://schemas.openxmlformats.org/spreadsheetml/2006/main" count="472" uniqueCount="96">
  <si>
    <t xml:space="preserve">Педагогические работники образовательных учреждений общего образования </t>
  </si>
  <si>
    <t>Педагогические работники дополнительного образования детей</t>
  </si>
  <si>
    <t>Преподаватели и мастера среднего профессиональногго образования</t>
  </si>
  <si>
    <t>Педагогические работники детских домов</t>
  </si>
  <si>
    <t>Педагогические работники дошкольных образовательных учреждений</t>
  </si>
  <si>
    <t>Средний медицинский персонал</t>
  </si>
  <si>
    <t>Младщий медицинский персонал (персонал, обеспечивающий предоставление медицинских услуг)</t>
  </si>
  <si>
    <t>Работники учреждений культуры</t>
  </si>
  <si>
    <t>Социальные работники</t>
  </si>
  <si>
    <t>Врачи и работники медицинских организаций, имеющие высшее профессионаллное образование</t>
  </si>
  <si>
    <t>ИТОГО</t>
  </si>
  <si>
    <t xml:space="preserve">Педагогические работники сферы образования </t>
  </si>
  <si>
    <t>Всего</t>
  </si>
  <si>
    <t>x</t>
  </si>
  <si>
    <t>в т.ч. за счет бюджета</t>
  </si>
  <si>
    <r>
      <t xml:space="preserve">Работники учреждений здравоохранения 
</t>
    </r>
    <r>
      <rPr>
        <b/>
        <sz val="10"/>
        <color indexed="10"/>
        <rFont val="Times New Roman"/>
        <family val="1"/>
      </rPr>
      <t>(по всем категориям без учета ОМС)</t>
    </r>
  </si>
  <si>
    <t>Планируемый для направления на повышение оплаты труда работников бюджетной сферы объем экономии средств за счет реорганизации неэффективных организаций</t>
  </si>
  <si>
    <t>Всего принято в бюджете</t>
  </si>
  <si>
    <t>Приложение №2</t>
  </si>
  <si>
    <t>в т.ч. за счет дотации на заработную плату из федерального бюджета</t>
  </si>
  <si>
    <t>Преподаватели и мастера среднего профессионального образования</t>
  </si>
  <si>
    <t>Наименование показателя</t>
  </si>
  <si>
    <t>Ожидаемый размер среднемесячного дохода от трудовой деятельности в регионе в 2016 году</t>
  </si>
  <si>
    <t>Прогнозируемый размер среднемесячного дохода от трудовой деятельности в регионе в 2017 году</t>
  </si>
  <si>
    <t>Расходы по заработной плате работников бюджетной сферы в 2016 году (без начислений), тыс. рублей</t>
  </si>
  <si>
    <r>
      <t xml:space="preserve">Показатель количества работников бюджетной сферы, используемый при расчете потребности
 </t>
    </r>
    <r>
      <rPr>
        <b/>
        <sz val="9"/>
        <color indexed="10"/>
        <rFont val="Times New Roman"/>
        <family val="1"/>
      </rPr>
      <t>(с указанием - среднесписочная)</t>
    </r>
    <r>
      <rPr>
        <b/>
        <sz val="9"/>
        <color indexed="8"/>
        <rFont val="Times New Roman"/>
        <family val="1"/>
      </rPr>
      <t>, ед.</t>
    </r>
  </si>
  <si>
    <r>
      <t xml:space="preserve">Уровень средней заработной платы к среднемесячному доходу от трудовой деятельности (в сфере общего образования, учителей), сложившийся в 2016 году, %   
</t>
    </r>
    <r>
      <rPr>
        <b/>
        <i/>
        <sz val="9"/>
        <color indexed="17"/>
        <rFont val="Times New Roman"/>
        <family val="1"/>
      </rPr>
      <t>(факт по оперативным данным либо ожидаемая оценка)</t>
    </r>
  </si>
  <si>
    <r>
      <t xml:space="preserve">Средняя заработная плата в 2016 году, руб. 
</t>
    </r>
    <r>
      <rPr>
        <b/>
        <i/>
        <sz val="9"/>
        <color indexed="17"/>
        <rFont val="Times New Roman"/>
        <family val="1"/>
      </rPr>
      <t>(факт по оперативным данным либо ожидаемая оценка)</t>
    </r>
  </si>
  <si>
    <t>Планируемая средняя заработная плата в 2017 году, руб.</t>
  </si>
  <si>
    <r>
      <t xml:space="preserve"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 </t>
    </r>
    <r>
      <rPr>
        <b/>
        <sz val="9"/>
        <color indexed="10"/>
        <rFont val="Times New Roman"/>
        <family val="1"/>
      </rPr>
      <t xml:space="preserve">(прирост расходов на оплату труда с начислениями к уровню 2016 года, без учета средств ОМС), </t>
    </r>
    <r>
      <rPr>
        <b/>
        <sz val="9"/>
        <rFont val="Times New Roman"/>
        <family val="1"/>
      </rPr>
      <t>тыс. рублей</t>
    </r>
  </si>
  <si>
    <r>
      <t xml:space="preserve">Предусмотрено на 2017 год в консолидированном бюджете субъекта РФ на повышение оплаты труда работников бюджетной сферы в соответствии с указами Президента Российской Федерации, тыс. рублей 
</t>
    </r>
    <r>
      <rPr>
        <b/>
        <sz val="9"/>
        <color indexed="10"/>
        <rFont val="Times New Roman"/>
        <family val="1"/>
      </rPr>
      <t>(к уровню 2016 года)</t>
    </r>
  </si>
  <si>
    <t>Уровень средней заработной платы к к среднемесячному доходу от трудовой деятельности (средней заработной плате в сфере общего образования, учителей), установленный на 2017 год, %</t>
  </si>
  <si>
    <t>Численность 2016 года</t>
  </si>
  <si>
    <t>ФОТ 2017</t>
  </si>
  <si>
    <t>х</t>
  </si>
  <si>
    <t>Прирост</t>
  </si>
  <si>
    <t>Уровень средней заработной платы к к среднемесячному доходу от трудовой деятельности (средней заработной плате в сфере общего образования, учителей), установленный на 2018 год, %</t>
  </si>
  <si>
    <t>Планируемая средняя заработная плата в 2018 году, руб.</t>
  </si>
  <si>
    <t>ФОТ 2018</t>
  </si>
  <si>
    <r>
      <t xml:space="preserve"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 </t>
    </r>
    <r>
      <rPr>
        <b/>
        <sz val="9"/>
        <color indexed="10"/>
        <rFont val="Times New Roman"/>
        <family val="1"/>
      </rPr>
      <t xml:space="preserve">(прирост расходов на оплату труда с начислениями к уровню 2017года, без учета средств ОМС), </t>
    </r>
    <r>
      <rPr>
        <b/>
        <sz val="9"/>
        <rFont val="Times New Roman"/>
        <family val="1"/>
      </rPr>
      <t>тыс. рублей</t>
    </r>
  </si>
  <si>
    <t>Численность 2018</t>
  </si>
  <si>
    <t>ФОТ 2017 с начислениями</t>
  </si>
  <si>
    <t>Численность 2015</t>
  </si>
  <si>
    <t>Планируемая средняя заработная плата в 2015 году, руб.</t>
  </si>
  <si>
    <t>ФОТ 2015</t>
  </si>
  <si>
    <t>Средний ме персонал</t>
  </si>
  <si>
    <t>Младший мед.персонал</t>
  </si>
  <si>
    <t>ОМС</t>
  </si>
  <si>
    <t>Врачи</t>
  </si>
  <si>
    <t>Прирост 2016 к 2015</t>
  </si>
  <si>
    <t>Доп.потребность</t>
  </si>
  <si>
    <t>ФОТ 2016</t>
  </si>
  <si>
    <t>Разница зарплат</t>
  </si>
  <si>
    <t>Ожидаемая зарплата</t>
  </si>
  <si>
    <t>Досчет</t>
  </si>
  <si>
    <t>разница зарплат</t>
  </si>
  <si>
    <t>Дополнительно учтено</t>
  </si>
  <si>
    <t>Досчет до 29549</t>
  </si>
  <si>
    <t>факт зарплаты по статистике за 9 мес</t>
  </si>
  <si>
    <t>Досчет с дополнительными средствами</t>
  </si>
  <si>
    <t>Досчет с дополнительными средствами-2 вариант</t>
  </si>
  <si>
    <t xml:space="preserve"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 </t>
  </si>
  <si>
    <t>Предусмотрено в проекте бюджета на 2018 год</t>
  </si>
  <si>
    <t>Расходы по заработной плате работников бюджетной сферы в текущем году (без начислений), тыс. рублей</t>
  </si>
  <si>
    <r>
      <t xml:space="preserve">Уровень средней заработной платы к среднемесячному доходу от трудовой деятельности (в сфере общего образования, учителей), сложившийся в текущем году, %   
</t>
    </r>
    <r>
      <rPr>
        <b/>
        <i/>
        <sz val="9"/>
        <color indexed="17"/>
        <rFont val="Times New Roman"/>
        <family val="1"/>
      </rPr>
      <t>(факт по оперативным данным либо ожидаемая оценка)</t>
    </r>
  </si>
  <si>
    <r>
      <t xml:space="preserve">Средняя заработная плата в текущем году, руб. 
</t>
    </r>
    <r>
      <rPr>
        <b/>
        <i/>
        <sz val="9"/>
        <color indexed="17"/>
        <rFont val="Times New Roman"/>
        <family val="1"/>
      </rPr>
      <t>(факт по оперативным данным либо ожидаемая оценка)</t>
    </r>
  </si>
  <si>
    <t>Планируемая средняя заработная плата в очередном году, руб.</t>
  </si>
  <si>
    <t>Ожидаемый размер среднемесячного дохода от трудовой деятельности в регионе в текущем году</t>
  </si>
  <si>
    <t>Прогнозируемый размер среднемесячного дохода от трудовой деятельности в регионе на очередной год</t>
  </si>
  <si>
    <t xml:space="preserve">Показатель количества работников бюджетной сферы, используемый при расчете потребности в текущем году
 (с указанием - среднесписочная), ед. </t>
  </si>
  <si>
    <r>
      <t xml:space="preserve"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 </t>
    </r>
    <r>
      <rPr>
        <b/>
        <sz val="9"/>
        <color indexed="10"/>
        <rFont val="Times New Roman"/>
        <family val="1"/>
      </rPr>
      <t xml:space="preserve">(прирост расходов на оплату труда с начислениями , без учета средств ОМС), </t>
    </r>
    <r>
      <rPr>
        <b/>
        <sz val="9"/>
        <rFont val="Times New Roman"/>
        <family val="1"/>
      </rPr>
      <t>тыс. рублей</t>
    </r>
  </si>
  <si>
    <t>4=3*8*12/1000</t>
  </si>
  <si>
    <t>5=4</t>
  </si>
  <si>
    <t>6=4*1,302</t>
  </si>
  <si>
    <t>11=2*10*12/1000</t>
  </si>
  <si>
    <t>12=11*1,302</t>
  </si>
  <si>
    <t>13=(11-4)*1,302</t>
  </si>
  <si>
    <t>14=13</t>
  </si>
  <si>
    <t>Расходы по заработной плате работников бюджетной сферы на очередной год (без начислений), тыс. рублей</t>
  </si>
  <si>
    <t xml:space="preserve">Показатель количества работников бюджетной сферы, используемый при расчете потребности на очередной год
 (с указанием - среднесписочная), ед. </t>
  </si>
  <si>
    <t>Расходы по заработной плате работников бюджетной сферы в текущем году  с начислениями, тыс. рублей</t>
  </si>
  <si>
    <t>Расходы по заработной плате работников бюджетной сферы на очередной год  с начислениями, тыс. рублей</t>
  </si>
  <si>
    <t>Форма расчета потребности в средствах на повышение оплаты труда работников бюджетной сферы в соответствии с указами Президента Российской Федерации  на очередной год</t>
  </si>
  <si>
    <t>Форма расчета потребности в средствах на повышение оплаты труда работников бюджетной сферы в соответствии с указами Президента Российской Федерации  на первый год планового периода</t>
  </si>
  <si>
    <t>Форма расчета потребности в средствах на повышение оплаты труда работников бюджетной сферы в соответствии с указами Президента Российской Федерации  на второй год планового периода</t>
  </si>
  <si>
    <t>Педагогические работники образовательных учреждений общего образования, в том числе:</t>
  </si>
  <si>
    <t>по государственным учреждениям</t>
  </si>
  <si>
    <t>по муниципальным учреждениям</t>
  </si>
  <si>
    <t>Педагогические работники дополнительного образования детей, в том числе:</t>
  </si>
  <si>
    <t>Работники учреждений культуры, в том числе:</t>
  </si>
  <si>
    <t>«Приложение №  9.1.</t>
  </si>
  <si>
    <t>Приложение № 2
к приказу Министерства финансов 
Забайкальского края от 30 марта 2018 года № 75-пд</t>
  </si>
  <si>
    <t>к Методическим рекомендациям по составлению 
обоснований бюджетных ассигнований
на очередной финансовый годи плановый период</t>
  </si>
  <si>
    <t>Врачи и работники медицинских организаций, имеющие высшее профессиональное образование</t>
  </si>
  <si>
    <t>Уровень средней заработной платы к  среднемесячному доходу от трудовой деятельности (средней заработной плате в сфере общего образования, учителей), установленный на очередной год, %</t>
  </si>
  <si>
    <t>Уровень средней заработной платы к среднемесячному доходу от трудовой деятельности (средней заработной плате в сфере общего образования, учителей), установленный на очередной год,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</si>
</sst>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7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172" fontId="61" fillId="0" borderId="11" xfId="0" applyNumberFormat="1" applyFont="1" applyFill="1" applyBorder="1" applyAlignment="1">
      <alignment horizontal="center" vertical="center"/>
    </xf>
    <xf numFmtId="172" fontId="61" fillId="33" borderId="11" xfId="0" applyNumberFormat="1" applyFont="1" applyFill="1" applyBorder="1" applyAlignment="1">
      <alignment horizontal="center" vertical="center"/>
    </xf>
    <xf numFmtId="172" fontId="62" fillId="0" borderId="11" xfId="0" applyNumberFormat="1" applyFont="1" applyFill="1" applyBorder="1" applyAlignment="1">
      <alignment horizontal="center" vertical="center"/>
    </xf>
    <xf numFmtId="172" fontId="62" fillId="33" borderId="11" xfId="0" applyNumberFormat="1" applyFont="1" applyFill="1" applyBorder="1" applyAlignment="1">
      <alignment horizontal="center" vertical="center"/>
    </xf>
    <xf numFmtId="172" fontId="61" fillId="0" borderId="11" xfId="0" applyNumberFormat="1" applyFont="1" applyFill="1" applyBorder="1" applyAlignment="1">
      <alignment horizontal="center"/>
    </xf>
    <xf numFmtId="172" fontId="61" fillId="0" borderId="11" xfId="0" applyNumberFormat="1" applyFont="1" applyFill="1" applyBorder="1" applyAlignment="1">
      <alignment horizontal="center" vertical="top"/>
    </xf>
    <xf numFmtId="172" fontId="61" fillId="33" borderId="11" xfId="0" applyNumberFormat="1" applyFont="1" applyFill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/>
    </xf>
    <xf numFmtId="172" fontId="62" fillId="0" borderId="11" xfId="0" applyNumberFormat="1" applyFont="1" applyFill="1" applyBorder="1" applyAlignment="1">
      <alignment horizontal="center" vertical="top"/>
    </xf>
    <xf numFmtId="172" fontId="62" fillId="33" borderId="11" xfId="0" applyNumberFormat="1" applyFont="1" applyFill="1" applyBorder="1" applyAlignment="1">
      <alignment horizontal="center" vertical="top"/>
    </xf>
    <xf numFmtId="172" fontId="62" fillId="0" borderId="11" xfId="0" applyNumberFormat="1" applyFont="1" applyFill="1" applyBorder="1" applyAlignment="1">
      <alignment horizontal="center"/>
    </xf>
    <xf numFmtId="0" fontId="57" fillId="34" borderId="11" xfId="0" applyFont="1" applyFill="1" applyBorder="1" applyAlignment="1">
      <alignment vertical="center" wrapText="1"/>
    </xf>
    <xf numFmtId="172" fontId="61" fillId="34" borderId="11" xfId="0" applyNumberFormat="1" applyFont="1" applyFill="1" applyBorder="1" applyAlignment="1">
      <alignment horizontal="center" vertical="top"/>
    </xf>
    <xf numFmtId="0" fontId="58" fillId="35" borderId="11" xfId="0" applyFont="1" applyFill="1" applyBorder="1" applyAlignment="1">
      <alignment horizontal="center" vertical="center" wrapText="1"/>
    </xf>
    <xf numFmtId="172" fontId="61" fillId="35" borderId="11" xfId="0" applyNumberFormat="1" applyFont="1" applyFill="1" applyBorder="1" applyAlignment="1">
      <alignment horizontal="center" vertical="center"/>
    </xf>
    <xf numFmtId="172" fontId="62" fillId="35" borderId="11" xfId="0" applyNumberFormat="1" applyFont="1" applyFill="1" applyBorder="1" applyAlignment="1">
      <alignment horizontal="center" vertical="center"/>
    </xf>
    <xf numFmtId="172" fontId="61" fillId="35" borderId="11" xfId="0" applyNumberFormat="1" applyFont="1" applyFill="1" applyBorder="1" applyAlignment="1">
      <alignment horizontal="center" vertical="top"/>
    </xf>
    <xf numFmtId="172" fontId="62" fillId="35" borderId="11" xfId="0" applyNumberFormat="1" applyFont="1" applyFill="1" applyBorder="1" applyAlignment="1">
      <alignment horizontal="center" vertical="top"/>
    </xf>
    <xf numFmtId="172" fontId="7" fillId="35" borderId="11" xfId="0" applyNumberFormat="1" applyFont="1" applyFill="1" applyBorder="1" applyAlignment="1">
      <alignment horizontal="center" vertical="top"/>
    </xf>
    <xf numFmtId="172" fontId="7" fillId="34" borderId="11" xfId="0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172" fontId="66" fillId="0" borderId="11" xfId="0" applyNumberFormat="1" applyFont="1" applyFill="1" applyBorder="1" applyAlignment="1">
      <alignment horizontal="center" vertical="top"/>
    </xf>
    <xf numFmtId="172" fontId="66" fillId="35" borderId="11" xfId="0" applyNumberFormat="1" applyFont="1" applyFill="1" applyBorder="1" applyAlignment="1">
      <alignment horizontal="center" vertical="top"/>
    </xf>
    <xf numFmtId="172" fontId="66" fillId="33" borderId="11" xfId="0" applyNumberFormat="1" applyFont="1" applyFill="1" applyBorder="1" applyAlignment="1">
      <alignment horizontal="center" vertical="top"/>
    </xf>
    <xf numFmtId="0" fontId="61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 wrapText="1"/>
    </xf>
    <xf numFmtId="0" fontId="60" fillId="0" borderId="0" xfId="0" applyFont="1" applyFill="1" applyAlignment="1">
      <alignment/>
    </xf>
    <xf numFmtId="4" fontId="61" fillId="0" borderId="11" xfId="0" applyNumberFormat="1" applyFont="1" applyFill="1" applyBorder="1" applyAlignment="1">
      <alignment horizontal="center" wrapText="1"/>
    </xf>
    <xf numFmtId="4" fontId="61" fillId="33" borderId="11" xfId="0" applyNumberFormat="1" applyFont="1" applyFill="1" applyBorder="1" applyAlignment="1">
      <alignment horizontal="center" wrapText="1"/>
    </xf>
    <xf numFmtId="4" fontId="61" fillId="33" borderId="11" xfId="0" applyNumberFormat="1" applyFont="1" applyFill="1" applyBorder="1" applyAlignment="1">
      <alignment horizontal="center"/>
    </xf>
    <xf numFmtId="4" fontId="61" fillId="35" borderId="11" xfId="0" applyNumberFormat="1" applyFont="1" applyFill="1" applyBorder="1" applyAlignment="1">
      <alignment horizontal="center" wrapText="1"/>
    </xf>
    <xf numFmtId="4" fontId="61" fillId="35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56" fillId="33" borderId="0" xfId="0" applyNumberFormat="1" applyFont="1" applyFill="1" applyAlignment="1">
      <alignment horizontal="center"/>
    </xf>
    <xf numFmtId="4" fontId="56" fillId="33" borderId="11" xfId="0" applyNumberFormat="1" applyFont="1" applyFill="1" applyBorder="1" applyAlignment="1">
      <alignment horizontal="center"/>
    </xf>
    <xf numFmtId="4" fontId="67" fillId="0" borderId="11" xfId="0" applyNumberFormat="1" applyFont="1" applyFill="1" applyBorder="1" applyAlignment="1">
      <alignment/>
    </xf>
    <xf numFmtId="4" fontId="67" fillId="0" borderId="11" xfId="0" applyNumberFormat="1" applyFont="1" applyBorder="1" applyAlignment="1">
      <alignment/>
    </xf>
    <xf numFmtId="0" fontId="67" fillId="0" borderId="11" xfId="0" applyFont="1" applyFill="1" applyBorder="1" applyAlignment="1">
      <alignment/>
    </xf>
    <xf numFmtId="172" fontId="62" fillId="36" borderId="11" xfId="0" applyNumberFormat="1" applyFont="1" applyFill="1" applyBorder="1" applyAlignment="1">
      <alignment horizontal="center" vertical="top"/>
    </xf>
    <xf numFmtId="172" fontId="61" fillId="0" borderId="11" xfId="0" applyNumberFormat="1" applyFont="1" applyBorder="1" applyAlignment="1">
      <alignment horizontal="center"/>
    </xf>
    <xf numFmtId="172" fontId="61" fillId="35" borderId="11" xfId="0" applyNumberFormat="1" applyFont="1" applyFill="1" applyBorder="1" applyAlignment="1">
      <alignment horizontal="center"/>
    </xf>
    <xf numFmtId="172" fontId="68" fillId="0" borderId="11" xfId="0" applyNumberFormat="1" applyFont="1" applyFill="1" applyBorder="1" applyAlignment="1">
      <alignment horizontal="center" vertical="top"/>
    </xf>
    <xf numFmtId="4" fontId="56" fillId="0" borderId="0" xfId="0" applyNumberFormat="1" applyFont="1" applyFill="1" applyAlignment="1">
      <alignment/>
    </xf>
    <xf numFmtId="4" fontId="69" fillId="0" borderId="11" xfId="0" applyNumberFormat="1" applyFont="1" applyBorder="1" applyAlignment="1">
      <alignment/>
    </xf>
    <xf numFmtId="0" fontId="65" fillId="35" borderId="12" xfId="0" applyFont="1" applyFill="1" applyBorder="1" applyAlignment="1">
      <alignment horizontal="center" vertical="center" wrapText="1"/>
    </xf>
    <xf numFmtId="172" fontId="61" fillId="36" borderId="11" xfId="0" applyNumberFormat="1" applyFont="1" applyFill="1" applyBorder="1" applyAlignment="1">
      <alignment horizontal="center" vertical="center"/>
    </xf>
    <xf numFmtId="172" fontId="62" fillId="36" borderId="11" xfId="0" applyNumberFormat="1" applyFont="1" applyFill="1" applyBorder="1" applyAlignment="1">
      <alignment horizontal="center" vertical="center"/>
    </xf>
    <xf numFmtId="172" fontId="61" fillId="36" borderId="11" xfId="0" applyNumberFormat="1" applyFont="1" applyFill="1" applyBorder="1" applyAlignment="1">
      <alignment horizontal="center" vertical="top"/>
    </xf>
    <xf numFmtId="172" fontId="7" fillId="36" borderId="11" xfId="0" applyNumberFormat="1" applyFont="1" applyFill="1" applyBorder="1" applyAlignment="1">
      <alignment horizontal="center" vertical="top"/>
    </xf>
    <xf numFmtId="172" fontId="66" fillId="36" borderId="11" xfId="0" applyNumberFormat="1" applyFont="1" applyFill="1" applyBorder="1" applyAlignment="1">
      <alignment horizontal="center" vertical="top"/>
    </xf>
    <xf numFmtId="172" fontId="66" fillId="36" borderId="11" xfId="0" applyNumberFormat="1" applyFont="1" applyFill="1" applyBorder="1" applyAlignment="1">
      <alignment horizontal="center" vertical="center"/>
    </xf>
    <xf numFmtId="4" fontId="57" fillId="0" borderId="0" xfId="0" applyNumberFormat="1" applyFont="1" applyBorder="1" applyAlignment="1">
      <alignment/>
    </xf>
    <xf numFmtId="172" fontId="66" fillId="37" borderId="11" xfId="0" applyNumberFormat="1" applyFont="1" applyFill="1" applyBorder="1" applyAlignment="1">
      <alignment horizontal="center" vertical="top"/>
    </xf>
    <xf numFmtId="172" fontId="61" fillId="37" borderId="11" xfId="0" applyNumberFormat="1" applyFont="1" applyFill="1" applyBorder="1" applyAlignment="1">
      <alignment horizontal="center" vertical="top"/>
    </xf>
    <xf numFmtId="172" fontId="62" fillId="37" borderId="11" xfId="0" applyNumberFormat="1" applyFont="1" applyFill="1" applyBorder="1" applyAlignment="1">
      <alignment horizontal="center" vertical="center"/>
    </xf>
    <xf numFmtId="172" fontId="56" fillId="0" borderId="0" xfId="0" applyNumberFormat="1" applyFont="1" applyAlignment="1">
      <alignment/>
    </xf>
    <xf numFmtId="0" fontId="65" fillId="0" borderId="15" xfId="0" applyFont="1" applyFill="1" applyBorder="1" applyAlignment="1">
      <alignment horizontal="center" vertical="center" wrapText="1"/>
    </xf>
    <xf numFmtId="172" fontId="66" fillId="8" borderId="11" xfId="0" applyNumberFormat="1" applyFont="1" applyFill="1" applyBorder="1" applyAlignment="1">
      <alignment horizontal="center" vertical="top"/>
    </xf>
    <xf numFmtId="172" fontId="61" fillId="8" borderId="11" xfId="0" applyNumberFormat="1" applyFont="1" applyFill="1" applyBorder="1" applyAlignment="1">
      <alignment horizontal="center" vertical="top"/>
    </xf>
    <xf numFmtId="0" fontId="56" fillId="0" borderId="11" xfId="0" applyFont="1" applyBorder="1" applyAlignment="1">
      <alignment/>
    </xf>
    <xf numFmtId="0" fontId="65" fillId="35" borderId="1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4" fontId="61" fillId="0" borderId="11" xfId="0" applyNumberFormat="1" applyFont="1" applyBorder="1" applyAlignment="1">
      <alignment horizontal="center" wrapText="1"/>
    </xf>
    <xf numFmtId="4" fontId="61" fillId="0" borderId="11" xfId="0" applyNumberFormat="1" applyFont="1" applyBorder="1" applyAlignment="1">
      <alignment horizontal="center"/>
    </xf>
    <xf numFmtId="4" fontId="61" fillId="34" borderId="11" xfId="0" applyNumberFormat="1" applyFont="1" applyFill="1" applyBorder="1" applyAlignment="1">
      <alignment horizontal="center"/>
    </xf>
    <xf numFmtId="4" fontId="62" fillId="36" borderId="11" xfId="0" applyNumberFormat="1" applyFont="1" applyFill="1" applyBorder="1" applyAlignment="1">
      <alignment horizontal="center" vertical="top"/>
    </xf>
    <xf numFmtId="0" fontId="65" fillId="36" borderId="12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172" fontId="7" fillId="36" borderId="11" xfId="0" applyNumberFormat="1" applyFont="1" applyFill="1" applyBorder="1" applyAlignment="1">
      <alignment horizontal="center" vertical="center"/>
    </xf>
    <xf numFmtId="172" fontId="8" fillId="36" borderId="11" xfId="0" applyNumberFormat="1" applyFont="1" applyFill="1" applyBorder="1" applyAlignment="1">
      <alignment horizontal="center" vertical="center"/>
    </xf>
    <xf numFmtId="172" fontId="8" fillId="36" borderId="11" xfId="0" applyNumberFormat="1" applyFont="1" applyFill="1" applyBorder="1" applyAlignment="1">
      <alignment horizontal="center" vertical="top"/>
    </xf>
    <xf numFmtId="4" fontId="0" fillId="0" borderId="11" xfId="0" applyNumberFormat="1" applyFont="1" applyBorder="1" applyAlignment="1">
      <alignment horizontal="center"/>
    </xf>
    <xf numFmtId="4" fontId="47" fillId="0" borderId="11" xfId="0" applyNumberFormat="1" applyFont="1" applyBorder="1" applyAlignment="1">
      <alignment horizontal="center"/>
    </xf>
    <xf numFmtId="0" fontId="65" fillId="35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/>
    </xf>
    <xf numFmtId="172" fontId="62" fillId="36" borderId="11" xfId="0" applyNumberFormat="1" applyFont="1" applyFill="1" applyBorder="1" applyAlignment="1">
      <alignment horizontal="center"/>
    </xf>
    <xf numFmtId="172" fontId="8" fillId="36" borderId="11" xfId="0" applyNumberFormat="1" applyFont="1" applyFill="1" applyBorder="1" applyAlignment="1">
      <alignment horizontal="center"/>
    </xf>
    <xf numFmtId="172" fontId="7" fillId="36" borderId="11" xfId="0" applyNumberFormat="1" applyFont="1" applyFill="1" applyBorder="1" applyAlignment="1">
      <alignment horizontal="center"/>
    </xf>
    <xf numFmtId="0" fontId="57" fillId="36" borderId="11" xfId="0" applyFont="1" applyFill="1" applyBorder="1" applyAlignment="1">
      <alignment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0" fillId="0" borderId="13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/>
    </xf>
    <xf numFmtId="4" fontId="61" fillId="0" borderId="11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top"/>
    </xf>
    <xf numFmtId="0" fontId="7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"/>
  <sheetViews>
    <sheetView tabSelected="1" view="pageLayout" zoomScale="60" zoomScalePageLayoutView="60" workbookViewId="0" topLeftCell="A1">
      <selection activeCell="BB9" sqref="BB9"/>
    </sheetView>
  </sheetViews>
  <sheetFormatPr defaultColWidth="9.140625" defaultRowHeight="15"/>
  <cols>
    <col min="1" max="1" width="39.140625" style="14" customWidth="1"/>
    <col min="2" max="2" width="14.7109375" style="14" hidden="1" customWidth="1"/>
    <col min="3" max="3" width="16.28125" style="1" hidden="1" customWidth="1"/>
    <col min="4" max="4" width="16.28125" style="14" hidden="1" customWidth="1"/>
    <col min="5" max="6" width="14.7109375" style="1" hidden="1" customWidth="1"/>
    <col min="7" max="7" width="16.7109375" style="1" hidden="1" customWidth="1"/>
    <col min="8" max="8" width="4.00390625" style="1" hidden="1" customWidth="1"/>
    <col min="9" max="9" width="9.00390625" style="1" hidden="1" customWidth="1"/>
    <col min="10" max="10" width="15.57421875" style="14" customWidth="1"/>
    <col min="11" max="11" width="15.421875" style="14" customWidth="1"/>
    <col min="12" max="12" width="17.8515625" style="14" customWidth="1"/>
    <col min="13" max="13" width="19.28125" style="14" customWidth="1"/>
    <col min="14" max="14" width="16.28125" style="14" customWidth="1"/>
    <col min="15" max="15" width="21.421875" style="1" customWidth="1"/>
    <col min="16" max="16" width="15.421875" style="1" customWidth="1"/>
    <col min="17" max="17" width="16.57421875" style="1" customWidth="1"/>
    <col min="18" max="18" width="14.57421875" style="1" customWidth="1"/>
    <col min="19" max="19" width="15.140625" style="1" customWidth="1"/>
    <col min="20" max="20" width="14.421875" style="14" customWidth="1"/>
    <col min="21" max="21" width="18.8515625" style="14" customWidth="1"/>
    <col min="22" max="22" width="19.28125" style="14" customWidth="1"/>
    <col min="23" max="23" width="7.7109375" style="14" hidden="1" customWidth="1"/>
    <col min="24" max="24" width="9.28125" style="14" hidden="1" customWidth="1"/>
    <col min="25" max="26" width="8.7109375" style="14" hidden="1" customWidth="1"/>
    <col min="27" max="27" width="11.28125" style="14" hidden="1" customWidth="1"/>
    <col min="28" max="28" width="11.00390625" style="14" hidden="1" customWidth="1"/>
    <col min="29" max="29" width="13.28125" style="14" hidden="1" customWidth="1"/>
    <col min="30" max="32" width="12.00390625" style="14" hidden="1" customWidth="1"/>
    <col min="33" max="34" width="14.57421875" style="14" hidden="1" customWidth="1"/>
    <col min="35" max="35" width="15.28125" style="14" hidden="1" customWidth="1"/>
    <col min="36" max="36" width="12.00390625" style="1" hidden="1" customWidth="1"/>
    <col min="37" max="37" width="14.00390625" style="1" hidden="1" customWidth="1"/>
    <col min="38" max="38" width="13.57421875" style="1" hidden="1" customWidth="1"/>
    <col min="39" max="39" width="15.57421875" style="1" hidden="1" customWidth="1"/>
    <col min="40" max="40" width="9.140625" style="1" hidden="1" customWidth="1"/>
    <col min="41" max="41" width="18.140625" style="1" hidden="1" customWidth="1"/>
    <col min="42" max="42" width="13.421875" style="1" hidden="1" customWidth="1"/>
    <col min="43" max="43" width="14.140625" style="1" hidden="1" customWidth="1"/>
    <col min="44" max="44" width="15.140625" style="1" hidden="1" customWidth="1"/>
    <col min="45" max="45" width="21.421875" style="1" hidden="1" customWidth="1"/>
    <col min="46" max="51" width="9.140625" style="1" customWidth="1"/>
    <col min="52" max="16384" width="9.140625" style="1" customWidth="1"/>
  </cols>
  <sheetData>
    <row r="1" spans="19:26" ht="77.25" customHeight="1">
      <c r="S1" s="137" t="s">
        <v>91</v>
      </c>
      <c r="T1" s="137"/>
      <c r="U1" s="137"/>
      <c r="V1" s="137"/>
      <c r="W1" s="137"/>
      <c r="X1" s="137"/>
      <c r="Y1" s="137"/>
      <c r="Z1" s="137"/>
    </row>
    <row r="2" spans="20:25" ht="20.25">
      <c r="T2" s="138" t="s">
        <v>90</v>
      </c>
      <c r="U2" s="138"/>
      <c r="V2" s="138"/>
      <c r="W2" s="138"/>
      <c r="X2" s="138"/>
      <c r="Y2" s="138"/>
    </row>
    <row r="3" spans="1:45" ht="54.75" customHeight="1">
      <c r="A3" s="5"/>
      <c r="B3" s="5"/>
      <c r="S3" s="139" t="s">
        <v>92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</row>
    <row r="4" spans="1:22" ht="18.75" customHeight="1">
      <c r="A4" s="126" t="s">
        <v>82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18" ht="9" customHeight="1">
      <c r="A5" s="6"/>
      <c r="B5" s="6"/>
      <c r="C5" s="2"/>
      <c r="D5" s="6"/>
      <c r="E5" s="2"/>
      <c r="F5" s="2"/>
      <c r="G5" s="2"/>
      <c r="H5" s="2"/>
      <c r="I5" s="2"/>
      <c r="J5" s="6"/>
      <c r="K5" s="6"/>
      <c r="L5" s="6"/>
      <c r="M5" s="6"/>
      <c r="N5" s="6"/>
      <c r="O5" s="2"/>
      <c r="P5" s="2"/>
      <c r="Q5" s="2"/>
      <c r="R5" s="2"/>
    </row>
    <row r="6" spans="1:45" ht="131.25" customHeight="1">
      <c r="A6" s="107" t="s">
        <v>21</v>
      </c>
      <c r="B6" s="103" t="s">
        <v>42</v>
      </c>
      <c r="C6" s="103" t="s">
        <v>36</v>
      </c>
      <c r="D6" s="103" t="s">
        <v>43</v>
      </c>
      <c r="E6" s="103" t="s">
        <v>44</v>
      </c>
      <c r="F6" s="103" t="s">
        <v>49</v>
      </c>
      <c r="G6" s="117" t="s">
        <v>39</v>
      </c>
      <c r="H6" s="118"/>
      <c r="I6" s="107"/>
      <c r="J6" s="119" t="s">
        <v>79</v>
      </c>
      <c r="K6" s="121" t="s">
        <v>69</v>
      </c>
      <c r="L6" s="114" t="s">
        <v>63</v>
      </c>
      <c r="M6" s="116"/>
      <c r="N6" s="121" t="s">
        <v>80</v>
      </c>
      <c r="O6" s="110" t="s">
        <v>64</v>
      </c>
      <c r="P6" s="110" t="s">
        <v>65</v>
      </c>
      <c r="Q6" s="110" t="s">
        <v>94</v>
      </c>
      <c r="R6" s="110" t="s">
        <v>66</v>
      </c>
      <c r="S6" s="112" t="s">
        <v>78</v>
      </c>
      <c r="T6" s="112" t="s">
        <v>81</v>
      </c>
      <c r="U6" s="125" t="s">
        <v>70</v>
      </c>
      <c r="V6" s="125"/>
      <c r="W6" s="114" t="s">
        <v>30</v>
      </c>
      <c r="X6" s="115"/>
      <c r="Y6" s="114" t="s">
        <v>16</v>
      </c>
      <c r="Z6" s="116"/>
      <c r="AA6" s="78"/>
      <c r="AB6" s="78"/>
      <c r="AC6" s="78"/>
      <c r="AD6" s="78"/>
      <c r="AE6" s="78"/>
      <c r="AF6" s="78"/>
      <c r="AG6" s="78"/>
      <c r="AH6" s="78"/>
      <c r="AI6" s="78"/>
      <c r="AJ6" s="103" t="s">
        <v>40</v>
      </c>
      <c r="AK6" s="103" t="s">
        <v>36</v>
      </c>
      <c r="AL6" s="103" t="s">
        <v>37</v>
      </c>
      <c r="AM6" s="103" t="s">
        <v>38</v>
      </c>
      <c r="AN6" s="103" t="s">
        <v>35</v>
      </c>
      <c r="AO6" s="103" t="s">
        <v>61</v>
      </c>
      <c r="AP6" s="124" t="s">
        <v>39</v>
      </c>
      <c r="AQ6" s="124"/>
      <c r="AR6" s="105" t="s">
        <v>62</v>
      </c>
      <c r="AS6" s="81"/>
    </row>
    <row r="7" spans="1:45" ht="21.75" customHeight="1">
      <c r="A7" s="108"/>
      <c r="B7" s="109"/>
      <c r="C7" s="109"/>
      <c r="D7" s="109"/>
      <c r="E7" s="109"/>
      <c r="F7" s="109"/>
      <c r="G7" s="96" t="s">
        <v>12</v>
      </c>
      <c r="H7" s="96" t="s">
        <v>14</v>
      </c>
      <c r="I7" s="108"/>
      <c r="J7" s="120"/>
      <c r="K7" s="122"/>
      <c r="L7" s="97" t="s">
        <v>12</v>
      </c>
      <c r="M7" s="97" t="s">
        <v>14</v>
      </c>
      <c r="N7" s="122"/>
      <c r="O7" s="111"/>
      <c r="P7" s="111"/>
      <c r="Q7" s="111"/>
      <c r="R7" s="111"/>
      <c r="S7" s="113"/>
      <c r="T7" s="113"/>
      <c r="U7" s="39" t="s">
        <v>12</v>
      </c>
      <c r="V7" s="39" t="s">
        <v>14</v>
      </c>
      <c r="W7" s="39" t="s">
        <v>17</v>
      </c>
      <c r="X7" s="39" t="s">
        <v>19</v>
      </c>
      <c r="Y7" s="39" t="s">
        <v>12</v>
      </c>
      <c r="Z7" s="39" t="s">
        <v>14</v>
      </c>
      <c r="AA7" s="39" t="s">
        <v>53</v>
      </c>
      <c r="AB7" s="39" t="s">
        <v>52</v>
      </c>
      <c r="AC7" s="39" t="s">
        <v>57</v>
      </c>
      <c r="AD7" s="39" t="s">
        <v>58</v>
      </c>
      <c r="AE7" s="39" t="s">
        <v>55</v>
      </c>
      <c r="AF7" s="39" t="s">
        <v>54</v>
      </c>
      <c r="AG7" s="39" t="s">
        <v>56</v>
      </c>
      <c r="AH7" s="39" t="s">
        <v>59</v>
      </c>
      <c r="AI7" s="39" t="s">
        <v>60</v>
      </c>
      <c r="AJ7" s="104"/>
      <c r="AK7" s="109"/>
      <c r="AL7" s="109"/>
      <c r="AM7" s="123"/>
      <c r="AN7" s="123"/>
      <c r="AO7" s="104"/>
      <c r="AP7" s="66" t="s">
        <v>12</v>
      </c>
      <c r="AQ7" s="66" t="s">
        <v>14</v>
      </c>
      <c r="AR7" s="106"/>
      <c r="AS7" s="81"/>
    </row>
    <row r="8" spans="1:45" ht="12.75">
      <c r="A8" s="7">
        <v>1</v>
      </c>
      <c r="B8" s="30"/>
      <c r="C8" s="30">
        <v>7</v>
      </c>
      <c r="D8" s="30">
        <v>8</v>
      </c>
      <c r="E8" s="30"/>
      <c r="F8" s="30"/>
      <c r="G8" s="30">
        <v>9</v>
      </c>
      <c r="H8" s="30">
        <v>10</v>
      </c>
      <c r="I8" s="7"/>
      <c r="J8" s="7">
        <v>2</v>
      </c>
      <c r="K8" s="7">
        <v>3</v>
      </c>
      <c r="L8" s="7" t="s">
        <v>71</v>
      </c>
      <c r="M8" s="7" t="s">
        <v>72</v>
      </c>
      <c r="N8" s="7" t="s">
        <v>73</v>
      </c>
      <c r="O8" s="7">
        <v>7</v>
      </c>
      <c r="P8" s="4">
        <v>8</v>
      </c>
      <c r="Q8" s="7">
        <v>9</v>
      </c>
      <c r="R8" s="4">
        <v>10</v>
      </c>
      <c r="S8" s="90" t="s">
        <v>74</v>
      </c>
      <c r="T8" s="90" t="s">
        <v>75</v>
      </c>
      <c r="U8" s="7" t="s">
        <v>76</v>
      </c>
      <c r="V8" s="7" t="s">
        <v>77</v>
      </c>
      <c r="W8" s="7">
        <v>11</v>
      </c>
      <c r="X8" s="7">
        <v>12</v>
      </c>
      <c r="Y8" s="7">
        <v>13</v>
      </c>
      <c r="Z8" s="7">
        <v>14</v>
      </c>
      <c r="AA8" s="7"/>
      <c r="AB8" s="7"/>
      <c r="AC8" s="7"/>
      <c r="AD8" s="7"/>
      <c r="AE8" s="7"/>
      <c r="AF8" s="7"/>
      <c r="AG8" s="7"/>
      <c r="AH8" s="7"/>
      <c r="AI8" s="7"/>
      <c r="AJ8" s="30"/>
      <c r="AK8" s="30">
        <v>7</v>
      </c>
      <c r="AL8" s="30">
        <v>8</v>
      </c>
      <c r="AM8" s="30"/>
      <c r="AN8" s="30"/>
      <c r="AO8" s="30"/>
      <c r="AP8" s="30">
        <v>9</v>
      </c>
      <c r="AQ8" s="30">
        <v>10</v>
      </c>
      <c r="AR8" s="81"/>
      <c r="AS8" s="81"/>
    </row>
    <row r="9" spans="1:45" ht="43.5" customHeight="1">
      <c r="A9" s="8" t="s">
        <v>67</v>
      </c>
      <c r="B9" s="31"/>
      <c r="C9" s="31" t="s">
        <v>13</v>
      </c>
      <c r="D9" s="31">
        <v>26747</v>
      </c>
      <c r="E9" s="31"/>
      <c r="F9" s="31"/>
      <c r="G9" s="31" t="s">
        <v>13</v>
      </c>
      <c r="H9" s="31" t="s">
        <v>13</v>
      </c>
      <c r="I9" s="8"/>
      <c r="J9" s="17" t="s">
        <v>13</v>
      </c>
      <c r="K9" s="17" t="s">
        <v>34</v>
      </c>
      <c r="L9" s="17" t="s">
        <v>13</v>
      </c>
      <c r="M9" s="17" t="s">
        <v>13</v>
      </c>
      <c r="N9" s="17" t="s">
        <v>34</v>
      </c>
      <c r="O9" s="17" t="s">
        <v>34</v>
      </c>
      <c r="P9" s="17"/>
      <c r="Q9" s="17" t="s">
        <v>13</v>
      </c>
      <c r="R9" s="91" t="s">
        <v>34</v>
      </c>
      <c r="S9" s="67" t="s">
        <v>34</v>
      </c>
      <c r="T9" s="67" t="s">
        <v>34</v>
      </c>
      <c r="U9" s="17" t="s">
        <v>13</v>
      </c>
      <c r="V9" s="17" t="s">
        <v>13</v>
      </c>
      <c r="W9" s="17" t="s">
        <v>13</v>
      </c>
      <c r="X9" s="17" t="s">
        <v>13</v>
      </c>
      <c r="Y9" s="17" t="s">
        <v>13</v>
      </c>
      <c r="Z9" s="17" t="s">
        <v>13</v>
      </c>
      <c r="AA9" s="17">
        <v>29549</v>
      </c>
      <c r="AB9" s="17"/>
      <c r="AC9" s="17"/>
      <c r="AD9" s="17"/>
      <c r="AE9" s="17"/>
      <c r="AF9" s="17"/>
      <c r="AG9" s="17"/>
      <c r="AH9" s="17"/>
      <c r="AI9" s="17"/>
      <c r="AJ9" s="67"/>
      <c r="AK9" s="67" t="s">
        <v>13</v>
      </c>
      <c r="AL9" s="67">
        <v>30956</v>
      </c>
      <c r="AM9" s="67"/>
      <c r="AN9" s="67"/>
      <c r="AO9" s="67"/>
      <c r="AP9" s="67" t="s">
        <v>13</v>
      </c>
      <c r="AQ9" s="67" t="s">
        <v>13</v>
      </c>
      <c r="AR9" s="81"/>
      <c r="AS9" s="81"/>
    </row>
    <row r="10" spans="1:45" ht="41.25" customHeight="1">
      <c r="A10" s="8" t="s">
        <v>68</v>
      </c>
      <c r="B10" s="31"/>
      <c r="C10" s="31" t="s">
        <v>13</v>
      </c>
      <c r="D10" s="32"/>
      <c r="E10" s="32"/>
      <c r="F10" s="32"/>
      <c r="G10" s="31" t="s">
        <v>13</v>
      </c>
      <c r="H10" s="31" t="s">
        <v>13</v>
      </c>
      <c r="I10" s="8"/>
      <c r="J10" s="17" t="s">
        <v>13</v>
      </c>
      <c r="K10" s="17" t="s">
        <v>34</v>
      </c>
      <c r="L10" s="17" t="s">
        <v>13</v>
      </c>
      <c r="M10" s="17" t="s">
        <v>13</v>
      </c>
      <c r="N10" s="17" t="s">
        <v>34</v>
      </c>
      <c r="O10" s="17" t="s">
        <v>34</v>
      </c>
      <c r="P10" s="17" t="s">
        <v>13</v>
      </c>
      <c r="Q10" s="17" t="s">
        <v>13</v>
      </c>
      <c r="R10" s="92"/>
      <c r="S10" s="67" t="s">
        <v>34</v>
      </c>
      <c r="T10" s="67" t="s">
        <v>34</v>
      </c>
      <c r="U10" s="17" t="s">
        <v>13</v>
      </c>
      <c r="V10" s="17" t="s">
        <v>13</v>
      </c>
      <c r="W10" s="17" t="s">
        <v>13</v>
      </c>
      <c r="X10" s="17" t="s">
        <v>13</v>
      </c>
      <c r="Y10" s="17" t="s">
        <v>13</v>
      </c>
      <c r="Z10" s="17" t="s">
        <v>13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67"/>
      <c r="AK10" s="67" t="s">
        <v>13</v>
      </c>
      <c r="AL10" s="68"/>
      <c r="AM10" s="68"/>
      <c r="AN10" s="68"/>
      <c r="AO10" s="68"/>
      <c r="AP10" s="67" t="s">
        <v>13</v>
      </c>
      <c r="AQ10" s="67" t="s">
        <v>13</v>
      </c>
      <c r="AR10" s="81"/>
      <c r="AS10" s="81"/>
    </row>
    <row r="11" spans="1:45" ht="30" customHeight="1">
      <c r="A11" s="8" t="s">
        <v>11</v>
      </c>
      <c r="B11" s="32">
        <f>SUM(B12:B19)</f>
        <v>19930</v>
      </c>
      <c r="C11" s="32" t="s">
        <v>34</v>
      </c>
      <c r="D11" s="32" t="s">
        <v>34</v>
      </c>
      <c r="E11" s="32">
        <f>SUM(E12:E21)</f>
        <v>8709310.271592</v>
      </c>
      <c r="F11" s="32">
        <f>SUM(F12:F21)</f>
        <v>-8709310.271592</v>
      </c>
      <c r="G11" s="32" t="e">
        <f>SUM(G12:G21)</f>
        <v>#REF!</v>
      </c>
      <c r="H11" s="32" t="e">
        <f>SUM(H12:H21)</f>
        <v>#REF!</v>
      </c>
      <c r="I11" s="8"/>
      <c r="J11" s="92"/>
      <c r="K11" s="92"/>
      <c r="L11" s="68"/>
      <c r="M11" s="68"/>
      <c r="N11" s="68"/>
      <c r="O11" s="68"/>
      <c r="P11" s="68"/>
      <c r="Q11" s="68"/>
      <c r="R11" s="92"/>
      <c r="S11" s="68"/>
      <c r="T11" s="68"/>
      <c r="U11" s="68"/>
      <c r="V11" s="68"/>
      <c r="W11" s="19">
        <f aca="true" t="shared" si="0" ref="W11:AJ11">SUM(W12:W21)</f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19" t="s">
        <v>34</v>
      </c>
      <c r="AB11" s="19">
        <f t="shared" si="0"/>
        <v>138932.2</v>
      </c>
      <c r="AC11" s="19">
        <f t="shared" si="0"/>
        <v>0</v>
      </c>
      <c r="AD11" s="19"/>
      <c r="AE11" s="19" t="s">
        <v>34</v>
      </c>
      <c r="AF11" s="19">
        <f>SUM(AF12:AF21)</f>
        <v>0</v>
      </c>
      <c r="AG11" s="19">
        <f>SUM(AG12:AG21)</f>
        <v>78924.3</v>
      </c>
      <c r="AH11" s="19">
        <f>SUM(AH12:AH21)</f>
        <v>-78924.3</v>
      </c>
      <c r="AI11" s="19">
        <f>AI12+AI15+AI16+AI19+AI21</f>
        <v>-18034.5</v>
      </c>
      <c r="AJ11" s="68">
        <f t="shared" si="0"/>
        <v>21650</v>
      </c>
      <c r="AK11" s="68" t="s">
        <v>34</v>
      </c>
      <c r="AL11" s="68" t="s">
        <v>34</v>
      </c>
      <c r="AM11" s="68">
        <f aca="true" t="shared" si="1" ref="AM11:AR11">SUM(AM12:AM21)</f>
        <v>9982896.2631216</v>
      </c>
      <c r="AN11" s="68">
        <f t="shared" si="1"/>
        <v>0</v>
      </c>
      <c r="AO11" s="68">
        <f t="shared" si="1"/>
        <v>9964861.7631216</v>
      </c>
      <c r="AP11" s="68">
        <f t="shared" si="1"/>
        <v>9982896.2631216</v>
      </c>
      <c r="AQ11" s="68">
        <f t="shared" si="1"/>
        <v>9982896.2631216</v>
      </c>
      <c r="AR11" s="68">
        <f t="shared" si="1"/>
        <v>534518.6000000001</v>
      </c>
      <c r="AS11" s="94"/>
    </row>
    <row r="12" spans="1:45" ht="40.5" customHeight="1">
      <c r="A12" s="10" t="s">
        <v>85</v>
      </c>
      <c r="B12" s="33">
        <v>12153</v>
      </c>
      <c r="C12" s="35">
        <v>108.2</v>
      </c>
      <c r="D12" s="33">
        <v>28959</v>
      </c>
      <c r="E12" s="33">
        <f aca="true" t="shared" si="2" ref="E12:E21">B12*D12*12*1.302/1000</f>
        <v>5498690.670648</v>
      </c>
      <c r="F12" s="33">
        <f>L12*1.302-E12</f>
        <v>-5498690.670648</v>
      </c>
      <c r="G12" s="33" t="e">
        <f>(E12-#REF!)*1.302</f>
        <v>#REF!</v>
      </c>
      <c r="H12" s="33" t="e">
        <f>G12</f>
        <v>#REF!</v>
      </c>
      <c r="I12" s="9"/>
      <c r="J12" s="70"/>
      <c r="K12" s="70"/>
      <c r="L12" s="69"/>
      <c r="M12" s="69"/>
      <c r="N12" s="69"/>
      <c r="O12" s="70"/>
      <c r="P12" s="70"/>
      <c r="Q12" s="70"/>
      <c r="R12" s="91"/>
      <c r="S12" s="69"/>
      <c r="T12" s="69"/>
      <c r="U12" s="69"/>
      <c r="V12" s="69"/>
      <c r="W12" s="22">
        <v>0</v>
      </c>
      <c r="X12" s="22">
        <v>0</v>
      </c>
      <c r="Y12" s="22">
        <v>0</v>
      </c>
      <c r="Z12" s="22">
        <v>0</v>
      </c>
      <c r="AA12" s="22">
        <v>29549</v>
      </c>
      <c r="AB12" s="22">
        <f aca="true" t="shared" si="3" ref="AB12:AB21">AA12-R12</f>
        <v>29549</v>
      </c>
      <c r="AC12" s="22">
        <f aca="true" t="shared" si="4" ref="AC12:AC21">AB12*J12*12*1.302/1000</f>
        <v>0</v>
      </c>
      <c r="AD12" s="22">
        <v>29282</v>
      </c>
      <c r="AE12" s="22">
        <f aca="true" t="shared" si="5" ref="AE12:AE21">AA12-AD12</f>
        <v>267</v>
      </c>
      <c r="AF12" s="22">
        <f aca="true" t="shared" si="6" ref="AF12:AF21">AE12*J12*12*1.302/1000</f>
        <v>0</v>
      </c>
      <c r="AG12" s="22"/>
      <c r="AH12" s="22">
        <f>AF12-AG12</f>
        <v>0</v>
      </c>
      <c r="AI12" s="19">
        <f aca="true" t="shared" si="7" ref="AI12:AI31">AH12</f>
        <v>0</v>
      </c>
      <c r="AJ12" s="69">
        <v>12359</v>
      </c>
      <c r="AK12" s="70">
        <v>100</v>
      </c>
      <c r="AL12" s="67">
        <v>30956</v>
      </c>
      <c r="AM12" s="69">
        <f aca="true" t="shared" si="8" ref="AM12:AM21">AL12*AJ12*12*1.302/1000</f>
        <v>5977511.227296</v>
      </c>
      <c r="AN12" s="69"/>
      <c r="AO12" s="69">
        <f>AP12+AI12</f>
        <v>5977511.227296</v>
      </c>
      <c r="AP12" s="69">
        <f aca="true" t="shared" si="9" ref="AP12:AP21">(AM12-T12)</f>
        <v>5977511.227296</v>
      </c>
      <c r="AQ12" s="69">
        <f>AP12</f>
        <v>5977511.227296</v>
      </c>
      <c r="AR12" s="86">
        <v>293072</v>
      </c>
      <c r="AS12" s="54">
        <v>459293.6</v>
      </c>
    </row>
    <row r="13" spans="1:45" ht="15.75" customHeight="1">
      <c r="A13" s="10" t="s">
        <v>86</v>
      </c>
      <c r="B13" s="33"/>
      <c r="C13" s="35"/>
      <c r="D13" s="33"/>
      <c r="E13" s="33"/>
      <c r="F13" s="33"/>
      <c r="G13" s="33"/>
      <c r="H13" s="33"/>
      <c r="I13" s="9"/>
      <c r="J13" s="70"/>
      <c r="K13" s="70"/>
      <c r="L13" s="69"/>
      <c r="M13" s="69"/>
      <c r="N13" s="69"/>
      <c r="O13" s="70"/>
      <c r="P13" s="70"/>
      <c r="Q13" s="70"/>
      <c r="R13" s="91"/>
      <c r="S13" s="69"/>
      <c r="T13" s="69"/>
      <c r="U13" s="69"/>
      <c r="V13" s="69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19"/>
      <c r="AJ13" s="69"/>
      <c r="AK13" s="70"/>
      <c r="AL13" s="67"/>
      <c r="AM13" s="69"/>
      <c r="AN13" s="69"/>
      <c r="AO13" s="69"/>
      <c r="AP13" s="69"/>
      <c r="AQ13" s="69"/>
      <c r="AR13" s="98"/>
      <c r="AS13" s="54"/>
    </row>
    <row r="14" spans="1:45" ht="16.5" customHeight="1">
      <c r="A14" s="10" t="s">
        <v>87</v>
      </c>
      <c r="B14" s="33"/>
      <c r="C14" s="35"/>
      <c r="D14" s="33"/>
      <c r="E14" s="33"/>
      <c r="F14" s="33"/>
      <c r="G14" s="33"/>
      <c r="H14" s="33"/>
      <c r="I14" s="9"/>
      <c r="J14" s="70"/>
      <c r="K14" s="70"/>
      <c r="L14" s="69"/>
      <c r="M14" s="69"/>
      <c r="N14" s="69"/>
      <c r="O14" s="70"/>
      <c r="P14" s="70"/>
      <c r="Q14" s="70"/>
      <c r="R14" s="91"/>
      <c r="S14" s="69"/>
      <c r="T14" s="69"/>
      <c r="U14" s="69"/>
      <c r="V14" s="69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19"/>
      <c r="AJ14" s="69"/>
      <c r="AK14" s="70"/>
      <c r="AL14" s="67"/>
      <c r="AM14" s="69"/>
      <c r="AN14" s="69"/>
      <c r="AO14" s="69"/>
      <c r="AP14" s="69"/>
      <c r="AQ14" s="69"/>
      <c r="AR14" s="98"/>
      <c r="AS14" s="54"/>
    </row>
    <row r="15" spans="1:45" ht="30" customHeight="1">
      <c r="A15" s="10" t="s">
        <v>4</v>
      </c>
      <c r="B15" s="33">
        <v>4775</v>
      </c>
      <c r="C15" s="35">
        <v>94.4</v>
      </c>
      <c r="D15" s="33">
        <v>21547</v>
      </c>
      <c r="E15" s="33">
        <f t="shared" si="2"/>
        <v>1607505.3162</v>
      </c>
      <c r="F15" s="33">
        <f>L15*1.302-E15</f>
        <v>-1607505.3162</v>
      </c>
      <c r="G15" s="33" t="e">
        <f>(E15-#REF!)*1.302</f>
        <v>#REF!</v>
      </c>
      <c r="H15" s="33" t="e">
        <f>G15</f>
        <v>#REF!</v>
      </c>
      <c r="I15" s="10"/>
      <c r="J15" s="70"/>
      <c r="K15" s="70"/>
      <c r="L15" s="69"/>
      <c r="M15" s="69"/>
      <c r="N15" s="69"/>
      <c r="O15" s="70"/>
      <c r="P15" s="70"/>
      <c r="Q15" s="70"/>
      <c r="R15" s="70"/>
      <c r="S15" s="69"/>
      <c r="T15" s="69"/>
      <c r="U15" s="69"/>
      <c r="V15" s="69"/>
      <c r="W15" s="22">
        <v>0</v>
      </c>
      <c r="X15" s="22">
        <v>0</v>
      </c>
      <c r="Y15" s="22">
        <v>0</v>
      </c>
      <c r="Z15" s="22">
        <v>0</v>
      </c>
      <c r="AA15" s="22">
        <v>23691</v>
      </c>
      <c r="AB15" s="22">
        <f t="shared" si="3"/>
        <v>23691</v>
      </c>
      <c r="AC15" s="22">
        <f t="shared" si="4"/>
        <v>0</v>
      </c>
      <c r="AD15" s="22">
        <v>22815</v>
      </c>
      <c r="AE15" s="22">
        <f t="shared" si="5"/>
        <v>876</v>
      </c>
      <c r="AF15" s="22">
        <f t="shared" si="6"/>
        <v>0</v>
      </c>
      <c r="AG15" s="22"/>
      <c r="AH15" s="22">
        <f aca="true" t="shared" si="10" ref="AH15:AH31">AF15-AG15</f>
        <v>0</v>
      </c>
      <c r="AI15" s="19">
        <f t="shared" si="7"/>
        <v>0</v>
      </c>
      <c r="AJ15" s="71">
        <v>4882</v>
      </c>
      <c r="AK15" s="70">
        <v>100</v>
      </c>
      <c r="AL15" s="71">
        <v>24554.7</v>
      </c>
      <c r="AM15" s="69">
        <f t="shared" si="8"/>
        <v>1872943.3333296003</v>
      </c>
      <c r="AN15" s="69"/>
      <c r="AO15" s="69">
        <f aca="true" t="shared" si="11" ref="AO15:AO31">AP15+AI15</f>
        <v>1872943.3333296003</v>
      </c>
      <c r="AP15" s="69">
        <f t="shared" si="9"/>
        <v>1872943.3333296003</v>
      </c>
      <c r="AQ15" s="69">
        <f aca="true" t="shared" si="12" ref="AQ15:AQ25">AP15</f>
        <v>1872943.3333296003</v>
      </c>
      <c r="AR15" s="86">
        <v>65960.9</v>
      </c>
      <c r="AS15" s="54">
        <v>113314.2</v>
      </c>
    </row>
    <row r="16" spans="1:45" ht="25.5">
      <c r="A16" s="10" t="s">
        <v>88</v>
      </c>
      <c r="B16" s="33">
        <v>1847</v>
      </c>
      <c r="C16" s="35">
        <v>75.5</v>
      </c>
      <c r="D16" s="33">
        <v>22581</v>
      </c>
      <c r="E16" s="33">
        <f t="shared" si="2"/>
        <v>651631.8397680001</v>
      </c>
      <c r="F16" s="33">
        <f>L16*1.302-E16</f>
        <v>-651631.8397680001</v>
      </c>
      <c r="G16" s="33" t="e">
        <f>(E16-#REF!)*1.302</f>
        <v>#REF!</v>
      </c>
      <c r="H16" s="33" t="e">
        <f>G16</f>
        <v>#REF!</v>
      </c>
      <c r="I16" s="10"/>
      <c r="J16" s="70"/>
      <c r="K16" s="70"/>
      <c r="L16" s="69"/>
      <c r="M16" s="69"/>
      <c r="N16" s="69"/>
      <c r="O16" s="70"/>
      <c r="P16" s="70"/>
      <c r="Q16" s="70"/>
      <c r="R16" s="70"/>
      <c r="S16" s="69"/>
      <c r="T16" s="69"/>
      <c r="U16" s="69"/>
      <c r="V16" s="69"/>
      <c r="W16" s="22">
        <v>0</v>
      </c>
      <c r="X16" s="22">
        <v>0</v>
      </c>
      <c r="Y16" s="22">
        <v>0</v>
      </c>
      <c r="Z16" s="22">
        <v>0</v>
      </c>
      <c r="AA16" s="22">
        <v>28071.6</v>
      </c>
      <c r="AB16" s="22">
        <f t="shared" si="3"/>
        <v>28071.6</v>
      </c>
      <c r="AC16" s="22">
        <f t="shared" si="4"/>
        <v>0</v>
      </c>
      <c r="AD16" s="22">
        <v>23398</v>
      </c>
      <c r="AE16" s="22">
        <f t="shared" si="5"/>
        <v>4673.5999999999985</v>
      </c>
      <c r="AF16" s="22">
        <f t="shared" si="6"/>
        <v>0</v>
      </c>
      <c r="AG16" s="22">
        <v>18034.5</v>
      </c>
      <c r="AH16" s="22">
        <f t="shared" si="10"/>
        <v>-18034.5</v>
      </c>
      <c r="AI16" s="19">
        <f t="shared" si="7"/>
        <v>-18034.5</v>
      </c>
      <c r="AJ16" s="71">
        <v>1889</v>
      </c>
      <c r="AK16" s="70">
        <v>100</v>
      </c>
      <c r="AL16" s="71">
        <v>30956</v>
      </c>
      <c r="AM16" s="69">
        <f t="shared" si="8"/>
        <v>913627.211616</v>
      </c>
      <c r="AN16" s="69"/>
      <c r="AO16" s="69">
        <f t="shared" si="11"/>
        <v>895592.711616</v>
      </c>
      <c r="AP16" s="69">
        <f t="shared" si="9"/>
        <v>913627.211616</v>
      </c>
      <c r="AQ16" s="69">
        <f t="shared" si="12"/>
        <v>913627.211616</v>
      </c>
      <c r="AR16" s="86">
        <v>82802.2</v>
      </c>
      <c r="AS16" s="54">
        <v>115799.9</v>
      </c>
    </row>
    <row r="17" spans="1:45" ht="15">
      <c r="A17" s="10" t="s">
        <v>86</v>
      </c>
      <c r="B17" s="33"/>
      <c r="C17" s="35"/>
      <c r="D17" s="33"/>
      <c r="E17" s="33"/>
      <c r="F17" s="33"/>
      <c r="G17" s="33"/>
      <c r="H17" s="33"/>
      <c r="I17" s="10"/>
      <c r="J17" s="70"/>
      <c r="K17" s="70"/>
      <c r="L17" s="69"/>
      <c r="M17" s="69"/>
      <c r="N17" s="69"/>
      <c r="O17" s="70"/>
      <c r="P17" s="70"/>
      <c r="Q17" s="70"/>
      <c r="R17" s="70"/>
      <c r="S17" s="69"/>
      <c r="T17" s="69"/>
      <c r="U17" s="69"/>
      <c r="V17" s="69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19"/>
      <c r="AJ17" s="71"/>
      <c r="AK17" s="70"/>
      <c r="AL17" s="71"/>
      <c r="AM17" s="69"/>
      <c r="AN17" s="69"/>
      <c r="AO17" s="69"/>
      <c r="AP17" s="69"/>
      <c r="AQ17" s="69"/>
      <c r="AR17" s="98"/>
      <c r="AS17" s="54"/>
    </row>
    <row r="18" spans="1:45" ht="15">
      <c r="A18" s="10" t="s">
        <v>87</v>
      </c>
      <c r="B18" s="33"/>
      <c r="C18" s="35"/>
      <c r="D18" s="33"/>
      <c r="E18" s="33"/>
      <c r="F18" s="33"/>
      <c r="G18" s="33"/>
      <c r="H18" s="33"/>
      <c r="I18" s="10"/>
      <c r="J18" s="70"/>
      <c r="K18" s="70"/>
      <c r="L18" s="69"/>
      <c r="M18" s="69"/>
      <c r="N18" s="69"/>
      <c r="O18" s="70"/>
      <c r="P18" s="70"/>
      <c r="Q18" s="70"/>
      <c r="R18" s="70"/>
      <c r="S18" s="69"/>
      <c r="T18" s="69"/>
      <c r="U18" s="69"/>
      <c r="V18" s="69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19"/>
      <c r="AJ18" s="71"/>
      <c r="AK18" s="70"/>
      <c r="AL18" s="71"/>
      <c r="AM18" s="69"/>
      <c r="AN18" s="69"/>
      <c r="AO18" s="69"/>
      <c r="AP18" s="69"/>
      <c r="AQ18" s="69"/>
      <c r="AR18" s="98"/>
      <c r="AS18" s="54"/>
    </row>
    <row r="19" spans="1:45" ht="32.25" customHeight="1">
      <c r="A19" s="10" t="s">
        <v>20</v>
      </c>
      <c r="B19" s="33">
        <v>1155</v>
      </c>
      <c r="C19" s="35">
        <v>101.5</v>
      </c>
      <c r="D19" s="33">
        <v>27047</v>
      </c>
      <c r="E19" s="33">
        <f t="shared" si="2"/>
        <v>488082.58884000004</v>
      </c>
      <c r="F19" s="33">
        <f>L19*1.302-E19</f>
        <v>-488082.58884000004</v>
      </c>
      <c r="G19" s="33" t="e">
        <f>(E19-#REF!)*1.302</f>
        <v>#REF!</v>
      </c>
      <c r="H19" s="33" t="e">
        <f>G19</f>
        <v>#REF!</v>
      </c>
      <c r="I19" s="10"/>
      <c r="J19" s="70"/>
      <c r="K19" s="70"/>
      <c r="L19" s="69"/>
      <c r="M19" s="69"/>
      <c r="N19" s="69"/>
      <c r="O19" s="70"/>
      <c r="P19" s="70"/>
      <c r="Q19" s="70"/>
      <c r="R19" s="91"/>
      <c r="S19" s="69"/>
      <c r="T19" s="69"/>
      <c r="U19" s="69"/>
      <c r="V19" s="69"/>
      <c r="W19" s="22">
        <v>0</v>
      </c>
      <c r="X19" s="22">
        <v>0</v>
      </c>
      <c r="Y19" s="22">
        <v>0</v>
      </c>
      <c r="Z19" s="22">
        <v>0</v>
      </c>
      <c r="AA19" s="22">
        <v>28071.6</v>
      </c>
      <c r="AB19" s="22">
        <f t="shared" si="3"/>
        <v>28071.6</v>
      </c>
      <c r="AC19" s="22">
        <f t="shared" si="4"/>
        <v>0</v>
      </c>
      <c r="AD19" s="22">
        <v>27701</v>
      </c>
      <c r="AE19" s="22">
        <f t="shared" si="5"/>
        <v>370.59999999999854</v>
      </c>
      <c r="AF19" s="22">
        <f t="shared" si="6"/>
        <v>0</v>
      </c>
      <c r="AG19" s="22">
        <v>12153.9</v>
      </c>
      <c r="AH19" s="22">
        <f t="shared" si="10"/>
        <v>-12153.9</v>
      </c>
      <c r="AI19" s="20">
        <v>0</v>
      </c>
      <c r="AJ19" s="71">
        <v>1355</v>
      </c>
      <c r="AK19" s="70">
        <v>100</v>
      </c>
      <c r="AL19" s="67">
        <v>30956</v>
      </c>
      <c r="AM19" s="69">
        <f t="shared" si="8"/>
        <v>655354.61712</v>
      </c>
      <c r="AN19" s="69"/>
      <c r="AO19" s="69">
        <f t="shared" si="11"/>
        <v>655354.61712</v>
      </c>
      <c r="AP19" s="69">
        <f t="shared" si="9"/>
        <v>655354.61712</v>
      </c>
      <c r="AQ19" s="69">
        <f t="shared" si="12"/>
        <v>655354.61712</v>
      </c>
      <c r="AR19" s="86">
        <v>64825.4</v>
      </c>
      <c r="AS19" s="54">
        <f>34876.5+172.7+4993.9+15083.2</f>
        <v>55126.3</v>
      </c>
    </row>
    <row r="20" spans="1:45" ht="29.25" customHeight="1" hidden="1">
      <c r="A20" s="28" t="s">
        <v>2</v>
      </c>
      <c r="B20" s="29"/>
      <c r="C20" s="29"/>
      <c r="D20" s="29"/>
      <c r="E20" s="29"/>
      <c r="F20" s="29"/>
      <c r="G20" s="29"/>
      <c r="H20" s="29"/>
      <c r="I20" s="28"/>
      <c r="J20" s="70"/>
      <c r="K20" s="70"/>
      <c r="L20" s="69"/>
      <c r="M20" s="69"/>
      <c r="N20" s="69"/>
      <c r="O20" s="70"/>
      <c r="P20" s="70"/>
      <c r="Q20" s="70"/>
      <c r="R20" s="70"/>
      <c r="S20" s="69"/>
      <c r="T20" s="69"/>
      <c r="U20" s="69"/>
      <c r="V20" s="69"/>
      <c r="W20" s="29"/>
      <c r="X20" s="29"/>
      <c r="Y20" s="29"/>
      <c r="Z20" s="29"/>
      <c r="AA20" s="29"/>
      <c r="AB20" s="22">
        <f t="shared" si="3"/>
        <v>0</v>
      </c>
      <c r="AC20" s="22">
        <f t="shared" si="4"/>
        <v>0</v>
      </c>
      <c r="AD20" s="22"/>
      <c r="AE20" s="22">
        <f t="shared" si="5"/>
        <v>0</v>
      </c>
      <c r="AF20" s="22">
        <f t="shared" si="6"/>
        <v>0</v>
      </c>
      <c r="AG20" s="22"/>
      <c r="AH20" s="22">
        <f t="shared" si="10"/>
        <v>0</v>
      </c>
      <c r="AI20" s="20">
        <f t="shared" si="7"/>
        <v>0</v>
      </c>
      <c r="AJ20" s="69"/>
      <c r="AK20" s="69"/>
      <c r="AL20" s="69"/>
      <c r="AM20" s="69">
        <f t="shared" si="8"/>
        <v>0</v>
      </c>
      <c r="AN20" s="69"/>
      <c r="AO20" s="69">
        <f t="shared" si="11"/>
        <v>0</v>
      </c>
      <c r="AP20" s="69">
        <f t="shared" si="9"/>
        <v>0</v>
      </c>
      <c r="AQ20" s="69"/>
      <c r="AR20" s="87"/>
      <c r="AS20" s="94"/>
    </row>
    <row r="21" spans="1:45" ht="17.25" customHeight="1">
      <c r="A21" s="10" t="s">
        <v>3</v>
      </c>
      <c r="B21" s="43">
        <v>1219</v>
      </c>
      <c r="C21" s="33">
        <f>D21/D9*100</f>
        <v>90.96721127603095</v>
      </c>
      <c r="D21" s="33">
        <v>24331</v>
      </c>
      <c r="E21" s="33">
        <f t="shared" si="2"/>
        <v>463399.856136</v>
      </c>
      <c r="F21" s="33">
        <f aca="true" t="shared" si="13" ref="F21:F27">L21*1.302-E21</f>
        <v>-463399.856136</v>
      </c>
      <c r="G21" s="33" t="e">
        <f>(E21-#REF!)*1.302</f>
        <v>#REF!</v>
      </c>
      <c r="H21" s="33" t="e">
        <f>G21</f>
        <v>#REF!</v>
      </c>
      <c r="I21" s="11"/>
      <c r="J21" s="70"/>
      <c r="K21" s="70"/>
      <c r="L21" s="69"/>
      <c r="M21" s="69"/>
      <c r="N21" s="69"/>
      <c r="O21" s="70"/>
      <c r="P21" s="70"/>
      <c r="Q21" s="70"/>
      <c r="R21" s="91"/>
      <c r="S21" s="69"/>
      <c r="T21" s="69"/>
      <c r="U21" s="69"/>
      <c r="V21" s="69"/>
      <c r="W21" s="22">
        <v>0</v>
      </c>
      <c r="X21" s="22">
        <v>0</v>
      </c>
      <c r="Y21" s="22">
        <v>0</v>
      </c>
      <c r="Z21" s="22">
        <v>0</v>
      </c>
      <c r="AA21" s="22">
        <v>29549</v>
      </c>
      <c r="AB21" s="22">
        <f t="shared" si="3"/>
        <v>29549</v>
      </c>
      <c r="AC21" s="22">
        <f t="shared" si="4"/>
        <v>0</v>
      </c>
      <c r="AD21" s="22">
        <v>27357</v>
      </c>
      <c r="AE21" s="22">
        <f t="shared" si="5"/>
        <v>2192</v>
      </c>
      <c r="AF21" s="22">
        <f t="shared" si="6"/>
        <v>0</v>
      </c>
      <c r="AG21" s="22">
        <v>48735.9</v>
      </c>
      <c r="AH21" s="22">
        <f t="shared" si="10"/>
        <v>-48735.9</v>
      </c>
      <c r="AI21" s="20">
        <v>0</v>
      </c>
      <c r="AJ21" s="79">
        <v>1165</v>
      </c>
      <c r="AK21" s="69">
        <f>AL21/AL9*100</f>
        <v>100</v>
      </c>
      <c r="AL21" s="67">
        <v>30956</v>
      </c>
      <c r="AM21" s="69">
        <f t="shared" si="8"/>
        <v>563459.87376</v>
      </c>
      <c r="AN21" s="69"/>
      <c r="AO21" s="69">
        <f t="shared" si="11"/>
        <v>563459.87376</v>
      </c>
      <c r="AP21" s="69">
        <f t="shared" si="9"/>
        <v>563459.87376</v>
      </c>
      <c r="AQ21" s="69">
        <f t="shared" si="12"/>
        <v>563459.87376</v>
      </c>
      <c r="AR21" s="86">
        <v>27858.1</v>
      </c>
      <c r="AS21" s="54">
        <f>415.5+5977.5+30877</f>
        <v>37270</v>
      </c>
    </row>
    <row r="22" spans="1:45" ht="27.75" customHeight="1">
      <c r="A22" s="8" t="s">
        <v>15</v>
      </c>
      <c r="B22" s="32">
        <f>B23+B24+B25</f>
        <v>3754</v>
      </c>
      <c r="C22" s="32" t="s">
        <v>34</v>
      </c>
      <c r="D22" s="32" t="s">
        <v>34</v>
      </c>
      <c r="E22" s="32">
        <f>E23+E24+E25</f>
        <v>1192800.8933568</v>
      </c>
      <c r="F22" s="34">
        <f t="shared" si="13"/>
        <v>-1192800.8933568</v>
      </c>
      <c r="G22" s="34" t="e">
        <f>(E22-#REF!)*1.302</f>
        <v>#REF!</v>
      </c>
      <c r="H22" s="34" t="e">
        <f>H23+H24+H25</f>
        <v>#REF!</v>
      </c>
      <c r="I22" s="8"/>
      <c r="J22" s="92"/>
      <c r="K22" s="92"/>
      <c r="L22" s="68"/>
      <c r="M22" s="68"/>
      <c r="N22" s="68"/>
      <c r="O22" s="68"/>
      <c r="P22" s="92"/>
      <c r="Q22" s="92"/>
      <c r="R22" s="92"/>
      <c r="S22" s="68"/>
      <c r="T22" s="68"/>
      <c r="U22" s="68"/>
      <c r="V22" s="68"/>
      <c r="W22" s="19">
        <f aca="true" t="shared" si="14" ref="W22:AC22">SUM(W23:W25)</f>
        <v>0</v>
      </c>
      <c r="X22" s="19">
        <f t="shared" si="14"/>
        <v>0</v>
      </c>
      <c r="Y22" s="19">
        <f t="shared" si="14"/>
        <v>0</v>
      </c>
      <c r="Z22" s="19">
        <f t="shared" si="14"/>
        <v>0</v>
      </c>
      <c r="AA22" s="19" t="s">
        <v>34</v>
      </c>
      <c r="AB22" s="19">
        <f t="shared" si="14"/>
        <v>77152.5</v>
      </c>
      <c r="AC22" s="19">
        <f t="shared" si="14"/>
        <v>0</v>
      </c>
      <c r="AD22" s="19"/>
      <c r="AE22" s="22" t="s">
        <v>34</v>
      </c>
      <c r="AF22" s="25">
        <f>SUM(AF23:AF25)</f>
        <v>0</v>
      </c>
      <c r="AG22" s="25">
        <f>SUM(AG23:AG25)</f>
        <v>0</v>
      </c>
      <c r="AH22" s="25">
        <f>SUM(AH23:AH25)</f>
        <v>0</v>
      </c>
      <c r="AI22" s="19">
        <f t="shared" si="7"/>
        <v>0</v>
      </c>
      <c r="AJ22" s="68">
        <f>AJ23+AJ24+AJ25</f>
        <v>3023</v>
      </c>
      <c r="AK22" s="68" t="s">
        <v>34</v>
      </c>
      <c r="AL22" s="68" t="s">
        <v>34</v>
      </c>
      <c r="AM22" s="68">
        <f aca="true" t="shared" si="15" ref="AM22:AR22">AM23+AM24+AM25</f>
        <v>1781307.051552</v>
      </c>
      <c r="AN22" s="68">
        <f t="shared" si="15"/>
        <v>0</v>
      </c>
      <c r="AO22" s="68">
        <f t="shared" si="15"/>
        <v>1781307.051552</v>
      </c>
      <c r="AP22" s="76">
        <f t="shared" si="15"/>
        <v>1781307.051552</v>
      </c>
      <c r="AQ22" s="76">
        <f t="shared" si="15"/>
        <v>1781307.051552</v>
      </c>
      <c r="AR22" s="76">
        <f t="shared" si="15"/>
        <v>658877.4</v>
      </c>
      <c r="AS22" s="94"/>
    </row>
    <row r="23" spans="1:45" ht="42" customHeight="1">
      <c r="A23" s="10" t="s">
        <v>93</v>
      </c>
      <c r="B23" s="33">
        <v>650</v>
      </c>
      <c r="C23" s="33">
        <f>D23/D9*100</f>
        <v>139.15878416270985</v>
      </c>
      <c r="D23" s="33">
        <v>37220.8</v>
      </c>
      <c r="E23" s="33">
        <f>D23*B23*12*1.302/1000</f>
        <v>377999.5564800001</v>
      </c>
      <c r="F23" s="33">
        <f t="shared" si="13"/>
        <v>-377999.5564800001</v>
      </c>
      <c r="G23" s="33" t="e">
        <f>(E23-#REF!)*1.302</f>
        <v>#REF!</v>
      </c>
      <c r="H23" s="33" t="e">
        <f>G23</f>
        <v>#REF!</v>
      </c>
      <c r="I23" s="9"/>
      <c r="J23" s="70"/>
      <c r="K23" s="70"/>
      <c r="L23" s="70"/>
      <c r="M23" s="70"/>
      <c r="N23" s="69"/>
      <c r="O23" s="69"/>
      <c r="P23" s="70"/>
      <c r="Q23" s="70"/>
      <c r="R23" s="91"/>
      <c r="S23" s="69"/>
      <c r="T23" s="69"/>
      <c r="U23" s="69"/>
      <c r="V23" s="69"/>
      <c r="W23" s="22">
        <v>0</v>
      </c>
      <c r="X23" s="22">
        <v>0</v>
      </c>
      <c r="Y23" s="22">
        <v>0</v>
      </c>
      <c r="Z23" s="22">
        <v>0</v>
      </c>
      <c r="AA23" s="22">
        <v>40629.9</v>
      </c>
      <c r="AB23" s="22">
        <f>AA23-R23</f>
        <v>40629.9</v>
      </c>
      <c r="AC23" s="22">
        <f>AB23*J23*12*1.302/1000</f>
        <v>0</v>
      </c>
      <c r="AD23" s="22">
        <v>40629.9</v>
      </c>
      <c r="AE23" s="22">
        <f>AA23-AD23</f>
        <v>0</v>
      </c>
      <c r="AF23" s="22">
        <f>AE23*J23*12*1.302/1000</f>
        <v>0</v>
      </c>
      <c r="AG23" s="22"/>
      <c r="AH23" s="22">
        <f t="shared" si="10"/>
        <v>0</v>
      </c>
      <c r="AI23" s="19">
        <f t="shared" si="7"/>
        <v>0</v>
      </c>
      <c r="AJ23" s="69">
        <f>8+592+19+41</f>
        <v>660</v>
      </c>
      <c r="AK23" s="69">
        <f>AL23/AL9*100</f>
        <v>200</v>
      </c>
      <c r="AL23" s="72">
        <v>61912</v>
      </c>
      <c r="AM23" s="69">
        <f>AL23*AJ23*12*1.302/1000</f>
        <v>638426.6380800001</v>
      </c>
      <c r="AN23" s="69"/>
      <c r="AO23" s="69">
        <f t="shared" si="11"/>
        <v>638426.6380800001</v>
      </c>
      <c r="AP23" s="69">
        <f>(AM23-T23)</f>
        <v>638426.6380800001</v>
      </c>
      <c r="AQ23" s="69">
        <f t="shared" si="12"/>
        <v>638426.6380800001</v>
      </c>
      <c r="AR23" s="86">
        <v>213057.5</v>
      </c>
      <c r="AS23" s="54">
        <f>2120.9+522.7+196750.8+8776.1</f>
        <v>208170.5</v>
      </c>
    </row>
    <row r="24" spans="1:45" ht="17.25" customHeight="1">
      <c r="A24" s="10" t="s">
        <v>5</v>
      </c>
      <c r="B24" s="33">
        <v>1925</v>
      </c>
      <c r="C24" s="33">
        <f>D24/D9*100</f>
        <v>65.9584252439526</v>
      </c>
      <c r="D24" s="33">
        <v>17641.9</v>
      </c>
      <c r="E24" s="33">
        <f>D24*B24*12*1.302/1000</f>
        <v>530601.31278</v>
      </c>
      <c r="F24" s="33">
        <f t="shared" si="13"/>
        <v>-530601.31278</v>
      </c>
      <c r="G24" s="33" t="e">
        <f>(E24-#REF!)*1.302</f>
        <v>#REF!</v>
      </c>
      <c r="H24" s="33" t="e">
        <f>G24-11800</f>
        <v>#REF!</v>
      </c>
      <c r="I24" s="10"/>
      <c r="J24" s="70"/>
      <c r="K24" s="70"/>
      <c r="L24" s="70"/>
      <c r="M24" s="70"/>
      <c r="N24" s="69"/>
      <c r="O24" s="70"/>
      <c r="P24" s="70"/>
      <c r="Q24" s="70"/>
      <c r="R24" s="91"/>
      <c r="S24" s="69"/>
      <c r="T24" s="69"/>
      <c r="U24" s="69"/>
      <c r="V24" s="69"/>
      <c r="W24" s="22">
        <v>0</v>
      </c>
      <c r="X24" s="22">
        <v>0</v>
      </c>
      <c r="Y24" s="22">
        <v>0</v>
      </c>
      <c r="Z24" s="22">
        <v>0</v>
      </c>
      <c r="AA24" s="22">
        <v>18734.1</v>
      </c>
      <c r="AB24" s="22">
        <f>AA24-R24</f>
        <v>18734.1</v>
      </c>
      <c r="AC24" s="22">
        <f>AB24*J24*12*1.302/1000</f>
        <v>0</v>
      </c>
      <c r="AD24" s="22">
        <v>18734.1</v>
      </c>
      <c r="AE24" s="22">
        <f>AA24-AD24</f>
        <v>0</v>
      </c>
      <c r="AF24" s="22">
        <f>AE24*J24*12*1.302/1000</f>
        <v>0</v>
      </c>
      <c r="AG24" s="22"/>
      <c r="AH24" s="22">
        <f t="shared" si="10"/>
        <v>0</v>
      </c>
      <c r="AI24" s="19">
        <f t="shared" si="7"/>
        <v>0</v>
      </c>
      <c r="AJ24" s="69">
        <f>68+14+1475+386</f>
        <v>1943</v>
      </c>
      <c r="AK24" s="69">
        <v>100</v>
      </c>
      <c r="AL24" s="67">
        <v>30956</v>
      </c>
      <c r="AM24" s="69">
        <f>AL24*AJ24*12*1.302/1000</f>
        <v>939744.664992</v>
      </c>
      <c r="AN24" s="69"/>
      <c r="AO24" s="69">
        <f t="shared" si="11"/>
        <v>939744.664992</v>
      </c>
      <c r="AP24" s="69">
        <f>(AM24-T24)</f>
        <v>939744.664992</v>
      </c>
      <c r="AQ24" s="69">
        <f>AP24</f>
        <v>939744.664992</v>
      </c>
      <c r="AR24" s="86">
        <v>358834.9</v>
      </c>
      <c r="AS24" s="54">
        <f>5629.4+134.9+197199.5+41841.5</f>
        <v>244805.3</v>
      </c>
    </row>
    <row r="25" spans="1:45" ht="46.5" customHeight="1">
      <c r="A25" s="10" t="s">
        <v>6</v>
      </c>
      <c r="B25" s="33">
        <v>1179</v>
      </c>
      <c r="C25" s="33">
        <f>D25/D9*100</f>
        <v>57.68235689983923</v>
      </c>
      <c r="D25" s="33">
        <v>15428.3</v>
      </c>
      <c r="E25" s="33">
        <f>D25*B25*12*1.302/1000</f>
        <v>284200.02409679996</v>
      </c>
      <c r="F25" s="33">
        <f t="shared" si="13"/>
        <v>-284200.02409679996</v>
      </c>
      <c r="G25" s="33" t="e">
        <f>(E25-#REF!)*1.302</f>
        <v>#REF!</v>
      </c>
      <c r="H25" s="33" t="e">
        <f>G25</f>
        <v>#REF!</v>
      </c>
      <c r="I25" s="11"/>
      <c r="J25" s="70"/>
      <c r="K25" s="70"/>
      <c r="L25" s="70"/>
      <c r="M25" s="70"/>
      <c r="N25" s="69"/>
      <c r="O25" s="70"/>
      <c r="P25" s="70"/>
      <c r="Q25" s="70"/>
      <c r="R25" s="91"/>
      <c r="S25" s="69"/>
      <c r="T25" s="69"/>
      <c r="U25" s="69"/>
      <c r="V25" s="69"/>
      <c r="W25" s="22">
        <v>0</v>
      </c>
      <c r="X25" s="22">
        <v>0</v>
      </c>
      <c r="Y25" s="22">
        <v>0</v>
      </c>
      <c r="Z25" s="22">
        <v>0</v>
      </c>
      <c r="AA25" s="22">
        <v>17788.5</v>
      </c>
      <c r="AB25" s="22">
        <f>AA25-R25</f>
        <v>17788.5</v>
      </c>
      <c r="AC25" s="22">
        <f>AB25*J25*12*1.302/1000</f>
        <v>0</v>
      </c>
      <c r="AD25" s="22">
        <v>17788.5</v>
      </c>
      <c r="AE25" s="22">
        <f>AA25-AD25</f>
        <v>0</v>
      </c>
      <c r="AF25" s="22">
        <f>AE25*J25*12*1.302/1000</f>
        <v>0</v>
      </c>
      <c r="AG25" s="22"/>
      <c r="AH25" s="22">
        <f t="shared" si="10"/>
        <v>0</v>
      </c>
      <c r="AI25" s="19">
        <f t="shared" si="7"/>
        <v>0</v>
      </c>
      <c r="AJ25" s="69">
        <v>420</v>
      </c>
      <c r="AK25" s="69">
        <v>100</v>
      </c>
      <c r="AL25" s="67">
        <v>30956</v>
      </c>
      <c r="AM25" s="69">
        <f>AL25*AJ25*12*1.302/1000</f>
        <v>203135.74848</v>
      </c>
      <c r="AN25" s="69"/>
      <c r="AO25" s="69">
        <f t="shared" si="11"/>
        <v>203135.74848</v>
      </c>
      <c r="AP25" s="69">
        <f>(AM25-T25)</f>
        <v>203135.74848</v>
      </c>
      <c r="AQ25" s="69">
        <f t="shared" si="12"/>
        <v>203135.74848</v>
      </c>
      <c r="AR25" s="86">
        <v>86985</v>
      </c>
      <c r="AS25" s="54">
        <v>91999</v>
      </c>
    </row>
    <row r="26" spans="1:45" ht="16.5" customHeight="1">
      <c r="A26" s="8" t="s">
        <v>7</v>
      </c>
      <c r="B26" s="34">
        <f>B27</f>
        <v>4725.6</v>
      </c>
      <c r="C26" s="34">
        <f>C27</f>
        <v>62.92743111376977</v>
      </c>
      <c r="D26" s="34">
        <f>D27</f>
        <v>16831.2</v>
      </c>
      <c r="E26" s="34">
        <f>E27</f>
        <v>1242694.19248128</v>
      </c>
      <c r="F26" s="34">
        <f t="shared" si="13"/>
        <v>-1242694.19248128</v>
      </c>
      <c r="G26" s="34" t="e">
        <f>(E26-#REF!)*1.302</f>
        <v>#REF!</v>
      </c>
      <c r="H26" s="34" t="e">
        <f>G26</f>
        <v>#REF!</v>
      </c>
      <c r="I26" s="8"/>
      <c r="J26" s="93"/>
      <c r="K26" s="93"/>
      <c r="L26" s="60"/>
      <c r="M26" s="60"/>
      <c r="N26" s="60"/>
      <c r="O26" s="60"/>
      <c r="P26" s="93"/>
      <c r="Q26" s="93"/>
      <c r="R26" s="93"/>
      <c r="S26" s="60"/>
      <c r="T26" s="60"/>
      <c r="U26" s="60"/>
      <c r="V26" s="60"/>
      <c r="W26" s="25">
        <f aca="true" t="shared" si="16" ref="W26:AR26">W27</f>
        <v>0</v>
      </c>
      <c r="X26" s="25">
        <f t="shared" si="16"/>
        <v>0</v>
      </c>
      <c r="Y26" s="25">
        <f t="shared" si="16"/>
        <v>0</v>
      </c>
      <c r="Z26" s="25">
        <f t="shared" si="16"/>
        <v>0</v>
      </c>
      <c r="AA26" s="25">
        <f t="shared" si="16"/>
        <v>26594.1</v>
      </c>
      <c r="AB26" s="25">
        <f t="shared" si="16"/>
        <v>26594.1</v>
      </c>
      <c r="AC26" s="25">
        <f t="shared" si="16"/>
        <v>0</v>
      </c>
      <c r="AD26" s="25">
        <f t="shared" si="16"/>
        <v>18373</v>
      </c>
      <c r="AE26" s="25">
        <f t="shared" si="16"/>
        <v>8221.099999999999</v>
      </c>
      <c r="AF26" s="25">
        <f t="shared" si="16"/>
        <v>0</v>
      </c>
      <c r="AG26" s="25">
        <f t="shared" si="16"/>
        <v>123585.1</v>
      </c>
      <c r="AH26" s="25">
        <f t="shared" si="16"/>
        <v>-123585.1</v>
      </c>
      <c r="AI26" s="19">
        <f>AI27</f>
        <v>-137500.5</v>
      </c>
      <c r="AJ26" s="60">
        <f t="shared" si="16"/>
        <v>4213</v>
      </c>
      <c r="AK26" s="60">
        <f t="shared" si="16"/>
        <v>100</v>
      </c>
      <c r="AL26" s="60">
        <f t="shared" si="16"/>
        <v>30956</v>
      </c>
      <c r="AM26" s="60">
        <f t="shared" si="16"/>
        <v>2037645.019872</v>
      </c>
      <c r="AN26" s="60">
        <f t="shared" si="16"/>
        <v>0</v>
      </c>
      <c r="AO26" s="60">
        <f t="shared" si="16"/>
        <v>1900144.519872</v>
      </c>
      <c r="AP26" s="60">
        <f t="shared" si="16"/>
        <v>2037645.019872</v>
      </c>
      <c r="AQ26" s="60">
        <f t="shared" si="16"/>
        <v>2037645.019872</v>
      </c>
      <c r="AR26" s="60">
        <f t="shared" si="16"/>
        <v>290866.2</v>
      </c>
      <c r="AS26" s="94"/>
    </row>
    <row r="27" spans="1:45" ht="18.75" customHeight="1">
      <c r="A27" s="10" t="s">
        <v>89</v>
      </c>
      <c r="B27" s="33">
        <v>4725.6</v>
      </c>
      <c r="C27" s="33">
        <f>D27/D9*100</f>
        <v>62.92743111376977</v>
      </c>
      <c r="D27" s="33">
        <v>16831.2</v>
      </c>
      <c r="E27" s="33">
        <f>B27*D27*12*1.302/1000</f>
        <v>1242694.19248128</v>
      </c>
      <c r="F27" s="33">
        <f t="shared" si="13"/>
        <v>-1242694.19248128</v>
      </c>
      <c r="G27" s="33" t="e">
        <f>(E27-#REF!)*1.302</f>
        <v>#REF!</v>
      </c>
      <c r="H27" s="33" t="e">
        <f>G27</f>
        <v>#REF!</v>
      </c>
      <c r="I27" s="12"/>
      <c r="J27" s="70"/>
      <c r="K27" s="70"/>
      <c r="L27" s="69"/>
      <c r="M27" s="70"/>
      <c r="N27" s="69"/>
      <c r="O27" s="69"/>
      <c r="P27" s="70"/>
      <c r="Q27" s="70"/>
      <c r="R27" s="91"/>
      <c r="S27" s="69"/>
      <c r="T27" s="69"/>
      <c r="U27" s="69"/>
      <c r="V27" s="69"/>
      <c r="W27" s="22">
        <v>0</v>
      </c>
      <c r="X27" s="22">
        <v>0</v>
      </c>
      <c r="Y27" s="22">
        <v>0</v>
      </c>
      <c r="Z27" s="22">
        <v>0</v>
      </c>
      <c r="AA27" s="22">
        <v>26594.1</v>
      </c>
      <c r="AB27" s="22">
        <f>AA27-R27</f>
        <v>26594.1</v>
      </c>
      <c r="AC27" s="22">
        <f>AB27*J27*12*1.302/1000</f>
        <v>0</v>
      </c>
      <c r="AD27" s="22">
        <v>18373</v>
      </c>
      <c r="AE27" s="22">
        <f>AA27-AD27</f>
        <v>8221.099999999999</v>
      </c>
      <c r="AF27" s="22">
        <f>AE27*J27*12*1.302/1000</f>
        <v>0</v>
      </c>
      <c r="AG27" s="22">
        <v>123585.1</v>
      </c>
      <c r="AH27" s="22">
        <f t="shared" si="10"/>
        <v>-123585.1</v>
      </c>
      <c r="AI27" s="17">
        <f>AH27-13915.4</f>
        <v>-137500.5</v>
      </c>
      <c r="AJ27" s="80">
        <v>4213</v>
      </c>
      <c r="AK27" s="69">
        <f>AL27/AL9*100</f>
        <v>100</v>
      </c>
      <c r="AL27" s="67">
        <v>30956</v>
      </c>
      <c r="AM27" s="69">
        <f>AJ27*AL27*12*1.302/1000</f>
        <v>2037645.019872</v>
      </c>
      <c r="AN27" s="69"/>
      <c r="AO27" s="69">
        <f t="shared" si="11"/>
        <v>1900144.519872</v>
      </c>
      <c r="AP27" s="69">
        <f>(AM27-T27)</f>
        <v>2037645.019872</v>
      </c>
      <c r="AQ27" s="69">
        <f>AP27</f>
        <v>2037645.019872</v>
      </c>
      <c r="AR27" s="86">
        <v>290866.2</v>
      </c>
      <c r="AS27" s="94">
        <f>236863.78+4271</f>
        <v>241134.78</v>
      </c>
    </row>
    <row r="28" spans="1:45" ht="18.75" customHeight="1">
      <c r="A28" s="10" t="s">
        <v>86</v>
      </c>
      <c r="B28" s="33"/>
      <c r="C28" s="33"/>
      <c r="D28" s="33"/>
      <c r="E28" s="33"/>
      <c r="F28" s="33"/>
      <c r="G28" s="33"/>
      <c r="H28" s="33"/>
      <c r="I28" s="12"/>
      <c r="J28" s="70"/>
      <c r="K28" s="70"/>
      <c r="L28" s="69"/>
      <c r="M28" s="70"/>
      <c r="N28" s="69"/>
      <c r="O28" s="69"/>
      <c r="P28" s="70"/>
      <c r="Q28" s="70"/>
      <c r="R28" s="91"/>
      <c r="S28" s="69"/>
      <c r="T28" s="69"/>
      <c r="U28" s="69"/>
      <c r="V28" s="69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17"/>
      <c r="AJ28" s="80"/>
      <c r="AK28" s="69"/>
      <c r="AL28" s="67"/>
      <c r="AM28" s="69"/>
      <c r="AN28" s="69"/>
      <c r="AO28" s="69"/>
      <c r="AP28" s="69"/>
      <c r="AQ28" s="69"/>
      <c r="AR28" s="98"/>
      <c r="AS28" s="94"/>
    </row>
    <row r="29" spans="1:45" ht="18.75" customHeight="1">
      <c r="A29" s="10" t="s">
        <v>87</v>
      </c>
      <c r="B29" s="33"/>
      <c r="C29" s="33"/>
      <c r="D29" s="33"/>
      <c r="E29" s="33"/>
      <c r="F29" s="33"/>
      <c r="G29" s="33"/>
      <c r="H29" s="33"/>
      <c r="I29" s="12"/>
      <c r="J29" s="70"/>
      <c r="K29" s="70"/>
      <c r="L29" s="69"/>
      <c r="M29" s="70"/>
      <c r="N29" s="69"/>
      <c r="O29" s="69"/>
      <c r="P29" s="70"/>
      <c r="Q29" s="70"/>
      <c r="R29" s="91"/>
      <c r="S29" s="69"/>
      <c r="T29" s="69"/>
      <c r="U29" s="69"/>
      <c r="V29" s="69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17"/>
      <c r="AJ29" s="80"/>
      <c r="AK29" s="69"/>
      <c r="AL29" s="67"/>
      <c r="AM29" s="69"/>
      <c r="AN29" s="69"/>
      <c r="AO29" s="69"/>
      <c r="AP29" s="69"/>
      <c r="AQ29" s="69"/>
      <c r="AR29" s="98"/>
      <c r="AS29" s="94"/>
    </row>
    <row r="30" spans="1:45" ht="18" customHeight="1">
      <c r="A30" s="8" t="s">
        <v>8</v>
      </c>
      <c r="B30" s="34">
        <f>B31</f>
        <v>1809</v>
      </c>
      <c r="C30" s="34">
        <f>C31</f>
        <v>60.455378173253074</v>
      </c>
      <c r="D30" s="34">
        <f>D31</f>
        <v>16170</v>
      </c>
      <c r="E30" s="34">
        <f>E31</f>
        <v>457025.90472000005</v>
      </c>
      <c r="F30" s="34">
        <f>L30*1.302-E30</f>
        <v>-457025.90472000005</v>
      </c>
      <c r="G30" s="34" t="e">
        <f>(E30-#REF!)*1.302</f>
        <v>#REF!</v>
      </c>
      <c r="H30" s="34" t="e">
        <f>H31</f>
        <v>#REF!</v>
      </c>
      <c r="I30" s="8"/>
      <c r="J30" s="93"/>
      <c r="K30" s="93"/>
      <c r="L30" s="60"/>
      <c r="M30" s="60"/>
      <c r="N30" s="60"/>
      <c r="O30" s="99"/>
      <c r="P30" s="100"/>
      <c r="Q30" s="100"/>
      <c r="R30" s="93"/>
      <c r="S30" s="60"/>
      <c r="T30" s="60"/>
      <c r="U30" s="60"/>
      <c r="V30" s="60"/>
      <c r="W30" s="25">
        <f aca="true" t="shared" si="17" ref="W30:AC30">W31</f>
        <v>0</v>
      </c>
      <c r="X30" s="25">
        <f t="shared" si="17"/>
        <v>0</v>
      </c>
      <c r="Y30" s="25">
        <f t="shared" si="17"/>
        <v>0</v>
      </c>
      <c r="Z30" s="25">
        <f t="shared" si="17"/>
        <v>0</v>
      </c>
      <c r="AA30" s="25">
        <f t="shared" si="17"/>
        <v>23639.2</v>
      </c>
      <c r="AB30" s="25">
        <f t="shared" si="17"/>
        <v>23639.2</v>
      </c>
      <c r="AC30" s="25">
        <f t="shared" si="17"/>
        <v>0</v>
      </c>
      <c r="AD30" s="25">
        <f>AD31</f>
        <v>18999</v>
      </c>
      <c r="AE30" s="25">
        <f>AE31</f>
        <v>4640.200000000001</v>
      </c>
      <c r="AF30" s="25">
        <f>AF31</f>
        <v>0</v>
      </c>
      <c r="AG30" s="25">
        <f>AG31</f>
        <v>0</v>
      </c>
      <c r="AH30" s="25">
        <f>AH31</f>
        <v>0</v>
      </c>
      <c r="AI30" s="19">
        <f t="shared" si="7"/>
        <v>0</v>
      </c>
      <c r="AJ30" s="60">
        <f aca="true" t="shared" si="18" ref="AJ30:AR30">AJ31</f>
        <v>1636</v>
      </c>
      <c r="AK30" s="60">
        <f t="shared" si="18"/>
        <v>100</v>
      </c>
      <c r="AL30" s="60">
        <f t="shared" si="18"/>
        <v>30956</v>
      </c>
      <c r="AM30" s="60">
        <f t="shared" si="18"/>
        <v>791262.1059840001</v>
      </c>
      <c r="AN30" s="60">
        <f t="shared" si="18"/>
        <v>0</v>
      </c>
      <c r="AO30" s="60">
        <f t="shared" si="18"/>
        <v>791262.1059840001</v>
      </c>
      <c r="AP30" s="60">
        <f t="shared" si="18"/>
        <v>791262.1059840001</v>
      </c>
      <c r="AQ30" s="60">
        <f t="shared" si="18"/>
        <v>791262.1059840001</v>
      </c>
      <c r="AR30" s="88">
        <f t="shared" si="18"/>
        <v>182018.2</v>
      </c>
      <c r="AS30" s="94"/>
    </row>
    <row r="31" spans="1:45" ht="20.25" customHeight="1">
      <c r="A31" s="10" t="s">
        <v>8</v>
      </c>
      <c r="B31" s="33">
        <v>1809</v>
      </c>
      <c r="C31" s="33">
        <f>D31/D9*100</f>
        <v>60.455378173253074</v>
      </c>
      <c r="D31" s="33">
        <v>16170</v>
      </c>
      <c r="E31" s="33">
        <f>B31*D31*12*1.302/1000</f>
        <v>457025.90472000005</v>
      </c>
      <c r="F31" s="33">
        <f>L31*1.302-E31</f>
        <v>-457025.90472000005</v>
      </c>
      <c r="G31" s="33" t="e">
        <f>(E31-#REF!)*1.302</f>
        <v>#REF!</v>
      </c>
      <c r="H31" s="33" t="e">
        <f>G31-5000</f>
        <v>#REF!</v>
      </c>
      <c r="I31" s="9"/>
      <c r="J31" s="70"/>
      <c r="K31" s="70"/>
      <c r="L31" s="69"/>
      <c r="M31" s="69"/>
      <c r="N31" s="69"/>
      <c r="O31" s="69"/>
      <c r="P31" s="101"/>
      <c r="Q31" s="70"/>
      <c r="R31" s="91"/>
      <c r="S31" s="69"/>
      <c r="T31" s="69"/>
      <c r="U31" s="69"/>
      <c r="V31" s="69"/>
      <c r="W31" s="22">
        <v>0</v>
      </c>
      <c r="X31" s="22">
        <v>0</v>
      </c>
      <c r="Y31" s="22">
        <v>0</v>
      </c>
      <c r="Z31" s="22">
        <v>0</v>
      </c>
      <c r="AA31" s="22">
        <v>23639.2</v>
      </c>
      <c r="AB31" s="22">
        <f>AA31-R31</f>
        <v>23639.2</v>
      </c>
      <c r="AC31" s="22">
        <f>AB31*J31*12*1.302/1000</f>
        <v>0</v>
      </c>
      <c r="AD31" s="22">
        <v>18999</v>
      </c>
      <c r="AE31" s="22">
        <f>AA31-AD31</f>
        <v>4640.200000000001</v>
      </c>
      <c r="AF31" s="22">
        <f>AE31*J31*12*1.302/1000</f>
        <v>0</v>
      </c>
      <c r="AG31" s="22"/>
      <c r="AH31" s="22">
        <f t="shared" si="10"/>
        <v>0</v>
      </c>
      <c r="AI31" s="17">
        <f t="shared" si="7"/>
        <v>0</v>
      </c>
      <c r="AJ31" s="69">
        <v>1636</v>
      </c>
      <c r="AK31" s="69">
        <v>100</v>
      </c>
      <c r="AL31" s="67">
        <v>30956</v>
      </c>
      <c r="AM31" s="69">
        <f>AJ31*AL31*12*1.302/1000</f>
        <v>791262.1059840001</v>
      </c>
      <c r="AN31" s="69"/>
      <c r="AO31" s="69">
        <f t="shared" si="11"/>
        <v>791262.1059840001</v>
      </c>
      <c r="AP31" s="69">
        <f>(AM31-T31)</f>
        <v>791262.1059840001</v>
      </c>
      <c r="AQ31" s="69">
        <f>AP31</f>
        <v>791262.1059840001</v>
      </c>
      <c r="AR31" s="86">
        <v>182018.2</v>
      </c>
      <c r="AS31" s="54">
        <f>1202.3+168899.7</f>
        <v>170102</v>
      </c>
    </row>
    <row r="32" spans="1:45" ht="21.75" customHeight="1">
      <c r="A32" s="8" t="s">
        <v>10</v>
      </c>
      <c r="B32" s="34">
        <f>SUM(B11+B22+B26+B30)</f>
        <v>30218.6</v>
      </c>
      <c r="C32" s="34" t="s">
        <v>34</v>
      </c>
      <c r="D32" s="34" t="s">
        <v>34</v>
      </c>
      <c r="E32" s="34">
        <f>SUM(E11+E22+E26+E30)</f>
        <v>11601831.26215008</v>
      </c>
      <c r="F32" s="34">
        <f>SUM(F11+F22+F26+F30)</f>
        <v>-11601831.26215008</v>
      </c>
      <c r="G32" s="34" t="e">
        <f>SUM(G11+G22+G26+G30)</f>
        <v>#REF!</v>
      </c>
      <c r="H32" s="34" t="e">
        <f>SUM(H11+H22+H26+H30)</f>
        <v>#REF!</v>
      </c>
      <c r="I32" s="8"/>
      <c r="J32" s="93"/>
      <c r="K32" s="93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25">
        <f aca="true" t="shared" si="19" ref="W32:AP32">SUM(W11+W22+W26+W30)</f>
        <v>0</v>
      </c>
      <c r="X32" s="25">
        <f t="shared" si="19"/>
        <v>0</v>
      </c>
      <c r="Y32" s="25">
        <f t="shared" si="19"/>
        <v>0</v>
      </c>
      <c r="Z32" s="25">
        <f t="shared" si="19"/>
        <v>0</v>
      </c>
      <c r="AA32" s="25" t="s">
        <v>34</v>
      </c>
      <c r="AB32" s="25">
        <f t="shared" si="19"/>
        <v>266318</v>
      </c>
      <c r="AC32" s="25">
        <f t="shared" si="19"/>
        <v>0</v>
      </c>
      <c r="AD32" s="25"/>
      <c r="AE32" s="25"/>
      <c r="AF32" s="25">
        <f>SUM(AF11+AF22+AF26+AF30)</f>
        <v>0</v>
      </c>
      <c r="AG32" s="25">
        <f>SUM(AG11+AG22+AG26+AG30)</f>
        <v>202509.40000000002</v>
      </c>
      <c r="AH32" s="25">
        <f>SUM(AH11+AH22+AH26+AH30)</f>
        <v>-202509.40000000002</v>
      </c>
      <c r="AI32" s="25">
        <f>SUM(AI11+AI22+AI26+AI30)</f>
        <v>-155535</v>
      </c>
      <c r="AJ32" s="60">
        <f t="shared" si="19"/>
        <v>30522</v>
      </c>
      <c r="AK32" s="60" t="s">
        <v>34</v>
      </c>
      <c r="AL32" s="60" t="s">
        <v>34</v>
      </c>
      <c r="AM32" s="60">
        <f t="shared" si="19"/>
        <v>14593110.4405296</v>
      </c>
      <c r="AN32" s="60">
        <f t="shared" si="19"/>
        <v>0</v>
      </c>
      <c r="AO32" s="60">
        <f t="shared" si="19"/>
        <v>14437575.4405296</v>
      </c>
      <c r="AP32" s="60">
        <f t="shared" si="19"/>
        <v>14593110.4405296</v>
      </c>
      <c r="AQ32" s="60">
        <f>SUM(AQ11+AQ22+AQ26+AQ30)</f>
        <v>14593110.4405296</v>
      </c>
      <c r="AR32" s="60">
        <f>SUM(AR11+AR22+AR26+AR30)</f>
        <v>1666280.4</v>
      </c>
      <c r="AS32" s="95">
        <f>SUM(AS11:AS31)</f>
        <v>1737015.58</v>
      </c>
    </row>
    <row r="33" spans="1:44" ht="27.75" customHeight="1">
      <c r="A33" s="13"/>
      <c r="B33" s="13"/>
      <c r="C33" s="3"/>
      <c r="D33" s="13">
        <v>26747</v>
      </c>
      <c r="E33" s="3"/>
      <c r="F33" s="3"/>
      <c r="G33" s="3"/>
      <c r="H33" s="3"/>
      <c r="I33" s="3"/>
      <c r="J33" s="13"/>
      <c r="K33" s="13"/>
      <c r="L33" s="13"/>
      <c r="M33" s="13"/>
      <c r="N33" s="13"/>
      <c r="O33" s="3"/>
      <c r="P33" s="3"/>
      <c r="Q33" s="3"/>
      <c r="R33" s="3"/>
      <c r="AR33" s="77"/>
    </row>
    <row r="34" spans="1:22" ht="15.75" customHeight="1">
      <c r="A34" s="126" t="s">
        <v>83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  <row r="35" spans="1:18" ht="3" customHeight="1">
      <c r="A35" s="6"/>
      <c r="B35" s="6"/>
      <c r="C35" s="2"/>
      <c r="D35" s="6"/>
      <c r="E35" s="2"/>
      <c r="F35" s="2"/>
      <c r="G35" s="2"/>
      <c r="H35" s="2"/>
      <c r="I35" s="2"/>
      <c r="J35" s="6"/>
      <c r="K35" s="6"/>
      <c r="L35" s="6"/>
      <c r="M35" s="6"/>
      <c r="N35" s="6"/>
      <c r="O35" s="2"/>
      <c r="P35" s="2"/>
      <c r="Q35" s="2"/>
      <c r="R35" s="2"/>
    </row>
    <row r="36" spans="1:22" ht="126.75" customHeight="1">
      <c r="A36" s="107" t="s">
        <v>21</v>
      </c>
      <c r="B36" s="103" t="s">
        <v>42</v>
      </c>
      <c r="C36" s="103" t="s">
        <v>36</v>
      </c>
      <c r="D36" s="103" t="s">
        <v>43</v>
      </c>
      <c r="E36" s="103" t="s">
        <v>44</v>
      </c>
      <c r="F36" s="103" t="s">
        <v>49</v>
      </c>
      <c r="G36" s="117" t="s">
        <v>39</v>
      </c>
      <c r="H36" s="118"/>
      <c r="I36" s="107"/>
      <c r="J36" s="119" t="s">
        <v>79</v>
      </c>
      <c r="K36" s="121" t="s">
        <v>69</v>
      </c>
      <c r="L36" s="114" t="s">
        <v>63</v>
      </c>
      <c r="M36" s="116"/>
      <c r="N36" s="121" t="s">
        <v>80</v>
      </c>
      <c r="O36" s="110" t="s">
        <v>64</v>
      </c>
      <c r="P36" s="110" t="s">
        <v>65</v>
      </c>
      <c r="Q36" s="110" t="s">
        <v>94</v>
      </c>
      <c r="R36" s="110" t="s">
        <v>66</v>
      </c>
      <c r="S36" s="112" t="s">
        <v>78</v>
      </c>
      <c r="T36" s="112" t="s">
        <v>81</v>
      </c>
      <c r="U36" s="125" t="s">
        <v>70</v>
      </c>
      <c r="V36" s="125"/>
    </row>
    <row r="37" spans="1:22" ht="22.5" customHeight="1">
      <c r="A37" s="108"/>
      <c r="B37" s="109"/>
      <c r="C37" s="109"/>
      <c r="D37" s="109"/>
      <c r="E37" s="109"/>
      <c r="F37" s="109"/>
      <c r="G37" s="96" t="s">
        <v>12</v>
      </c>
      <c r="H37" s="96" t="s">
        <v>14</v>
      </c>
      <c r="I37" s="108"/>
      <c r="J37" s="120"/>
      <c r="K37" s="122"/>
      <c r="L37" s="97" t="s">
        <v>12</v>
      </c>
      <c r="M37" s="97" t="s">
        <v>14</v>
      </c>
      <c r="N37" s="122"/>
      <c r="O37" s="111"/>
      <c r="P37" s="111"/>
      <c r="Q37" s="111"/>
      <c r="R37" s="111"/>
      <c r="S37" s="113"/>
      <c r="T37" s="113"/>
      <c r="U37" s="97" t="s">
        <v>12</v>
      </c>
      <c r="V37" s="97" t="s">
        <v>14</v>
      </c>
    </row>
    <row r="38" spans="1:22" ht="12.75">
      <c r="A38" s="7">
        <v>1</v>
      </c>
      <c r="B38" s="30"/>
      <c r="C38" s="30">
        <v>7</v>
      </c>
      <c r="D38" s="30">
        <v>8</v>
      </c>
      <c r="E38" s="30"/>
      <c r="F38" s="30"/>
      <c r="G38" s="30">
        <v>9</v>
      </c>
      <c r="H38" s="30">
        <v>10</v>
      </c>
      <c r="I38" s="7"/>
      <c r="J38" s="7">
        <v>2</v>
      </c>
      <c r="K38" s="7">
        <v>3</v>
      </c>
      <c r="L38" s="7" t="s">
        <v>71</v>
      </c>
      <c r="M38" s="7" t="s">
        <v>72</v>
      </c>
      <c r="N38" s="7" t="s">
        <v>73</v>
      </c>
      <c r="O38" s="7">
        <v>7</v>
      </c>
      <c r="P38" s="4">
        <v>8</v>
      </c>
      <c r="Q38" s="7">
        <v>9</v>
      </c>
      <c r="R38" s="4">
        <v>10</v>
      </c>
      <c r="S38" s="90" t="s">
        <v>74</v>
      </c>
      <c r="T38" s="90" t="s">
        <v>75</v>
      </c>
      <c r="U38" s="7" t="s">
        <v>76</v>
      </c>
      <c r="V38" s="7" t="s">
        <v>77</v>
      </c>
    </row>
    <row r="39" spans="1:22" ht="38.25">
      <c r="A39" s="8" t="s">
        <v>67</v>
      </c>
      <c r="B39" s="31"/>
      <c r="C39" s="31" t="s">
        <v>13</v>
      </c>
      <c r="D39" s="31">
        <v>26747</v>
      </c>
      <c r="E39" s="31"/>
      <c r="F39" s="31"/>
      <c r="G39" s="31" t="s">
        <v>13</v>
      </c>
      <c r="H39" s="31" t="s">
        <v>13</v>
      </c>
      <c r="I39" s="8"/>
      <c r="J39" s="17" t="s">
        <v>13</v>
      </c>
      <c r="K39" s="17" t="s">
        <v>34</v>
      </c>
      <c r="L39" s="17" t="s">
        <v>13</v>
      </c>
      <c r="M39" s="17" t="s">
        <v>13</v>
      </c>
      <c r="N39" s="17" t="s">
        <v>34</v>
      </c>
      <c r="O39" s="17" t="s">
        <v>34</v>
      </c>
      <c r="P39" s="17"/>
      <c r="Q39" s="17" t="s">
        <v>13</v>
      </c>
      <c r="R39" s="91" t="s">
        <v>34</v>
      </c>
      <c r="S39" s="67" t="s">
        <v>34</v>
      </c>
      <c r="T39" s="67" t="s">
        <v>34</v>
      </c>
      <c r="U39" s="17" t="s">
        <v>13</v>
      </c>
      <c r="V39" s="17" t="s">
        <v>13</v>
      </c>
    </row>
    <row r="40" spans="1:22" ht="38.25">
      <c r="A40" s="8" t="s">
        <v>68</v>
      </c>
      <c r="B40" s="31"/>
      <c r="C40" s="31" t="s">
        <v>13</v>
      </c>
      <c r="D40" s="32"/>
      <c r="E40" s="32"/>
      <c r="F40" s="32"/>
      <c r="G40" s="31" t="s">
        <v>13</v>
      </c>
      <c r="H40" s="31" t="s">
        <v>13</v>
      </c>
      <c r="I40" s="8"/>
      <c r="J40" s="17" t="s">
        <v>13</v>
      </c>
      <c r="K40" s="17" t="s">
        <v>34</v>
      </c>
      <c r="L40" s="17" t="s">
        <v>13</v>
      </c>
      <c r="M40" s="17" t="s">
        <v>13</v>
      </c>
      <c r="N40" s="17" t="s">
        <v>34</v>
      </c>
      <c r="O40" s="17" t="s">
        <v>34</v>
      </c>
      <c r="P40" s="17" t="s">
        <v>13</v>
      </c>
      <c r="Q40" s="17" t="s">
        <v>13</v>
      </c>
      <c r="R40" s="92"/>
      <c r="S40" s="67" t="s">
        <v>34</v>
      </c>
      <c r="T40" s="67" t="s">
        <v>34</v>
      </c>
      <c r="U40" s="17" t="s">
        <v>13</v>
      </c>
      <c r="V40" s="17" t="s">
        <v>13</v>
      </c>
    </row>
    <row r="41" spans="1:22" ht="25.5">
      <c r="A41" s="8" t="s">
        <v>11</v>
      </c>
      <c r="B41" s="32">
        <f>SUM(B42:B49)</f>
        <v>19930</v>
      </c>
      <c r="C41" s="32" t="s">
        <v>34</v>
      </c>
      <c r="D41" s="32" t="s">
        <v>34</v>
      </c>
      <c r="E41" s="32">
        <f>SUM(E42:E51)</f>
        <v>8709310.271592</v>
      </c>
      <c r="F41" s="32">
        <f>SUM(F42:F51)</f>
        <v>-8709310.271592</v>
      </c>
      <c r="G41" s="32" t="e">
        <f>SUM(G42:G51)</f>
        <v>#REF!</v>
      </c>
      <c r="H41" s="32" t="e">
        <f>SUM(H42:H51)</f>
        <v>#REF!</v>
      </c>
      <c r="I41" s="8"/>
      <c r="J41" s="92"/>
      <c r="K41" s="92"/>
      <c r="L41" s="68"/>
      <c r="M41" s="68"/>
      <c r="N41" s="68"/>
      <c r="O41" s="68"/>
      <c r="P41" s="68"/>
      <c r="Q41" s="68"/>
      <c r="R41" s="92"/>
      <c r="S41" s="68"/>
      <c r="T41" s="68"/>
      <c r="U41" s="68"/>
      <c r="V41" s="68"/>
    </row>
    <row r="42" spans="1:22" ht="38.25">
      <c r="A42" s="10" t="s">
        <v>85</v>
      </c>
      <c r="B42" s="33">
        <v>12153</v>
      </c>
      <c r="C42" s="35">
        <v>108.2</v>
      </c>
      <c r="D42" s="33">
        <v>28959</v>
      </c>
      <c r="E42" s="33">
        <f>B42*D42*12*1.302/1000</f>
        <v>5498690.670648</v>
      </c>
      <c r="F42" s="33">
        <f>L42*1.302-E42</f>
        <v>-5498690.670648</v>
      </c>
      <c r="G42" s="33" t="e">
        <f>(E42-#REF!)*1.302</f>
        <v>#REF!</v>
      </c>
      <c r="H42" s="33" t="e">
        <f>G42</f>
        <v>#REF!</v>
      </c>
      <c r="I42" s="9"/>
      <c r="J42" s="70"/>
      <c r="K42" s="70"/>
      <c r="L42" s="69"/>
      <c r="M42" s="69"/>
      <c r="N42" s="69"/>
      <c r="O42" s="70"/>
      <c r="P42" s="70"/>
      <c r="Q42" s="70"/>
      <c r="R42" s="91"/>
      <c r="S42" s="69"/>
      <c r="T42" s="69"/>
      <c r="U42" s="69"/>
      <c r="V42" s="69"/>
    </row>
    <row r="43" spans="1:22" ht="15">
      <c r="A43" s="10" t="s">
        <v>86</v>
      </c>
      <c r="B43" s="33"/>
      <c r="C43" s="35"/>
      <c r="D43" s="33"/>
      <c r="E43" s="33"/>
      <c r="F43" s="33"/>
      <c r="G43" s="33"/>
      <c r="H43" s="33"/>
      <c r="I43" s="9"/>
      <c r="J43" s="70"/>
      <c r="K43" s="70"/>
      <c r="L43" s="69"/>
      <c r="M43" s="69"/>
      <c r="N43" s="69"/>
      <c r="O43" s="70"/>
      <c r="P43" s="70"/>
      <c r="Q43" s="70"/>
      <c r="R43" s="91"/>
      <c r="S43" s="69"/>
      <c r="T43" s="69"/>
      <c r="U43" s="69"/>
      <c r="V43" s="69"/>
    </row>
    <row r="44" spans="1:22" ht="15">
      <c r="A44" s="10" t="s">
        <v>87</v>
      </c>
      <c r="B44" s="33"/>
      <c r="C44" s="35"/>
      <c r="D44" s="33"/>
      <c r="E44" s="33"/>
      <c r="F44" s="33"/>
      <c r="G44" s="33"/>
      <c r="H44" s="33"/>
      <c r="I44" s="9"/>
      <c r="J44" s="70"/>
      <c r="K44" s="70"/>
      <c r="L44" s="69"/>
      <c r="M44" s="69"/>
      <c r="N44" s="69"/>
      <c r="O44" s="70"/>
      <c r="P44" s="70"/>
      <c r="Q44" s="70"/>
      <c r="R44" s="91"/>
      <c r="S44" s="69"/>
      <c r="T44" s="69"/>
      <c r="U44" s="69"/>
      <c r="V44" s="69"/>
    </row>
    <row r="45" spans="1:22" ht="25.5">
      <c r="A45" s="10" t="s">
        <v>4</v>
      </c>
      <c r="B45" s="33">
        <v>4775</v>
      </c>
      <c r="C45" s="35">
        <v>94.4</v>
      </c>
      <c r="D45" s="33">
        <v>21547</v>
      </c>
      <c r="E45" s="33">
        <f>B45*D45*12*1.302/1000</f>
        <v>1607505.3162</v>
      </c>
      <c r="F45" s="33">
        <f>L45*1.302-E45</f>
        <v>-1607505.3162</v>
      </c>
      <c r="G45" s="33" t="e">
        <f>(E45-#REF!)*1.302</f>
        <v>#REF!</v>
      </c>
      <c r="H45" s="33" t="e">
        <f>G45</f>
        <v>#REF!</v>
      </c>
      <c r="I45" s="10"/>
      <c r="J45" s="70"/>
      <c r="K45" s="70"/>
      <c r="L45" s="69"/>
      <c r="M45" s="69"/>
      <c r="N45" s="69"/>
      <c r="O45" s="70"/>
      <c r="P45" s="70"/>
      <c r="Q45" s="70"/>
      <c r="R45" s="70"/>
      <c r="S45" s="69"/>
      <c r="T45" s="69"/>
      <c r="U45" s="69"/>
      <c r="V45" s="69"/>
    </row>
    <row r="46" spans="1:22" ht="25.5">
      <c r="A46" s="10" t="s">
        <v>88</v>
      </c>
      <c r="B46" s="33">
        <v>1847</v>
      </c>
      <c r="C46" s="35">
        <v>75.5</v>
      </c>
      <c r="D46" s="33">
        <v>22581</v>
      </c>
      <c r="E46" s="33">
        <f>B46*D46*12*1.302/1000</f>
        <v>651631.8397680001</v>
      </c>
      <c r="F46" s="33">
        <f>L46*1.302-E46</f>
        <v>-651631.8397680001</v>
      </c>
      <c r="G46" s="33" t="e">
        <f>(E46-#REF!)*1.302</f>
        <v>#REF!</v>
      </c>
      <c r="H46" s="33" t="e">
        <f>G46</f>
        <v>#REF!</v>
      </c>
      <c r="I46" s="10"/>
      <c r="J46" s="70"/>
      <c r="K46" s="70"/>
      <c r="L46" s="69"/>
      <c r="M46" s="69"/>
      <c r="N46" s="69"/>
      <c r="O46" s="70"/>
      <c r="P46" s="70"/>
      <c r="Q46" s="70"/>
      <c r="R46" s="70"/>
      <c r="S46" s="69"/>
      <c r="T46" s="69"/>
      <c r="U46" s="69"/>
      <c r="V46" s="69"/>
    </row>
    <row r="47" spans="1:22" ht="15">
      <c r="A47" s="10" t="s">
        <v>86</v>
      </c>
      <c r="B47" s="33"/>
      <c r="C47" s="35"/>
      <c r="D47" s="33"/>
      <c r="E47" s="33"/>
      <c r="F47" s="33"/>
      <c r="G47" s="33"/>
      <c r="H47" s="33"/>
      <c r="I47" s="10"/>
      <c r="J47" s="70"/>
      <c r="K47" s="70"/>
      <c r="L47" s="69"/>
      <c r="M47" s="69"/>
      <c r="N47" s="69"/>
      <c r="O47" s="70"/>
      <c r="P47" s="70"/>
      <c r="Q47" s="70"/>
      <c r="R47" s="70"/>
      <c r="S47" s="69"/>
      <c r="T47" s="69"/>
      <c r="U47" s="69"/>
      <c r="V47" s="69"/>
    </row>
    <row r="48" spans="1:22" ht="15">
      <c r="A48" s="10" t="s">
        <v>87</v>
      </c>
      <c r="B48" s="33"/>
      <c r="C48" s="35"/>
      <c r="D48" s="33"/>
      <c r="E48" s="33"/>
      <c r="F48" s="33"/>
      <c r="G48" s="33"/>
      <c r="H48" s="33"/>
      <c r="I48" s="10"/>
      <c r="J48" s="70"/>
      <c r="K48" s="70"/>
      <c r="L48" s="69"/>
      <c r="M48" s="69"/>
      <c r="N48" s="69"/>
      <c r="O48" s="70"/>
      <c r="P48" s="70"/>
      <c r="Q48" s="70"/>
      <c r="R48" s="70"/>
      <c r="S48" s="69"/>
      <c r="T48" s="69"/>
      <c r="U48" s="69"/>
      <c r="V48" s="69"/>
    </row>
    <row r="49" spans="1:22" ht="25.5">
      <c r="A49" s="10" t="s">
        <v>20</v>
      </c>
      <c r="B49" s="33">
        <v>1155</v>
      </c>
      <c r="C49" s="35">
        <v>101.5</v>
      </c>
      <c r="D49" s="33">
        <v>27047</v>
      </c>
      <c r="E49" s="33">
        <f>B49*D49*12*1.302/1000</f>
        <v>488082.58884000004</v>
      </c>
      <c r="F49" s="33">
        <f>L49*1.302-E49</f>
        <v>-488082.58884000004</v>
      </c>
      <c r="G49" s="33" t="e">
        <f>(E49-#REF!)*1.302</f>
        <v>#REF!</v>
      </c>
      <c r="H49" s="33" t="e">
        <f>G49</f>
        <v>#REF!</v>
      </c>
      <c r="I49" s="10"/>
      <c r="J49" s="70"/>
      <c r="K49" s="70"/>
      <c r="L49" s="69"/>
      <c r="M49" s="69"/>
      <c r="N49" s="69"/>
      <c r="O49" s="70"/>
      <c r="P49" s="70"/>
      <c r="Q49" s="70"/>
      <c r="R49" s="91"/>
      <c r="S49" s="69"/>
      <c r="T49" s="69"/>
      <c r="U49" s="69"/>
      <c r="V49" s="69"/>
    </row>
    <row r="50" spans="1:22" ht="25.5">
      <c r="A50" s="102" t="s">
        <v>2</v>
      </c>
      <c r="B50" s="29"/>
      <c r="C50" s="29"/>
      <c r="D50" s="29"/>
      <c r="E50" s="29"/>
      <c r="F50" s="29"/>
      <c r="G50" s="29"/>
      <c r="H50" s="29"/>
      <c r="I50" s="28"/>
      <c r="J50" s="70"/>
      <c r="K50" s="70"/>
      <c r="L50" s="69"/>
      <c r="M50" s="69"/>
      <c r="N50" s="69"/>
      <c r="O50" s="70"/>
      <c r="P50" s="70"/>
      <c r="Q50" s="70"/>
      <c r="R50" s="70"/>
      <c r="S50" s="69"/>
      <c r="T50" s="69"/>
      <c r="U50" s="69"/>
      <c r="V50" s="69"/>
    </row>
    <row r="51" spans="1:22" ht="15">
      <c r="A51" s="10" t="s">
        <v>3</v>
      </c>
      <c r="B51" s="43">
        <v>1219</v>
      </c>
      <c r="C51" s="33">
        <f>D51/D39*100</f>
        <v>90.96721127603095</v>
      </c>
      <c r="D51" s="33">
        <v>24331</v>
      </c>
      <c r="E51" s="33">
        <f>B51*D51*12*1.302/1000</f>
        <v>463399.856136</v>
      </c>
      <c r="F51" s="33">
        <f aca="true" t="shared" si="20" ref="F51:F57">L51*1.302-E51</f>
        <v>-463399.856136</v>
      </c>
      <c r="G51" s="33" t="e">
        <f>(E51-#REF!)*1.302</f>
        <v>#REF!</v>
      </c>
      <c r="H51" s="33" t="e">
        <f>G51</f>
        <v>#REF!</v>
      </c>
      <c r="I51" s="11"/>
      <c r="J51" s="70"/>
      <c r="K51" s="70"/>
      <c r="L51" s="69"/>
      <c r="M51" s="69"/>
      <c r="N51" s="69"/>
      <c r="O51" s="70"/>
      <c r="P51" s="70"/>
      <c r="Q51" s="70"/>
      <c r="R51" s="91"/>
      <c r="S51" s="69"/>
      <c r="T51" s="69"/>
      <c r="U51" s="69"/>
      <c r="V51" s="69"/>
    </row>
    <row r="52" spans="1:22" ht="25.5">
      <c r="A52" s="8" t="s">
        <v>15</v>
      </c>
      <c r="B52" s="32">
        <f>B53+B54+B55</f>
        <v>3754</v>
      </c>
      <c r="C52" s="32" t="s">
        <v>34</v>
      </c>
      <c r="D52" s="32" t="s">
        <v>34</v>
      </c>
      <c r="E52" s="32">
        <f>E53+E54+E55</f>
        <v>1192800.8933568</v>
      </c>
      <c r="F52" s="34">
        <f t="shared" si="20"/>
        <v>-1192800.8933568</v>
      </c>
      <c r="G52" s="34" t="e">
        <f>(E52-#REF!)*1.302</f>
        <v>#REF!</v>
      </c>
      <c r="H52" s="34" t="e">
        <f>H53+H54+H55</f>
        <v>#REF!</v>
      </c>
      <c r="I52" s="8"/>
      <c r="J52" s="92"/>
      <c r="K52" s="92"/>
      <c r="L52" s="68"/>
      <c r="M52" s="68"/>
      <c r="N52" s="68"/>
      <c r="O52" s="68"/>
      <c r="P52" s="92"/>
      <c r="Q52" s="92"/>
      <c r="R52" s="92"/>
      <c r="S52" s="68"/>
      <c r="T52" s="68"/>
      <c r="U52" s="68"/>
      <c r="V52" s="68"/>
    </row>
    <row r="53" spans="1:22" ht="38.25">
      <c r="A53" s="10" t="s">
        <v>93</v>
      </c>
      <c r="B53" s="33">
        <v>650</v>
      </c>
      <c r="C53" s="33">
        <f>D53/D39*100</f>
        <v>139.15878416270985</v>
      </c>
      <c r="D53" s="33">
        <v>37220.8</v>
      </c>
      <c r="E53" s="33">
        <f>D53*B53*12*1.302/1000</f>
        <v>377999.5564800001</v>
      </c>
      <c r="F53" s="33">
        <f t="shared" si="20"/>
        <v>-377999.5564800001</v>
      </c>
      <c r="G53" s="33" t="e">
        <f>(E53-#REF!)*1.302</f>
        <v>#REF!</v>
      </c>
      <c r="H53" s="33" t="e">
        <f>G53</f>
        <v>#REF!</v>
      </c>
      <c r="I53" s="9"/>
      <c r="J53" s="70"/>
      <c r="K53" s="70"/>
      <c r="L53" s="70"/>
      <c r="M53" s="70"/>
      <c r="N53" s="69"/>
      <c r="O53" s="69"/>
      <c r="P53" s="70"/>
      <c r="Q53" s="70"/>
      <c r="R53" s="91"/>
      <c r="S53" s="69"/>
      <c r="T53" s="69"/>
      <c r="U53" s="69"/>
      <c r="V53" s="69"/>
    </row>
    <row r="54" spans="1:22" ht="15">
      <c r="A54" s="10" t="s">
        <v>5</v>
      </c>
      <c r="B54" s="33">
        <v>1925</v>
      </c>
      <c r="C54" s="33">
        <f>D54/D39*100</f>
        <v>65.9584252439526</v>
      </c>
      <c r="D54" s="33">
        <v>17641.9</v>
      </c>
      <c r="E54" s="33">
        <f>D54*B54*12*1.302/1000</f>
        <v>530601.31278</v>
      </c>
      <c r="F54" s="33">
        <f t="shared" si="20"/>
        <v>-530601.31278</v>
      </c>
      <c r="G54" s="33" t="e">
        <f>(E54-#REF!)*1.302</f>
        <v>#REF!</v>
      </c>
      <c r="H54" s="33" t="e">
        <f>G54-11800</f>
        <v>#REF!</v>
      </c>
      <c r="I54" s="10"/>
      <c r="J54" s="70"/>
      <c r="K54" s="70"/>
      <c r="L54" s="70"/>
      <c r="M54" s="70"/>
      <c r="N54" s="69"/>
      <c r="O54" s="70"/>
      <c r="P54" s="70"/>
      <c r="Q54" s="70"/>
      <c r="R54" s="91"/>
      <c r="S54" s="69"/>
      <c r="T54" s="69"/>
      <c r="U54" s="69"/>
      <c r="V54" s="69"/>
    </row>
    <row r="55" spans="1:22" ht="38.25">
      <c r="A55" s="10" t="s">
        <v>6</v>
      </c>
      <c r="B55" s="33">
        <v>1179</v>
      </c>
      <c r="C55" s="33">
        <f>D55/D39*100</f>
        <v>57.68235689983923</v>
      </c>
      <c r="D55" s="33">
        <v>15428.3</v>
      </c>
      <c r="E55" s="33">
        <f>D55*B55*12*1.302/1000</f>
        <v>284200.02409679996</v>
      </c>
      <c r="F55" s="33">
        <f t="shared" si="20"/>
        <v>-284200.02409679996</v>
      </c>
      <c r="G55" s="33" t="e">
        <f>(E55-#REF!)*1.302</f>
        <v>#REF!</v>
      </c>
      <c r="H55" s="33" t="e">
        <f>G55</f>
        <v>#REF!</v>
      </c>
      <c r="I55" s="11"/>
      <c r="J55" s="70"/>
      <c r="K55" s="70"/>
      <c r="L55" s="70"/>
      <c r="M55" s="70"/>
      <c r="N55" s="69"/>
      <c r="O55" s="70"/>
      <c r="P55" s="70"/>
      <c r="Q55" s="70"/>
      <c r="R55" s="91"/>
      <c r="S55" s="69"/>
      <c r="T55" s="69"/>
      <c r="U55" s="69"/>
      <c r="V55" s="69"/>
    </row>
    <row r="56" spans="1:22" ht="14.25" customHeight="1">
      <c r="A56" s="8" t="s">
        <v>7</v>
      </c>
      <c r="B56" s="34">
        <f>B57</f>
        <v>4725.6</v>
      </c>
      <c r="C56" s="34">
        <f>C57</f>
        <v>62.92743111376977</v>
      </c>
      <c r="D56" s="34">
        <f>D57</f>
        <v>16831.2</v>
      </c>
      <c r="E56" s="34">
        <f>E57</f>
        <v>1242694.19248128</v>
      </c>
      <c r="F56" s="34">
        <f t="shared" si="20"/>
        <v>-1242694.19248128</v>
      </c>
      <c r="G56" s="34" t="e">
        <f>(E56-#REF!)*1.302</f>
        <v>#REF!</v>
      </c>
      <c r="H56" s="34" t="e">
        <f>G56</f>
        <v>#REF!</v>
      </c>
      <c r="I56" s="8"/>
      <c r="J56" s="93"/>
      <c r="K56" s="93"/>
      <c r="L56" s="60"/>
      <c r="M56" s="60"/>
      <c r="N56" s="60"/>
      <c r="O56" s="60"/>
      <c r="P56" s="93"/>
      <c r="Q56" s="93"/>
      <c r="R56" s="93"/>
      <c r="S56" s="60"/>
      <c r="T56" s="60"/>
      <c r="U56" s="60"/>
      <c r="V56" s="60"/>
    </row>
    <row r="57" spans="1:22" ht="14.25" customHeight="1">
      <c r="A57" s="10" t="s">
        <v>89</v>
      </c>
      <c r="B57" s="33">
        <v>4725.6</v>
      </c>
      <c r="C57" s="33">
        <f>D57/D39*100</f>
        <v>62.92743111376977</v>
      </c>
      <c r="D57" s="33">
        <v>16831.2</v>
      </c>
      <c r="E57" s="33">
        <f>B57*D57*12*1.302/1000</f>
        <v>1242694.19248128</v>
      </c>
      <c r="F57" s="33">
        <f t="shared" si="20"/>
        <v>-1242694.19248128</v>
      </c>
      <c r="G57" s="33" t="e">
        <f>(E57-#REF!)*1.302</f>
        <v>#REF!</v>
      </c>
      <c r="H57" s="33" t="e">
        <f>G57</f>
        <v>#REF!</v>
      </c>
      <c r="I57" s="12"/>
      <c r="J57" s="70"/>
      <c r="K57" s="70"/>
      <c r="L57" s="69"/>
      <c r="M57" s="70"/>
      <c r="N57" s="69"/>
      <c r="O57" s="69"/>
      <c r="P57" s="70"/>
      <c r="Q57" s="70"/>
      <c r="R57" s="91"/>
      <c r="S57" s="69"/>
      <c r="T57" s="69"/>
      <c r="U57" s="69"/>
      <c r="V57" s="69"/>
    </row>
    <row r="58" spans="1:22" ht="15">
      <c r="A58" s="10" t="s">
        <v>86</v>
      </c>
      <c r="B58" s="33"/>
      <c r="C58" s="33"/>
      <c r="D58" s="33"/>
      <c r="E58" s="33"/>
      <c r="F58" s="33"/>
      <c r="G58" s="33"/>
      <c r="H58" s="33"/>
      <c r="I58" s="12"/>
      <c r="J58" s="70"/>
      <c r="K58" s="70"/>
      <c r="L58" s="69"/>
      <c r="M58" s="70"/>
      <c r="N58" s="69"/>
      <c r="O58" s="69"/>
      <c r="P58" s="70"/>
      <c r="Q58" s="70"/>
      <c r="R58" s="91"/>
      <c r="S58" s="69"/>
      <c r="T58" s="69"/>
      <c r="U58" s="69"/>
      <c r="V58" s="69"/>
    </row>
    <row r="59" spans="1:22" ht="15">
      <c r="A59" s="10" t="s">
        <v>87</v>
      </c>
      <c r="B59" s="33"/>
      <c r="C59" s="33"/>
      <c r="D59" s="33"/>
      <c r="E59" s="33"/>
      <c r="F59" s="33"/>
      <c r="G59" s="33"/>
      <c r="H59" s="33"/>
      <c r="I59" s="12"/>
      <c r="J59" s="70"/>
      <c r="K59" s="70"/>
      <c r="L59" s="69"/>
      <c r="M59" s="70"/>
      <c r="N59" s="69"/>
      <c r="O59" s="69"/>
      <c r="P59" s="70"/>
      <c r="Q59" s="70"/>
      <c r="R59" s="91"/>
      <c r="S59" s="69"/>
      <c r="T59" s="69"/>
      <c r="U59" s="69"/>
      <c r="V59" s="69"/>
    </row>
    <row r="60" spans="1:22" ht="14.25">
      <c r="A60" s="8" t="s">
        <v>8</v>
      </c>
      <c r="B60" s="34">
        <f>B61</f>
        <v>1809</v>
      </c>
      <c r="C60" s="34">
        <f>C61</f>
        <v>60.455378173253074</v>
      </c>
      <c r="D60" s="34">
        <f>D61</f>
        <v>16170</v>
      </c>
      <c r="E60" s="34">
        <f>E61</f>
        <v>457025.90472000005</v>
      </c>
      <c r="F60" s="34">
        <f>L60*1.302-E60</f>
        <v>-457025.90472000005</v>
      </c>
      <c r="G60" s="34" t="e">
        <f>(E60-#REF!)*1.302</f>
        <v>#REF!</v>
      </c>
      <c r="H60" s="34" t="e">
        <f>H61</f>
        <v>#REF!</v>
      </c>
      <c r="I60" s="8"/>
      <c r="J60" s="93"/>
      <c r="K60" s="93"/>
      <c r="L60" s="60"/>
      <c r="M60" s="60"/>
      <c r="N60" s="60"/>
      <c r="O60" s="99"/>
      <c r="P60" s="100"/>
      <c r="Q60" s="100"/>
      <c r="R60" s="93"/>
      <c r="S60" s="60"/>
      <c r="T60" s="60"/>
      <c r="U60" s="60"/>
      <c r="V60" s="60"/>
    </row>
    <row r="61" spans="1:22" ht="15">
      <c r="A61" s="10" t="s">
        <v>8</v>
      </c>
      <c r="B61" s="33">
        <v>1809</v>
      </c>
      <c r="C61" s="33">
        <f>D61/D39*100</f>
        <v>60.455378173253074</v>
      </c>
      <c r="D61" s="33">
        <v>16170</v>
      </c>
      <c r="E61" s="33">
        <f>B61*D61*12*1.302/1000</f>
        <v>457025.90472000005</v>
      </c>
      <c r="F61" s="33">
        <f>L61*1.302-E61</f>
        <v>-457025.90472000005</v>
      </c>
      <c r="G61" s="33" t="e">
        <f>(E61-#REF!)*1.302</f>
        <v>#REF!</v>
      </c>
      <c r="H61" s="33" t="e">
        <f>G61-5000</f>
        <v>#REF!</v>
      </c>
      <c r="I61" s="9"/>
      <c r="J61" s="70"/>
      <c r="K61" s="70"/>
      <c r="L61" s="69"/>
      <c r="M61" s="69"/>
      <c r="N61" s="69"/>
      <c r="O61" s="69"/>
      <c r="P61" s="101"/>
      <c r="Q61" s="70"/>
      <c r="R61" s="91"/>
      <c r="S61" s="69"/>
      <c r="T61" s="69"/>
      <c r="U61" s="69"/>
      <c r="V61" s="69"/>
    </row>
    <row r="62" spans="1:22" ht="14.25">
      <c r="A62" s="8" t="s">
        <v>10</v>
      </c>
      <c r="B62" s="34">
        <f>SUM(B41+B52+B56+B60)</f>
        <v>30218.6</v>
      </c>
      <c r="C62" s="34" t="s">
        <v>34</v>
      </c>
      <c r="D62" s="34" t="s">
        <v>34</v>
      </c>
      <c r="E62" s="34">
        <f>SUM(E41+E52+E56+E60)</f>
        <v>11601831.26215008</v>
      </c>
      <c r="F62" s="34">
        <f>SUM(F41+F52+F56+F60)</f>
        <v>-11601831.26215008</v>
      </c>
      <c r="G62" s="34" t="e">
        <f>SUM(G41+G52+G56+G60)</f>
        <v>#REF!</v>
      </c>
      <c r="H62" s="34" t="e">
        <f>SUM(H41+H52+H56+H60)</f>
        <v>#REF!</v>
      </c>
      <c r="I62" s="8"/>
      <c r="J62" s="93"/>
      <c r="K62" s="93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ht="24.75" customHeight="1"/>
    <row r="64" spans="1:22" ht="15.75" customHeight="1">
      <c r="A64" s="126" t="s">
        <v>84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</row>
    <row r="65" spans="1:18" ht="12.75">
      <c r="A65" s="6"/>
      <c r="B65" s="6"/>
      <c r="C65" s="2"/>
      <c r="D65" s="6"/>
      <c r="E65" s="2"/>
      <c r="F65" s="2"/>
      <c r="G65" s="2"/>
      <c r="H65" s="2"/>
      <c r="I65" s="2"/>
      <c r="J65" s="6"/>
      <c r="K65" s="6"/>
      <c r="L65" s="6"/>
      <c r="M65" s="6"/>
      <c r="N65" s="6"/>
      <c r="O65" s="2"/>
      <c r="P65" s="2"/>
      <c r="Q65" s="2"/>
      <c r="R65" s="2"/>
    </row>
    <row r="66" spans="1:22" ht="116.25" customHeight="1">
      <c r="A66" s="107" t="s">
        <v>21</v>
      </c>
      <c r="B66" s="103" t="s">
        <v>42</v>
      </c>
      <c r="C66" s="103" t="s">
        <v>36</v>
      </c>
      <c r="D66" s="103" t="s">
        <v>43</v>
      </c>
      <c r="E66" s="103" t="s">
        <v>44</v>
      </c>
      <c r="F66" s="103" t="s">
        <v>49</v>
      </c>
      <c r="G66" s="117" t="s">
        <v>39</v>
      </c>
      <c r="H66" s="118"/>
      <c r="I66" s="107"/>
      <c r="J66" s="119" t="s">
        <v>79</v>
      </c>
      <c r="K66" s="121" t="s">
        <v>69</v>
      </c>
      <c r="L66" s="114" t="s">
        <v>63</v>
      </c>
      <c r="M66" s="116"/>
      <c r="N66" s="121" t="s">
        <v>80</v>
      </c>
      <c r="O66" s="110" t="s">
        <v>64</v>
      </c>
      <c r="P66" s="110" t="s">
        <v>65</v>
      </c>
      <c r="Q66" s="110" t="s">
        <v>95</v>
      </c>
      <c r="R66" s="110" t="s">
        <v>66</v>
      </c>
      <c r="S66" s="112" t="s">
        <v>78</v>
      </c>
      <c r="T66" s="112" t="s">
        <v>81</v>
      </c>
      <c r="U66" s="125" t="s">
        <v>70</v>
      </c>
      <c r="V66" s="125"/>
    </row>
    <row r="67" spans="1:22" ht="24" customHeight="1">
      <c r="A67" s="108"/>
      <c r="B67" s="109"/>
      <c r="C67" s="109"/>
      <c r="D67" s="109"/>
      <c r="E67" s="109"/>
      <c r="F67" s="109"/>
      <c r="G67" s="96" t="s">
        <v>12</v>
      </c>
      <c r="H67" s="96" t="s">
        <v>14</v>
      </c>
      <c r="I67" s="108"/>
      <c r="J67" s="120"/>
      <c r="K67" s="122"/>
      <c r="L67" s="97" t="s">
        <v>12</v>
      </c>
      <c r="M67" s="97" t="s">
        <v>14</v>
      </c>
      <c r="N67" s="122"/>
      <c r="O67" s="111"/>
      <c r="P67" s="111"/>
      <c r="Q67" s="111"/>
      <c r="R67" s="111"/>
      <c r="S67" s="113"/>
      <c r="T67" s="113"/>
      <c r="U67" s="97" t="s">
        <v>12</v>
      </c>
      <c r="V67" s="97" t="s">
        <v>14</v>
      </c>
    </row>
    <row r="68" spans="1:22" ht="12.75">
      <c r="A68" s="7">
        <v>1</v>
      </c>
      <c r="B68" s="30"/>
      <c r="C68" s="30">
        <v>7</v>
      </c>
      <c r="D68" s="30">
        <v>8</v>
      </c>
      <c r="E68" s="30"/>
      <c r="F68" s="30"/>
      <c r="G68" s="30">
        <v>9</v>
      </c>
      <c r="H68" s="30">
        <v>10</v>
      </c>
      <c r="I68" s="7"/>
      <c r="J68" s="7">
        <v>2</v>
      </c>
      <c r="K68" s="7">
        <v>3</v>
      </c>
      <c r="L68" s="7" t="s">
        <v>71</v>
      </c>
      <c r="M68" s="7" t="s">
        <v>72</v>
      </c>
      <c r="N68" s="7" t="s">
        <v>73</v>
      </c>
      <c r="O68" s="7">
        <v>7</v>
      </c>
      <c r="P68" s="4">
        <v>8</v>
      </c>
      <c r="Q68" s="7">
        <v>9</v>
      </c>
      <c r="R68" s="4">
        <v>10</v>
      </c>
      <c r="S68" s="90" t="s">
        <v>74</v>
      </c>
      <c r="T68" s="90" t="s">
        <v>75</v>
      </c>
      <c r="U68" s="7" t="s">
        <v>76</v>
      </c>
      <c r="V68" s="7" t="s">
        <v>77</v>
      </c>
    </row>
    <row r="69" spans="1:22" ht="38.25">
      <c r="A69" s="8" t="s">
        <v>67</v>
      </c>
      <c r="B69" s="31"/>
      <c r="C69" s="31" t="s">
        <v>13</v>
      </c>
      <c r="D69" s="31">
        <v>26747</v>
      </c>
      <c r="E69" s="31"/>
      <c r="F69" s="31"/>
      <c r="G69" s="31" t="s">
        <v>13</v>
      </c>
      <c r="H69" s="31" t="s">
        <v>13</v>
      </c>
      <c r="I69" s="8"/>
      <c r="J69" s="17" t="s">
        <v>13</v>
      </c>
      <c r="K69" s="17" t="s">
        <v>34</v>
      </c>
      <c r="L69" s="17" t="s">
        <v>13</v>
      </c>
      <c r="M69" s="17" t="s">
        <v>13</v>
      </c>
      <c r="N69" s="17" t="s">
        <v>34</v>
      </c>
      <c r="O69" s="17" t="s">
        <v>34</v>
      </c>
      <c r="P69" s="17"/>
      <c r="Q69" s="17" t="s">
        <v>13</v>
      </c>
      <c r="R69" s="91" t="s">
        <v>34</v>
      </c>
      <c r="S69" s="67" t="s">
        <v>34</v>
      </c>
      <c r="T69" s="67" t="s">
        <v>34</v>
      </c>
      <c r="U69" s="17" t="s">
        <v>13</v>
      </c>
      <c r="V69" s="17" t="s">
        <v>13</v>
      </c>
    </row>
    <row r="70" spans="1:22" ht="38.25">
      <c r="A70" s="8" t="s">
        <v>68</v>
      </c>
      <c r="B70" s="31"/>
      <c r="C70" s="31" t="s">
        <v>13</v>
      </c>
      <c r="D70" s="32"/>
      <c r="E70" s="32"/>
      <c r="F70" s="32"/>
      <c r="G70" s="31" t="s">
        <v>13</v>
      </c>
      <c r="H70" s="31" t="s">
        <v>13</v>
      </c>
      <c r="I70" s="8"/>
      <c r="J70" s="17" t="s">
        <v>13</v>
      </c>
      <c r="K70" s="17" t="s">
        <v>34</v>
      </c>
      <c r="L70" s="17" t="s">
        <v>13</v>
      </c>
      <c r="M70" s="17" t="s">
        <v>13</v>
      </c>
      <c r="N70" s="17" t="s">
        <v>34</v>
      </c>
      <c r="O70" s="17" t="s">
        <v>34</v>
      </c>
      <c r="P70" s="17" t="s">
        <v>13</v>
      </c>
      <c r="Q70" s="17" t="s">
        <v>13</v>
      </c>
      <c r="R70" s="92"/>
      <c r="S70" s="67" t="s">
        <v>34</v>
      </c>
      <c r="T70" s="67" t="s">
        <v>34</v>
      </c>
      <c r="U70" s="17" t="s">
        <v>13</v>
      </c>
      <c r="V70" s="17" t="s">
        <v>13</v>
      </c>
    </row>
    <row r="71" spans="1:22" ht="25.5">
      <c r="A71" s="8" t="s">
        <v>11</v>
      </c>
      <c r="B71" s="32">
        <f>SUM(B72:B79)</f>
        <v>19930</v>
      </c>
      <c r="C71" s="32" t="s">
        <v>34</v>
      </c>
      <c r="D71" s="32" t="s">
        <v>34</v>
      </c>
      <c r="E71" s="32">
        <f>SUM(E72:E81)</f>
        <v>8709310.271592</v>
      </c>
      <c r="F71" s="32">
        <f>SUM(F72:F81)</f>
        <v>-8709310.271592</v>
      </c>
      <c r="G71" s="32" t="e">
        <f>SUM(G72:G81)</f>
        <v>#REF!</v>
      </c>
      <c r="H71" s="32" t="e">
        <f>SUM(H72:H81)</f>
        <v>#REF!</v>
      </c>
      <c r="I71" s="8"/>
      <c r="J71" s="92"/>
      <c r="K71" s="92"/>
      <c r="L71" s="68"/>
      <c r="M71" s="68"/>
      <c r="N71" s="68"/>
      <c r="O71" s="68"/>
      <c r="P71" s="68"/>
      <c r="Q71" s="68"/>
      <c r="R71" s="92"/>
      <c r="S71" s="68"/>
      <c r="T71" s="68"/>
      <c r="U71" s="68"/>
      <c r="V71" s="68"/>
    </row>
    <row r="72" spans="1:22" ht="38.25">
      <c r="A72" s="10" t="s">
        <v>85</v>
      </c>
      <c r="B72" s="33">
        <v>12153</v>
      </c>
      <c r="C72" s="35">
        <v>108.2</v>
      </c>
      <c r="D72" s="33">
        <v>28959</v>
      </c>
      <c r="E72" s="33">
        <f>B72*D72*12*1.302/1000</f>
        <v>5498690.670648</v>
      </c>
      <c r="F72" s="33">
        <f>L72*1.302-E72</f>
        <v>-5498690.670648</v>
      </c>
      <c r="G72" s="33" t="e">
        <f>(E72-#REF!)*1.302</f>
        <v>#REF!</v>
      </c>
      <c r="H72" s="33" t="e">
        <f>G72</f>
        <v>#REF!</v>
      </c>
      <c r="I72" s="9"/>
      <c r="J72" s="70"/>
      <c r="K72" s="70"/>
      <c r="L72" s="69"/>
      <c r="M72" s="69"/>
      <c r="N72" s="69"/>
      <c r="O72" s="70"/>
      <c r="P72" s="70"/>
      <c r="Q72" s="70"/>
      <c r="R72" s="91"/>
      <c r="S72" s="69"/>
      <c r="T72" s="69"/>
      <c r="U72" s="69"/>
      <c r="V72" s="69"/>
    </row>
    <row r="73" spans="1:22" ht="15">
      <c r="A73" s="10" t="s">
        <v>86</v>
      </c>
      <c r="B73" s="33"/>
      <c r="C73" s="35"/>
      <c r="D73" s="33"/>
      <c r="E73" s="33"/>
      <c r="F73" s="33"/>
      <c r="G73" s="33"/>
      <c r="H73" s="33"/>
      <c r="I73" s="9"/>
      <c r="J73" s="70"/>
      <c r="K73" s="70"/>
      <c r="L73" s="69"/>
      <c r="M73" s="69"/>
      <c r="N73" s="69"/>
      <c r="O73" s="70"/>
      <c r="P73" s="70"/>
      <c r="Q73" s="70"/>
      <c r="R73" s="91"/>
      <c r="S73" s="69"/>
      <c r="T73" s="69"/>
      <c r="U73" s="69"/>
      <c r="V73" s="69"/>
    </row>
    <row r="74" spans="1:22" ht="15">
      <c r="A74" s="10" t="s">
        <v>87</v>
      </c>
      <c r="B74" s="33"/>
      <c r="C74" s="35"/>
      <c r="D74" s="33"/>
      <c r="E74" s="33"/>
      <c r="F74" s="33"/>
      <c r="G74" s="33"/>
      <c r="H74" s="33"/>
      <c r="I74" s="9"/>
      <c r="J74" s="70"/>
      <c r="K74" s="70"/>
      <c r="L74" s="69"/>
      <c r="M74" s="69"/>
      <c r="N74" s="69"/>
      <c r="O74" s="70"/>
      <c r="P74" s="70"/>
      <c r="Q74" s="70"/>
      <c r="R74" s="91"/>
      <c r="S74" s="69"/>
      <c r="T74" s="69"/>
      <c r="U74" s="69"/>
      <c r="V74" s="69"/>
    </row>
    <row r="75" spans="1:22" ht="25.5">
      <c r="A75" s="10" t="s">
        <v>4</v>
      </c>
      <c r="B75" s="33">
        <v>4775</v>
      </c>
      <c r="C75" s="35">
        <v>94.4</v>
      </c>
      <c r="D75" s="33">
        <v>21547</v>
      </c>
      <c r="E75" s="33">
        <f>B75*D75*12*1.302/1000</f>
        <v>1607505.3162</v>
      </c>
      <c r="F75" s="33">
        <f>L75*1.302-E75</f>
        <v>-1607505.3162</v>
      </c>
      <c r="G75" s="33" t="e">
        <f>(E75-#REF!)*1.302</f>
        <v>#REF!</v>
      </c>
      <c r="H75" s="33" t="e">
        <f>G75</f>
        <v>#REF!</v>
      </c>
      <c r="I75" s="10"/>
      <c r="J75" s="70"/>
      <c r="K75" s="70"/>
      <c r="L75" s="69"/>
      <c r="M75" s="69"/>
      <c r="N75" s="69"/>
      <c r="O75" s="70"/>
      <c r="P75" s="70"/>
      <c r="Q75" s="70"/>
      <c r="R75" s="70"/>
      <c r="S75" s="69"/>
      <c r="T75" s="69"/>
      <c r="U75" s="69"/>
      <c r="V75" s="69"/>
    </row>
    <row r="76" spans="1:22" ht="25.5">
      <c r="A76" s="10" t="s">
        <v>88</v>
      </c>
      <c r="B76" s="33">
        <v>1847</v>
      </c>
      <c r="C76" s="35">
        <v>75.5</v>
      </c>
      <c r="D76" s="33">
        <v>22581</v>
      </c>
      <c r="E76" s="33">
        <f>B76*D76*12*1.302/1000</f>
        <v>651631.8397680001</v>
      </c>
      <c r="F76" s="33">
        <f>L76*1.302-E76</f>
        <v>-651631.8397680001</v>
      </c>
      <c r="G76" s="33" t="e">
        <f>(E76-#REF!)*1.302</f>
        <v>#REF!</v>
      </c>
      <c r="H76" s="33" t="e">
        <f>G76</f>
        <v>#REF!</v>
      </c>
      <c r="I76" s="10"/>
      <c r="J76" s="70"/>
      <c r="K76" s="70"/>
      <c r="L76" s="69"/>
      <c r="M76" s="69"/>
      <c r="N76" s="69"/>
      <c r="O76" s="70"/>
      <c r="P76" s="70"/>
      <c r="Q76" s="70"/>
      <c r="R76" s="70"/>
      <c r="S76" s="69"/>
      <c r="T76" s="69"/>
      <c r="U76" s="69"/>
      <c r="V76" s="69"/>
    </row>
    <row r="77" spans="1:22" ht="15">
      <c r="A77" s="10" t="s">
        <v>86</v>
      </c>
      <c r="B77" s="33"/>
      <c r="C77" s="35"/>
      <c r="D77" s="33"/>
      <c r="E77" s="33"/>
      <c r="F77" s="33"/>
      <c r="G77" s="33"/>
      <c r="H77" s="33"/>
      <c r="I77" s="10"/>
      <c r="J77" s="70"/>
      <c r="K77" s="70"/>
      <c r="L77" s="69"/>
      <c r="M77" s="69"/>
      <c r="N77" s="69"/>
      <c r="O77" s="70"/>
      <c r="P77" s="70"/>
      <c r="Q77" s="70"/>
      <c r="R77" s="70"/>
      <c r="S77" s="69"/>
      <c r="T77" s="69"/>
      <c r="U77" s="69"/>
      <c r="V77" s="69"/>
    </row>
    <row r="78" spans="1:22" ht="15">
      <c r="A78" s="10" t="s">
        <v>87</v>
      </c>
      <c r="B78" s="33"/>
      <c r="C78" s="35"/>
      <c r="D78" s="33"/>
      <c r="E78" s="33"/>
      <c r="F78" s="33"/>
      <c r="G78" s="33"/>
      <c r="H78" s="33"/>
      <c r="I78" s="10"/>
      <c r="J78" s="70"/>
      <c r="K78" s="70"/>
      <c r="L78" s="69"/>
      <c r="M78" s="69"/>
      <c r="N78" s="69"/>
      <c r="O78" s="70"/>
      <c r="P78" s="70"/>
      <c r="Q78" s="70"/>
      <c r="R78" s="70"/>
      <c r="S78" s="69"/>
      <c r="T78" s="69"/>
      <c r="U78" s="69"/>
      <c r="V78" s="69"/>
    </row>
    <row r="79" spans="1:22" ht="25.5">
      <c r="A79" s="10" t="s">
        <v>20</v>
      </c>
      <c r="B79" s="33">
        <v>1155</v>
      </c>
      <c r="C79" s="35">
        <v>101.5</v>
      </c>
      <c r="D79" s="33">
        <v>27047</v>
      </c>
      <c r="E79" s="33">
        <f>B79*D79*12*1.302/1000</f>
        <v>488082.58884000004</v>
      </c>
      <c r="F79" s="33">
        <f>L79*1.302-E79</f>
        <v>-488082.58884000004</v>
      </c>
      <c r="G79" s="33" t="e">
        <f>(E79-#REF!)*1.302</f>
        <v>#REF!</v>
      </c>
      <c r="H79" s="33" t="e">
        <f>G79</f>
        <v>#REF!</v>
      </c>
      <c r="I79" s="10"/>
      <c r="J79" s="70"/>
      <c r="K79" s="70"/>
      <c r="L79" s="69"/>
      <c r="M79" s="69"/>
      <c r="N79" s="69"/>
      <c r="O79" s="70"/>
      <c r="P79" s="70"/>
      <c r="Q79" s="70"/>
      <c r="R79" s="91"/>
      <c r="S79" s="69"/>
      <c r="T79" s="69"/>
      <c r="U79" s="69"/>
      <c r="V79" s="69"/>
    </row>
    <row r="80" spans="1:22" ht="25.5">
      <c r="A80" s="102" t="s">
        <v>2</v>
      </c>
      <c r="B80" s="29"/>
      <c r="C80" s="29"/>
      <c r="D80" s="29"/>
      <c r="E80" s="29"/>
      <c r="F80" s="29"/>
      <c r="G80" s="29"/>
      <c r="H80" s="29"/>
      <c r="I80" s="28"/>
      <c r="J80" s="70"/>
      <c r="K80" s="70"/>
      <c r="L80" s="69"/>
      <c r="M80" s="69"/>
      <c r="N80" s="69"/>
      <c r="O80" s="70"/>
      <c r="P80" s="70"/>
      <c r="Q80" s="70"/>
      <c r="R80" s="70"/>
      <c r="S80" s="69"/>
      <c r="T80" s="69"/>
      <c r="U80" s="69"/>
      <c r="V80" s="69"/>
    </row>
    <row r="81" spans="1:22" ht="15">
      <c r="A81" s="10" t="s">
        <v>3</v>
      </c>
      <c r="B81" s="43">
        <v>1219</v>
      </c>
      <c r="C81" s="33">
        <f>D81/D69*100</f>
        <v>90.96721127603095</v>
      </c>
      <c r="D81" s="33">
        <v>24331</v>
      </c>
      <c r="E81" s="33">
        <f>B81*D81*12*1.302/1000</f>
        <v>463399.856136</v>
      </c>
      <c r="F81" s="33">
        <f aca="true" t="shared" si="21" ref="F81:F87">L81*1.302-E81</f>
        <v>-463399.856136</v>
      </c>
      <c r="G81" s="33" t="e">
        <f>(E81-#REF!)*1.302</f>
        <v>#REF!</v>
      </c>
      <c r="H81" s="33" t="e">
        <f>G81</f>
        <v>#REF!</v>
      </c>
      <c r="I81" s="11"/>
      <c r="J81" s="70"/>
      <c r="K81" s="70"/>
      <c r="L81" s="69"/>
      <c r="M81" s="69"/>
      <c r="N81" s="69"/>
      <c r="O81" s="70"/>
      <c r="P81" s="70"/>
      <c r="Q81" s="70"/>
      <c r="R81" s="91"/>
      <c r="S81" s="69"/>
      <c r="T81" s="69"/>
      <c r="U81" s="69"/>
      <c r="V81" s="69"/>
    </row>
    <row r="82" spans="1:22" ht="25.5">
      <c r="A82" s="8" t="s">
        <v>15</v>
      </c>
      <c r="B82" s="32">
        <f>B83+B84+B85</f>
        <v>3754</v>
      </c>
      <c r="C82" s="32" t="s">
        <v>34</v>
      </c>
      <c r="D82" s="32" t="s">
        <v>34</v>
      </c>
      <c r="E82" s="32">
        <f>E83+E84+E85</f>
        <v>1192800.8933568</v>
      </c>
      <c r="F82" s="34">
        <f t="shared" si="21"/>
        <v>-1192800.8933568</v>
      </c>
      <c r="G82" s="34" t="e">
        <f>(E82-#REF!)*1.302</f>
        <v>#REF!</v>
      </c>
      <c r="H82" s="34" t="e">
        <f>H83+H84+H85</f>
        <v>#REF!</v>
      </c>
      <c r="I82" s="8"/>
      <c r="J82" s="92"/>
      <c r="K82" s="92"/>
      <c r="L82" s="68"/>
      <c r="M82" s="68"/>
      <c r="N82" s="68"/>
      <c r="O82" s="68"/>
      <c r="P82" s="92"/>
      <c r="Q82" s="92"/>
      <c r="R82" s="92"/>
      <c r="S82" s="68"/>
      <c r="T82" s="68"/>
      <c r="U82" s="68"/>
      <c r="V82" s="68"/>
    </row>
    <row r="83" spans="1:22" ht="38.25">
      <c r="A83" s="10" t="s">
        <v>93</v>
      </c>
      <c r="B83" s="33">
        <v>650</v>
      </c>
      <c r="C83" s="33">
        <f>D83/D69*100</f>
        <v>139.15878416270985</v>
      </c>
      <c r="D83" s="33">
        <v>37220.8</v>
      </c>
      <c r="E83" s="33">
        <f>D83*B83*12*1.302/1000</f>
        <v>377999.5564800001</v>
      </c>
      <c r="F83" s="33">
        <f t="shared" si="21"/>
        <v>-377999.5564800001</v>
      </c>
      <c r="G83" s="33" t="e">
        <f>(E83-#REF!)*1.302</f>
        <v>#REF!</v>
      </c>
      <c r="H83" s="33" t="e">
        <f>G83</f>
        <v>#REF!</v>
      </c>
      <c r="I83" s="9"/>
      <c r="J83" s="70"/>
      <c r="K83" s="70"/>
      <c r="L83" s="70"/>
      <c r="M83" s="70"/>
      <c r="N83" s="69"/>
      <c r="O83" s="69"/>
      <c r="P83" s="70"/>
      <c r="Q83" s="70"/>
      <c r="R83" s="91"/>
      <c r="S83" s="69"/>
      <c r="T83" s="69"/>
      <c r="U83" s="69"/>
      <c r="V83" s="69"/>
    </row>
    <row r="84" spans="1:22" ht="15">
      <c r="A84" s="10" t="s">
        <v>5</v>
      </c>
      <c r="B84" s="33">
        <v>1925</v>
      </c>
      <c r="C84" s="33">
        <f>D84/D69*100</f>
        <v>65.9584252439526</v>
      </c>
      <c r="D84" s="33">
        <v>17641.9</v>
      </c>
      <c r="E84" s="33">
        <f>D84*B84*12*1.302/1000</f>
        <v>530601.31278</v>
      </c>
      <c r="F84" s="33">
        <f t="shared" si="21"/>
        <v>-530601.31278</v>
      </c>
      <c r="G84" s="33" t="e">
        <f>(E84-#REF!)*1.302</f>
        <v>#REF!</v>
      </c>
      <c r="H84" s="33" t="e">
        <f>G84-11800</f>
        <v>#REF!</v>
      </c>
      <c r="I84" s="10"/>
      <c r="J84" s="70"/>
      <c r="K84" s="70"/>
      <c r="L84" s="70"/>
      <c r="M84" s="70"/>
      <c r="N84" s="69"/>
      <c r="O84" s="70"/>
      <c r="P84" s="70"/>
      <c r="Q84" s="70"/>
      <c r="R84" s="91"/>
      <c r="S84" s="69"/>
      <c r="T84" s="69"/>
      <c r="U84" s="69"/>
      <c r="V84" s="69"/>
    </row>
    <row r="85" spans="1:22" ht="38.25">
      <c r="A85" s="10" t="s">
        <v>6</v>
      </c>
      <c r="B85" s="33">
        <v>1179</v>
      </c>
      <c r="C85" s="33">
        <f>D85/D69*100</f>
        <v>57.68235689983923</v>
      </c>
      <c r="D85" s="33">
        <v>15428.3</v>
      </c>
      <c r="E85" s="33">
        <f>D85*B85*12*1.302/1000</f>
        <v>284200.02409679996</v>
      </c>
      <c r="F85" s="33">
        <f t="shared" si="21"/>
        <v>-284200.02409679996</v>
      </c>
      <c r="G85" s="33" t="e">
        <f>(E85-#REF!)*1.302</f>
        <v>#REF!</v>
      </c>
      <c r="H85" s="33" t="e">
        <f>G85</f>
        <v>#REF!</v>
      </c>
      <c r="I85" s="11"/>
      <c r="J85" s="70"/>
      <c r="K85" s="70"/>
      <c r="L85" s="70"/>
      <c r="M85" s="70"/>
      <c r="N85" s="69"/>
      <c r="O85" s="70"/>
      <c r="P85" s="70"/>
      <c r="Q85" s="70"/>
      <c r="R85" s="91"/>
      <c r="S85" s="69"/>
      <c r="T85" s="69"/>
      <c r="U85" s="69"/>
      <c r="V85" s="69"/>
    </row>
    <row r="86" spans="1:22" ht="14.25">
      <c r="A86" s="8" t="s">
        <v>7</v>
      </c>
      <c r="B86" s="34">
        <f>B87</f>
        <v>4725.6</v>
      </c>
      <c r="C86" s="34">
        <f>C87</f>
        <v>62.92743111376977</v>
      </c>
      <c r="D86" s="34">
        <f>D87</f>
        <v>16831.2</v>
      </c>
      <c r="E86" s="34">
        <f>E87</f>
        <v>1242694.19248128</v>
      </c>
      <c r="F86" s="34">
        <f t="shared" si="21"/>
        <v>-1242694.19248128</v>
      </c>
      <c r="G86" s="34" t="e">
        <f>(E86-#REF!)*1.302</f>
        <v>#REF!</v>
      </c>
      <c r="H86" s="34" t="e">
        <f>G86</f>
        <v>#REF!</v>
      </c>
      <c r="I86" s="8"/>
      <c r="J86" s="93"/>
      <c r="K86" s="93"/>
      <c r="L86" s="60"/>
      <c r="M86" s="60"/>
      <c r="N86" s="60"/>
      <c r="O86" s="60"/>
      <c r="P86" s="93"/>
      <c r="Q86" s="93"/>
      <c r="R86" s="93"/>
      <c r="S86" s="60"/>
      <c r="T86" s="60"/>
      <c r="U86" s="60"/>
      <c r="V86" s="60"/>
    </row>
    <row r="87" spans="1:22" ht="25.5">
      <c r="A87" s="10" t="s">
        <v>89</v>
      </c>
      <c r="B87" s="33">
        <v>4725.6</v>
      </c>
      <c r="C87" s="33">
        <f>D87/D69*100</f>
        <v>62.92743111376977</v>
      </c>
      <c r="D87" s="33">
        <v>16831.2</v>
      </c>
      <c r="E87" s="33">
        <f>B87*D87*12*1.302/1000</f>
        <v>1242694.19248128</v>
      </c>
      <c r="F87" s="33">
        <f t="shared" si="21"/>
        <v>-1242694.19248128</v>
      </c>
      <c r="G87" s="33" t="e">
        <f>(E87-#REF!)*1.302</f>
        <v>#REF!</v>
      </c>
      <c r="H87" s="33" t="e">
        <f>G87</f>
        <v>#REF!</v>
      </c>
      <c r="I87" s="12"/>
      <c r="J87" s="70"/>
      <c r="K87" s="70"/>
      <c r="L87" s="69"/>
      <c r="M87" s="70"/>
      <c r="N87" s="69"/>
      <c r="O87" s="69"/>
      <c r="P87" s="70"/>
      <c r="Q87" s="70"/>
      <c r="R87" s="91"/>
      <c r="S87" s="69"/>
      <c r="T87" s="69"/>
      <c r="U87" s="69"/>
      <c r="V87" s="69"/>
    </row>
    <row r="88" spans="1:22" ht="15">
      <c r="A88" s="10" t="s">
        <v>86</v>
      </c>
      <c r="B88" s="33"/>
      <c r="C88" s="33"/>
      <c r="D88" s="33"/>
      <c r="E88" s="33"/>
      <c r="F88" s="33"/>
      <c r="G88" s="33"/>
      <c r="H88" s="33"/>
      <c r="I88" s="12"/>
      <c r="J88" s="70"/>
      <c r="K88" s="70"/>
      <c r="L88" s="69"/>
      <c r="M88" s="70"/>
      <c r="N88" s="69"/>
      <c r="O88" s="69"/>
      <c r="P88" s="70"/>
      <c r="Q88" s="70"/>
      <c r="R88" s="91"/>
      <c r="S88" s="69"/>
      <c r="T88" s="69"/>
      <c r="U88" s="69"/>
      <c r="V88" s="69"/>
    </row>
    <row r="89" spans="1:22" ht="15">
      <c r="A89" s="10" t="s">
        <v>87</v>
      </c>
      <c r="B89" s="33"/>
      <c r="C89" s="33"/>
      <c r="D89" s="33"/>
      <c r="E89" s="33"/>
      <c r="F89" s="33"/>
      <c r="G89" s="33"/>
      <c r="H89" s="33"/>
      <c r="I89" s="12"/>
      <c r="J89" s="70"/>
      <c r="K89" s="70"/>
      <c r="L89" s="69"/>
      <c r="M89" s="70"/>
      <c r="N89" s="69"/>
      <c r="O89" s="69"/>
      <c r="P89" s="70"/>
      <c r="Q89" s="70"/>
      <c r="R89" s="91"/>
      <c r="S89" s="69"/>
      <c r="T89" s="69"/>
      <c r="U89" s="69"/>
      <c r="V89" s="69"/>
    </row>
    <row r="90" spans="1:22" ht="14.25">
      <c r="A90" s="8" t="s">
        <v>8</v>
      </c>
      <c r="B90" s="34">
        <f>B91</f>
        <v>1809</v>
      </c>
      <c r="C90" s="34">
        <f>C91</f>
        <v>60.455378173253074</v>
      </c>
      <c r="D90" s="34">
        <f>D91</f>
        <v>16170</v>
      </c>
      <c r="E90" s="34">
        <f>E91</f>
        <v>457025.90472000005</v>
      </c>
      <c r="F90" s="34">
        <f>L90*1.302-E90</f>
        <v>-457025.90472000005</v>
      </c>
      <c r="G90" s="34" t="e">
        <f>(E90-#REF!)*1.302</f>
        <v>#REF!</v>
      </c>
      <c r="H90" s="34" t="e">
        <f>H91</f>
        <v>#REF!</v>
      </c>
      <c r="I90" s="8"/>
      <c r="J90" s="93"/>
      <c r="K90" s="93"/>
      <c r="L90" s="60"/>
      <c r="M90" s="60"/>
      <c r="N90" s="60"/>
      <c r="O90" s="99"/>
      <c r="P90" s="100"/>
      <c r="Q90" s="100"/>
      <c r="R90" s="93"/>
      <c r="S90" s="60"/>
      <c r="T90" s="60"/>
      <c r="U90" s="60"/>
      <c r="V90" s="60"/>
    </row>
    <row r="91" spans="1:22" ht="15">
      <c r="A91" s="10" t="s">
        <v>8</v>
      </c>
      <c r="B91" s="33">
        <v>1809</v>
      </c>
      <c r="C91" s="33">
        <f>D91/D69*100</f>
        <v>60.455378173253074</v>
      </c>
      <c r="D91" s="33">
        <v>16170</v>
      </c>
      <c r="E91" s="33">
        <f>B91*D91*12*1.302/1000</f>
        <v>457025.90472000005</v>
      </c>
      <c r="F91" s="33">
        <f>L91*1.302-E91</f>
        <v>-457025.90472000005</v>
      </c>
      <c r="G91" s="33" t="e">
        <f>(E91-#REF!)*1.302</f>
        <v>#REF!</v>
      </c>
      <c r="H91" s="33" t="e">
        <f>G91-5000</f>
        <v>#REF!</v>
      </c>
      <c r="I91" s="9"/>
      <c r="J91" s="70"/>
      <c r="K91" s="70"/>
      <c r="L91" s="69"/>
      <c r="M91" s="69"/>
      <c r="N91" s="69"/>
      <c r="O91" s="69"/>
      <c r="P91" s="101"/>
      <c r="Q91" s="70"/>
      <c r="R91" s="91"/>
      <c r="S91" s="69"/>
      <c r="T91" s="69"/>
      <c r="U91" s="69"/>
      <c r="V91" s="69"/>
    </row>
    <row r="92" spans="1:22" ht="14.25">
      <c r="A92" s="8" t="s">
        <v>10</v>
      </c>
      <c r="B92" s="34">
        <f>SUM(B71+B82+B86+B90)</f>
        <v>30218.6</v>
      </c>
      <c r="C92" s="34" t="s">
        <v>34</v>
      </c>
      <c r="D92" s="34" t="s">
        <v>34</v>
      </c>
      <c r="E92" s="34">
        <f>SUM(E71+E82+E86+E90)</f>
        <v>11601831.26215008</v>
      </c>
      <c r="F92" s="34">
        <f>SUM(F71+F82+F86+F90)</f>
        <v>-11601831.26215008</v>
      </c>
      <c r="G92" s="34" t="e">
        <f>SUM(G71+G82+G86+G90)</f>
        <v>#REF!</v>
      </c>
      <c r="H92" s="34" t="e">
        <f>SUM(H71+H82+H86+H90)</f>
        <v>#REF!</v>
      </c>
      <c r="I92" s="8"/>
      <c r="J92" s="93"/>
      <c r="K92" s="93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</sheetData>
  <sheetProtection/>
  <mergeCells count="73">
    <mergeCell ref="A4:V4"/>
    <mergeCell ref="A34:V34"/>
    <mergeCell ref="D66:D67"/>
    <mergeCell ref="C66:C67"/>
    <mergeCell ref="B66:B67"/>
    <mergeCell ref="A66:A67"/>
    <mergeCell ref="A64:V64"/>
    <mergeCell ref="U66:V66"/>
    <mergeCell ref="N66:N67"/>
    <mergeCell ref="L66:M66"/>
    <mergeCell ref="K66:K67"/>
    <mergeCell ref="J66:J67"/>
    <mergeCell ref="I66:I67"/>
    <mergeCell ref="G66:H66"/>
    <mergeCell ref="F66:F67"/>
    <mergeCell ref="E66:E67"/>
    <mergeCell ref="O36:O37"/>
    <mergeCell ref="T66:T67"/>
    <mergeCell ref="S66:S67"/>
    <mergeCell ref="R66:R67"/>
    <mergeCell ref="Q66:Q67"/>
    <mergeCell ref="P66:P67"/>
    <mergeCell ref="O66:O67"/>
    <mergeCell ref="I36:I37"/>
    <mergeCell ref="Q36:Q37"/>
    <mergeCell ref="R36:R37"/>
    <mergeCell ref="S36:S37"/>
    <mergeCell ref="T36:T37"/>
    <mergeCell ref="U36:V36"/>
    <mergeCell ref="J36:J37"/>
    <mergeCell ref="K36:K37"/>
    <mergeCell ref="L36:M36"/>
    <mergeCell ref="N36:N37"/>
    <mergeCell ref="T6:T7"/>
    <mergeCell ref="U6:V6"/>
    <mergeCell ref="P36:P37"/>
    <mergeCell ref="A36:A37"/>
    <mergeCell ref="B36:B37"/>
    <mergeCell ref="C36:C37"/>
    <mergeCell ref="D36:D37"/>
    <mergeCell ref="E36:E37"/>
    <mergeCell ref="F36:F37"/>
    <mergeCell ref="G36:H36"/>
    <mergeCell ref="L6:M6"/>
    <mergeCell ref="N6:N7"/>
    <mergeCell ref="Q6:Q7"/>
    <mergeCell ref="AN6:AN7"/>
    <mergeCell ref="AP6:AQ6"/>
    <mergeCell ref="AK6:AK7"/>
    <mergeCell ref="AL6:AL7"/>
    <mergeCell ref="O6:O7"/>
    <mergeCell ref="P6:P7"/>
    <mergeCell ref="AM6:AM7"/>
    <mergeCell ref="F6:F7"/>
    <mergeCell ref="R6:R7"/>
    <mergeCell ref="S6:S7"/>
    <mergeCell ref="W6:X6"/>
    <mergeCell ref="Y6:Z6"/>
    <mergeCell ref="AJ6:AJ7"/>
    <mergeCell ref="G6:H6"/>
    <mergeCell ref="I6:I7"/>
    <mergeCell ref="J6:J7"/>
    <mergeCell ref="K6:K7"/>
    <mergeCell ref="S3:AS3"/>
    <mergeCell ref="T2:Y2"/>
    <mergeCell ref="S1:Z1"/>
    <mergeCell ref="AO6:AO7"/>
    <mergeCell ref="AR6:AR7"/>
    <mergeCell ref="A6:A7"/>
    <mergeCell ref="B6:B7"/>
    <mergeCell ref="C6:C7"/>
    <mergeCell ref="D6:D7"/>
    <mergeCell ref="E6:E7"/>
  </mergeCells>
  <printOptions/>
  <pageMargins left="0.03937007874015748" right="0.03937007874015748" top="0.6970486111111112" bottom="0.3937007874015748" header="0.31496062992125984" footer="0.31496062992125984"/>
  <pageSetup firstPageNumber="16" useFirstPageNumber="1" horizontalDpi="600" verticalDpi="600" orientation="landscape" paperSize="9" scale="55" r:id="rId1"/>
  <headerFooter>
    <oddHeader>&amp;C&amp;"Times New Roman,обычный"&amp;14&amp;P</oddHeader>
  </headerFooter>
  <rowBreaks count="2" manualBreakCount="2">
    <brk id="32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zoomScalePageLayoutView="0" workbookViewId="0" topLeftCell="A4">
      <selection activeCell="AW7" sqref="AW7"/>
    </sheetView>
  </sheetViews>
  <sheetFormatPr defaultColWidth="9.140625" defaultRowHeight="15"/>
  <cols>
    <col min="1" max="1" width="39.140625" style="14" customWidth="1"/>
    <col min="2" max="2" width="14.7109375" style="14" hidden="1" customWidth="1"/>
    <col min="3" max="3" width="16.28125" style="1" hidden="1" customWidth="1"/>
    <col min="4" max="4" width="16.28125" style="14" hidden="1" customWidth="1"/>
    <col min="5" max="6" width="14.7109375" style="1" hidden="1" customWidth="1"/>
    <col min="7" max="7" width="16.7109375" style="1" hidden="1" customWidth="1"/>
    <col min="8" max="8" width="4.00390625" style="1" hidden="1" customWidth="1"/>
    <col min="9" max="9" width="9.00390625" style="1" hidden="1" customWidth="1"/>
    <col min="10" max="10" width="14.57421875" style="1" hidden="1" customWidth="1"/>
    <col min="11" max="11" width="14.57421875" style="14" hidden="1" customWidth="1"/>
    <col min="12" max="12" width="16.7109375" style="14" hidden="1" customWidth="1"/>
    <col min="13" max="14" width="13.8515625" style="14" hidden="1" customWidth="1"/>
    <col min="15" max="15" width="15.00390625" style="1" hidden="1" customWidth="1"/>
    <col min="16" max="16" width="15.421875" style="1" hidden="1" customWidth="1"/>
    <col min="17" max="17" width="14.7109375" style="1" hidden="1" customWidth="1"/>
    <col min="18" max="18" width="15.7109375" style="1" hidden="1" customWidth="1"/>
    <col min="19" max="19" width="14.57421875" style="1" hidden="1" customWidth="1"/>
    <col min="20" max="21" width="13.00390625" style="1" hidden="1" customWidth="1"/>
    <col min="22" max="22" width="13.00390625" style="14" hidden="1" customWidth="1"/>
    <col min="23" max="23" width="14.28125" style="14" hidden="1" customWidth="1"/>
    <col min="24" max="24" width="14.7109375" style="14" hidden="1" customWidth="1"/>
    <col min="25" max="25" width="7.7109375" style="14" hidden="1" customWidth="1"/>
    <col min="26" max="26" width="9.28125" style="14" hidden="1" customWidth="1"/>
    <col min="27" max="28" width="8.7109375" style="14" hidden="1" customWidth="1"/>
    <col min="29" max="29" width="11.28125" style="14" hidden="1" customWidth="1"/>
    <col min="30" max="30" width="11.00390625" style="14" hidden="1" customWidth="1"/>
    <col min="31" max="31" width="13.28125" style="14" hidden="1" customWidth="1"/>
    <col min="32" max="34" width="12.00390625" style="14" hidden="1" customWidth="1"/>
    <col min="35" max="36" width="14.57421875" style="14" hidden="1" customWidth="1"/>
    <col min="37" max="37" width="15.28125" style="14" hidden="1" customWidth="1"/>
    <col min="38" max="38" width="12.00390625" style="1" customWidth="1"/>
    <col min="39" max="39" width="14.00390625" style="1" customWidth="1"/>
    <col min="40" max="40" width="13.57421875" style="1" customWidth="1"/>
    <col min="41" max="41" width="15.57421875" style="1" hidden="1" customWidth="1"/>
    <col min="42" max="42" width="0" style="1" hidden="1" customWidth="1"/>
    <col min="43" max="43" width="18.140625" style="1" customWidth="1"/>
    <col min="44" max="44" width="13.421875" style="1" hidden="1" customWidth="1"/>
    <col min="45" max="45" width="14.140625" style="1" hidden="1" customWidth="1"/>
    <col min="46" max="46" width="15.140625" style="1" customWidth="1"/>
    <col min="47" max="16384" width="9.140625" style="1" customWidth="1"/>
  </cols>
  <sheetData>
    <row r="1" spans="1:22" ht="15.75">
      <c r="A1" s="5"/>
      <c r="B1" s="5"/>
      <c r="T1" s="136" t="s">
        <v>18</v>
      </c>
      <c r="U1" s="136"/>
      <c r="V1" s="37"/>
    </row>
    <row r="2" spans="1:22" ht="2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38"/>
    </row>
    <row r="3" spans="1:19" ht="13.5" customHeight="1">
      <c r="A3" s="6"/>
      <c r="B3" s="6"/>
      <c r="C3" s="2"/>
      <c r="D3" s="6"/>
      <c r="E3" s="2"/>
      <c r="F3" s="2"/>
      <c r="G3" s="2"/>
      <c r="H3" s="2"/>
      <c r="I3" s="2"/>
      <c r="J3" s="2"/>
      <c r="K3" s="6"/>
      <c r="L3" s="6"/>
      <c r="M3" s="6"/>
      <c r="N3" s="6"/>
      <c r="O3" s="2"/>
      <c r="P3" s="2"/>
      <c r="Q3" s="2"/>
      <c r="R3" s="2"/>
      <c r="S3" s="83"/>
    </row>
    <row r="4" spans="1:46" ht="131.25" customHeight="1">
      <c r="A4" s="107" t="s">
        <v>21</v>
      </c>
      <c r="B4" s="103" t="s">
        <v>42</v>
      </c>
      <c r="C4" s="103" t="s">
        <v>36</v>
      </c>
      <c r="D4" s="103" t="s">
        <v>43</v>
      </c>
      <c r="E4" s="103" t="s">
        <v>44</v>
      </c>
      <c r="F4" s="103" t="s">
        <v>49</v>
      </c>
      <c r="G4" s="124" t="s">
        <v>39</v>
      </c>
      <c r="H4" s="124"/>
      <c r="I4" s="107"/>
      <c r="J4" s="110" t="s">
        <v>25</v>
      </c>
      <c r="K4" s="133" t="s">
        <v>32</v>
      </c>
      <c r="L4" s="114" t="s">
        <v>24</v>
      </c>
      <c r="M4" s="116"/>
      <c r="N4" s="121" t="s">
        <v>51</v>
      </c>
      <c r="O4" s="110" t="s">
        <v>26</v>
      </c>
      <c r="P4" s="110" t="s">
        <v>27</v>
      </c>
      <c r="Q4" s="110" t="s">
        <v>31</v>
      </c>
      <c r="R4" s="110" t="s">
        <v>28</v>
      </c>
      <c r="S4" s="110" t="s">
        <v>50</v>
      </c>
      <c r="T4" s="133" t="s">
        <v>33</v>
      </c>
      <c r="U4" s="133" t="s">
        <v>35</v>
      </c>
      <c r="V4" s="133" t="s">
        <v>41</v>
      </c>
      <c r="W4" s="125" t="s">
        <v>29</v>
      </c>
      <c r="X4" s="125"/>
      <c r="Y4" s="114" t="s">
        <v>30</v>
      </c>
      <c r="Z4" s="115"/>
      <c r="AA4" s="114" t="s">
        <v>16</v>
      </c>
      <c r="AB4" s="116"/>
      <c r="AC4" s="78"/>
      <c r="AD4" s="78"/>
      <c r="AE4" s="78"/>
      <c r="AF4" s="78"/>
      <c r="AG4" s="78"/>
      <c r="AH4" s="78"/>
      <c r="AI4" s="78"/>
      <c r="AJ4" s="78"/>
      <c r="AK4" s="78"/>
      <c r="AL4" s="112" t="s">
        <v>40</v>
      </c>
      <c r="AM4" s="112" t="s">
        <v>36</v>
      </c>
      <c r="AN4" s="112" t="s">
        <v>37</v>
      </c>
      <c r="AO4" s="112" t="s">
        <v>38</v>
      </c>
      <c r="AP4" s="112" t="s">
        <v>35</v>
      </c>
      <c r="AQ4" s="112" t="s">
        <v>61</v>
      </c>
      <c r="AR4" s="132" t="s">
        <v>39</v>
      </c>
      <c r="AS4" s="132"/>
      <c r="AT4" s="105" t="s">
        <v>62</v>
      </c>
    </row>
    <row r="5" spans="1:46" ht="63.75" customHeight="1">
      <c r="A5" s="108"/>
      <c r="B5" s="104"/>
      <c r="C5" s="109"/>
      <c r="D5" s="109"/>
      <c r="E5" s="123"/>
      <c r="F5" s="123"/>
      <c r="G5" s="82" t="s">
        <v>12</v>
      </c>
      <c r="H5" s="82" t="s">
        <v>14</v>
      </c>
      <c r="I5" s="108"/>
      <c r="J5" s="111"/>
      <c r="K5" s="135"/>
      <c r="L5" s="39" t="s">
        <v>12</v>
      </c>
      <c r="M5" s="39" t="s">
        <v>14</v>
      </c>
      <c r="N5" s="104"/>
      <c r="O5" s="111"/>
      <c r="P5" s="111"/>
      <c r="Q5" s="111"/>
      <c r="R5" s="111"/>
      <c r="S5" s="111"/>
      <c r="T5" s="134"/>
      <c r="U5" s="104"/>
      <c r="V5" s="134"/>
      <c r="W5" s="39" t="s">
        <v>12</v>
      </c>
      <c r="X5" s="39" t="s">
        <v>14</v>
      </c>
      <c r="Y5" s="39" t="s">
        <v>17</v>
      </c>
      <c r="Z5" s="39" t="s">
        <v>19</v>
      </c>
      <c r="AA5" s="39" t="s">
        <v>12</v>
      </c>
      <c r="AB5" s="39" t="s">
        <v>14</v>
      </c>
      <c r="AC5" s="39" t="s">
        <v>53</v>
      </c>
      <c r="AD5" s="39" t="s">
        <v>52</v>
      </c>
      <c r="AE5" s="39" t="s">
        <v>57</v>
      </c>
      <c r="AF5" s="39" t="s">
        <v>58</v>
      </c>
      <c r="AG5" s="39" t="s">
        <v>55</v>
      </c>
      <c r="AH5" s="39" t="s">
        <v>54</v>
      </c>
      <c r="AI5" s="39" t="s">
        <v>56</v>
      </c>
      <c r="AJ5" s="39" t="s">
        <v>59</v>
      </c>
      <c r="AK5" s="39" t="s">
        <v>60</v>
      </c>
      <c r="AL5" s="131"/>
      <c r="AM5" s="113"/>
      <c r="AN5" s="113"/>
      <c r="AO5" s="131"/>
      <c r="AP5" s="131"/>
      <c r="AQ5" s="131"/>
      <c r="AR5" s="89" t="s">
        <v>12</v>
      </c>
      <c r="AS5" s="89" t="s">
        <v>14</v>
      </c>
      <c r="AT5" s="106"/>
    </row>
    <row r="6" spans="1:46" ht="12.75">
      <c r="A6" s="7">
        <v>1</v>
      </c>
      <c r="B6" s="30"/>
      <c r="C6" s="30">
        <v>7</v>
      </c>
      <c r="D6" s="30">
        <v>8</v>
      </c>
      <c r="E6" s="30"/>
      <c r="F6" s="30"/>
      <c r="G6" s="30">
        <v>9</v>
      </c>
      <c r="H6" s="30">
        <v>10</v>
      </c>
      <c r="I6" s="7"/>
      <c r="J6" s="4">
        <v>2</v>
      </c>
      <c r="K6" s="16"/>
      <c r="L6" s="7">
        <v>3</v>
      </c>
      <c r="M6" s="7">
        <v>4</v>
      </c>
      <c r="N6" s="7"/>
      <c r="O6" s="7">
        <v>5</v>
      </c>
      <c r="P6" s="4">
        <v>6</v>
      </c>
      <c r="Q6" s="7">
        <v>7</v>
      </c>
      <c r="R6" s="4">
        <v>8</v>
      </c>
      <c r="S6" s="4"/>
      <c r="T6" s="16"/>
      <c r="U6" s="16"/>
      <c r="V6" s="16"/>
      <c r="W6" s="7">
        <v>9</v>
      </c>
      <c r="X6" s="7">
        <v>10</v>
      </c>
      <c r="Y6" s="7">
        <v>11</v>
      </c>
      <c r="Z6" s="7">
        <v>12</v>
      </c>
      <c r="AA6" s="7">
        <v>13</v>
      </c>
      <c r="AB6" s="7">
        <v>14</v>
      </c>
      <c r="AC6" s="7"/>
      <c r="AD6" s="7"/>
      <c r="AE6" s="7"/>
      <c r="AF6" s="7"/>
      <c r="AG6" s="7"/>
      <c r="AH6" s="7"/>
      <c r="AI6" s="7"/>
      <c r="AJ6" s="7"/>
      <c r="AK6" s="7"/>
      <c r="AL6" s="90"/>
      <c r="AM6" s="90">
        <v>7</v>
      </c>
      <c r="AN6" s="90">
        <v>8</v>
      </c>
      <c r="AO6" s="90"/>
      <c r="AP6" s="90"/>
      <c r="AQ6" s="90"/>
      <c r="AR6" s="90">
        <v>9</v>
      </c>
      <c r="AS6" s="90">
        <v>10</v>
      </c>
      <c r="AT6" s="81"/>
    </row>
    <row r="7" spans="1:46" ht="43.5" customHeight="1">
      <c r="A7" s="8" t="s">
        <v>22</v>
      </c>
      <c r="B7" s="31"/>
      <c r="C7" s="31" t="s">
        <v>13</v>
      </c>
      <c r="D7" s="31">
        <v>26747</v>
      </c>
      <c r="E7" s="31"/>
      <c r="F7" s="31"/>
      <c r="G7" s="31" t="s">
        <v>13</v>
      </c>
      <c r="H7" s="31" t="s">
        <v>13</v>
      </c>
      <c r="I7" s="8"/>
      <c r="J7" s="17" t="s">
        <v>13</v>
      </c>
      <c r="K7" s="18"/>
      <c r="L7" s="17" t="s">
        <v>13</v>
      </c>
      <c r="M7" s="17" t="s">
        <v>13</v>
      </c>
      <c r="N7" s="17"/>
      <c r="O7" s="17">
        <v>28138</v>
      </c>
      <c r="P7" s="17"/>
      <c r="Q7" s="17" t="s">
        <v>13</v>
      </c>
      <c r="R7" s="17">
        <v>29425.5</v>
      </c>
      <c r="S7" s="17"/>
      <c r="T7" s="18"/>
      <c r="U7" s="18"/>
      <c r="V7" s="18"/>
      <c r="W7" s="17" t="s">
        <v>13</v>
      </c>
      <c r="X7" s="17" t="s">
        <v>13</v>
      </c>
      <c r="Y7" s="17" t="s">
        <v>13</v>
      </c>
      <c r="Z7" s="17" t="s">
        <v>13</v>
      </c>
      <c r="AA7" s="17" t="s">
        <v>13</v>
      </c>
      <c r="AB7" s="17" t="s">
        <v>13</v>
      </c>
      <c r="AC7" s="17">
        <v>29549</v>
      </c>
      <c r="AD7" s="17"/>
      <c r="AE7" s="17"/>
      <c r="AF7" s="17"/>
      <c r="AG7" s="17"/>
      <c r="AH7" s="17"/>
      <c r="AI7" s="17"/>
      <c r="AJ7" s="17"/>
      <c r="AK7" s="17"/>
      <c r="AL7" s="67"/>
      <c r="AM7" s="67" t="s">
        <v>13</v>
      </c>
      <c r="AN7" s="67">
        <v>30956</v>
      </c>
      <c r="AO7" s="67"/>
      <c r="AP7" s="67"/>
      <c r="AQ7" s="67"/>
      <c r="AR7" s="67" t="s">
        <v>13</v>
      </c>
      <c r="AS7" s="67" t="s">
        <v>13</v>
      </c>
      <c r="AT7" s="81"/>
    </row>
    <row r="8" spans="1:46" ht="41.25" customHeight="1">
      <c r="A8" s="8" t="s">
        <v>23</v>
      </c>
      <c r="B8" s="31"/>
      <c r="C8" s="31" t="s">
        <v>13</v>
      </c>
      <c r="D8" s="32"/>
      <c r="E8" s="32"/>
      <c r="F8" s="32"/>
      <c r="G8" s="31" t="s">
        <v>13</v>
      </c>
      <c r="H8" s="31" t="s">
        <v>13</v>
      </c>
      <c r="I8" s="8"/>
      <c r="J8" s="17" t="s">
        <v>13</v>
      </c>
      <c r="K8" s="18"/>
      <c r="L8" s="17" t="s">
        <v>13</v>
      </c>
      <c r="M8" s="17" t="s">
        <v>13</v>
      </c>
      <c r="N8" s="17"/>
      <c r="O8" s="17" t="s">
        <v>13</v>
      </c>
      <c r="P8" s="17" t="s">
        <v>13</v>
      </c>
      <c r="Q8" s="17" t="s">
        <v>13</v>
      </c>
      <c r="R8" s="19"/>
      <c r="S8" s="19"/>
      <c r="T8" s="20"/>
      <c r="U8" s="20"/>
      <c r="V8" s="20"/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  <c r="AB8" s="17" t="s">
        <v>13</v>
      </c>
      <c r="AC8" s="17"/>
      <c r="AD8" s="17"/>
      <c r="AE8" s="17"/>
      <c r="AF8" s="17"/>
      <c r="AG8" s="17"/>
      <c r="AH8" s="17"/>
      <c r="AI8" s="17"/>
      <c r="AJ8" s="17"/>
      <c r="AK8" s="17"/>
      <c r="AL8" s="67"/>
      <c r="AM8" s="67" t="s">
        <v>13</v>
      </c>
      <c r="AN8" s="68"/>
      <c r="AO8" s="68"/>
      <c r="AP8" s="68"/>
      <c r="AQ8" s="68"/>
      <c r="AR8" s="67" t="s">
        <v>13</v>
      </c>
      <c r="AS8" s="67" t="s">
        <v>13</v>
      </c>
      <c r="AT8" s="81"/>
    </row>
    <row r="9" spans="1:46" ht="30" customHeight="1">
      <c r="A9" s="8" t="s">
        <v>11</v>
      </c>
      <c r="B9" s="32">
        <f>SUM(B10:B13)</f>
        <v>19930</v>
      </c>
      <c r="C9" s="32" t="s">
        <v>34</v>
      </c>
      <c r="D9" s="32" t="s">
        <v>34</v>
      </c>
      <c r="E9" s="32">
        <f>SUM(E10:E15)</f>
        <v>8709310.271592</v>
      </c>
      <c r="F9" s="32">
        <f>SUM(F10:F15)</f>
        <v>-21304.93327200081</v>
      </c>
      <c r="G9" s="32" t="e">
        <f>SUM(G10:G15)</f>
        <v>#REF!</v>
      </c>
      <c r="H9" s="32" t="e">
        <f>SUM(H10:H15)</f>
        <v>#REF!</v>
      </c>
      <c r="I9" s="8"/>
      <c r="J9" s="19">
        <f>SUM(J10:J15)</f>
        <v>21403</v>
      </c>
      <c r="K9" s="20">
        <f>SUM(K10:K15)</f>
        <v>21282</v>
      </c>
      <c r="L9" s="19">
        <f aca="true" t="shared" si="0" ref="L9:AL9">SUM(L10:L15)</f>
        <v>6672815.16</v>
      </c>
      <c r="M9" s="19">
        <f t="shared" si="0"/>
        <v>6672815.16</v>
      </c>
      <c r="N9" s="19">
        <f t="shared" si="0"/>
        <v>8688005.33832</v>
      </c>
      <c r="O9" s="19" t="s">
        <v>34</v>
      </c>
      <c r="P9" s="19" t="s">
        <v>34</v>
      </c>
      <c r="Q9" s="19" t="s">
        <v>34</v>
      </c>
      <c r="R9" s="19" t="s">
        <v>34</v>
      </c>
      <c r="S9" s="19">
        <f t="shared" si="0"/>
        <v>224635.40000000002</v>
      </c>
      <c r="T9" s="20">
        <f t="shared" si="0"/>
        <v>7166531.034</v>
      </c>
      <c r="U9" s="20">
        <f t="shared" si="0"/>
        <v>0</v>
      </c>
      <c r="V9" s="20">
        <f t="shared" si="0"/>
        <v>9330823.406268</v>
      </c>
      <c r="W9" s="19">
        <f t="shared" si="0"/>
        <v>642818.0679480002</v>
      </c>
      <c r="X9" s="19">
        <f t="shared" si="0"/>
        <v>637485.1679480001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 t="s">
        <v>34</v>
      </c>
      <c r="AD9" s="19">
        <f t="shared" si="0"/>
        <v>482.1999999999971</v>
      </c>
      <c r="AE9" s="19">
        <f t="shared" si="0"/>
        <v>31581.53958959993</v>
      </c>
      <c r="AF9" s="19"/>
      <c r="AG9" s="19" t="s">
        <v>34</v>
      </c>
      <c r="AH9" s="19">
        <f>SUM(AH10:AH15)</f>
        <v>301695.88397759997</v>
      </c>
      <c r="AI9" s="19">
        <f>SUM(AI10:AI15)</f>
        <v>78924.3</v>
      </c>
      <c r="AJ9" s="19">
        <f>SUM(AJ10:AJ15)</f>
        <v>222771.58397759992</v>
      </c>
      <c r="AK9" s="19">
        <f>AK10+AK11+AK12+AK13+AK15</f>
        <v>236686.99678079996</v>
      </c>
      <c r="AL9" s="68">
        <f t="shared" si="0"/>
        <v>21650</v>
      </c>
      <c r="AM9" s="68" t="s">
        <v>34</v>
      </c>
      <c r="AN9" s="68" t="s">
        <v>34</v>
      </c>
      <c r="AO9" s="68">
        <f aca="true" t="shared" si="1" ref="AO9:AT9">SUM(AO10:AO15)</f>
        <v>9982896.2631216</v>
      </c>
      <c r="AP9" s="68">
        <f t="shared" si="1"/>
        <v>0</v>
      </c>
      <c r="AQ9" s="68">
        <f t="shared" si="1"/>
        <v>888759.8536344001</v>
      </c>
      <c r="AR9" s="68">
        <f t="shared" si="1"/>
        <v>652072.8568536001</v>
      </c>
      <c r="AS9" s="68">
        <f t="shared" si="1"/>
        <v>652072.8568536001</v>
      </c>
      <c r="AT9" s="68">
        <f t="shared" si="1"/>
        <v>534518.6000000001</v>
      </c>
    </row>
    <row r="10" spans="1:46" ht="40.5" customHeight="1">
      <c r="A10" s="9" t="s">
        <v>0</v>
      </c>
      <c r="B10" s="33">
        <v>12153</v>
      </c>
      <c r="C10" s="35">
        <v>108.2</v>
      </c>
      <c r="D10" s="33">
        <v>28959</v>
      </c>
      <c r="E10" s="33">
        <f aca="true" t="shared" si="2" ref="E10:E15">B10*D10*12*1.302/1000</f>
        <v>5498690.670648</v>
      </c>
      <c r="F10" s="33">
        <f>L10*1.302-E10</f>
        <v>-3383.22096000053</v>
      </c>
      <c r="G10" s="33" t="e">
        <f>(E10-#REF!)*1.302</f>
        <v>#REF!</v>
      </c>
      <c r="H10" s="33" t="e">
        <f>G10</f>
        <v>#REF!</v>
      </c>
      <c r="I10" s="9"/>
      <c r="J10" s="22">
        <v>12256</v>
      </c>
      <c r="K10" s="23">
        <v>12213</v>
      </c>
      <c r="L10" s="22">
        <f aca="true" t="shared" si="3" ref="L10:L15">K10*P10*12/1000</f>
        <v>4220666.244</v>
      </c>
      <c r="M10" s="22">
        <f>L10</f>
        <v>4220666.244</v>
      </c>
      <c r="N10" s="22">
        <f>L10*1.302</f>
        <v>5495307.449688</v>
      </c>
      <c r="O10" s="24">
        <v>100</v>
      </c>
      <c r="P10" s="24">
        <v>28799</v>
      </c>
      <c r="Q10" s="24">
        <f>R10/R7*100</f>
        <v>100</v>
      </c>
      <c r="R10" s="22">
        <v>29425.5</v>
      </c>
      <c r="S10" s="22">
        <v>0</v>
      </c>
      <c r="T10" s="23">
        <f>SUM(R10*J10*12/1000)</f>
        <v>4327667.136</v>
      </c>
      <c r="U10" s="23"/>
      <c r="V10" s="23">
        <f>T10*1.302</f>
        <v>5634622.611072</v>
      </c>
      <c r="W10" s="22">
        <f>(T10-L10)*1.302+S10</f>
        <v>139315.161384</v>
      </c>
      <c r="X10" s="22">
        <f>W10</f>
        <v>139315.161384</v>
      </c>
      <c r="Y10" s="22">
        <v>0</v>
      </c>
      <c r="Z10" s="22">
        <v>0</v>
      </c>
      <c r="AA10" s="22">
        <v>0</v>
      </c>
      <c r="AB10" s="22">
        <v>0</v>
      </c>
      <c r="AC10" s="22">
        <v>29549</v>
      </c>
      <c r="AD10" s="22">
        <f aca="true" t="shared" si="4" ref="AD10:AD15">AC10-R10</f>
        <v>123.5</v>
      </c>
      <c r="AE10" s="22">
        <f>AD10*J10*12*1.302/1000</f>
        <v>23648.736384</v>
      </c>
      <c r="AF10" s="22">
        <v>29282</v>
      </c>
      <c r="AG10" s="22">
        <f aca="true" t="shared" si="5" ref="AG10:AG15">AC10-AF10</f>
        <v>267</v>
      </c>
      <c r="AH10" s="22">
        <f aca="true" t="shared" si="6" ref="AH10:AH15">AG10*J10*12*1.302/1000</f>
        <v>51127.227648</v>
      </c>
      <c r="AI10" s="22"/>
      <c r="AJ10" s="22">
        <f>AH10-AI10</f>
        <v>51127.227648</v>
      </c>
      <c r="AK10" s="19">
        <f aca="true" t="shared" si="7" ref="AK10:AK23">AJ10</f>
        <v>51127.227648</v>
      </c>
      <c r="AL10" s="69">
        <v>12359</v>
      </c>
      <c r="AM10" s="70">
        <v>100</v>
      </c>
      <c r="AN10" s="67">
        <v>30956</v>
      </c>
      <c r="AO10" s="69">
        <f aca="true" t="shared" si="8" ref="AO10:AO15">AN10*AL10*12*1.302/1000</f>
        <v>5977511.227296</v>
      </c>
      <c r="AP10" s="69"/>
      <c r="AQ10" s="69">
        <f>AR10+AK10</f>
        <v>394015.84387200023</v>
      </c>
      <c r="AR10" s="69">
        <f aca="true" t="shared" si="9" ref="AR10:AR15">(AO10-V10)</f>
        <v>342888.61622400023</v>
      </c>
      <c r="AS10" s="69">
        <f>AR10</f>
        <v>342888.61622400023</v>
      </c>
      <c r="AT10" s="86">
        <v>293072</v>
      </c>
    </row>
    <row r="11" spans="1:46" ht="30" customHeight="1">
      <c r="A11" s="10" t="s">
        <v>4</v>
      </c>
      <c r="B11" s="33">
        <v>4775</v>
      </c>
      <c r="C11" s="35">
        <v>94.4</v>
      </c>
      <c r="D11" s="33">
        <v>21547</v>
      </c>
      <c r="E11" s="33">
        <f t="shared" si="2"/>
        <v>1607505.3162</v>
      </c>
      <c r="F11" s="33">
        <f aca="true" t="shared" si="10" ref="F11:F23">L11*1.302-E11</f>
        <v>-32857.19388000015</v>
      </c>
      <c r="G11" s="33" t="e">
        <f>(E11-#REF!)*1.302</f>
        <v>#REF!</v>
      </c>
      <c r="H11" s="33" t="e">
        <f>G11</f>
        <v>#REF!</v>
      </c>
      <c r="I11" s="10"/>
      <c r="J11" s="42">
        <v>4888</v>
      </c>
      <c r="K11" s="23">
        <v>4810</v>
      </c>
      <c r="L11" s="22">
        <f t="shared" si="3"/>
        <v>1209407.16</v>
      </c>
      <c r="M11" s="22">
        <f>L11</f>
        <v>1209407.16</v>
      </c>
      <c r="N11" s="22">
        <f aca="true" t="shared" si="11" ref="N11:N23">L11*1.302</f>
        <v>1574648.1223199998</v>
      </c>
      <c r="O11" s="24">
        <v>100</v>
      </c>
      <c r="P11" s="24">
        <v>20953</v>
      </c>
      <c r="Q11" s="24">
        <v>100</v>
      </c>
      <c r="R11" s="63">
        <v>23691</v>
      </c>
      <c r="S11" s="42">
        <v>179461.6</v>
      </c>
      <c r="T11" s="23">
        <f>SUM(R11*J11*12/1000)</f>
        <v>1389619.296</v>
      </c>
      <c r="U11" s="23"/>
      <c r="V11" s="23">
        <f aca="true" t="shared" si="12" ref="V11:V23">T11*1.302</f>
        <v>1809284.3233920003</v>
      </c>
      <c r="W11" s="22">
        <f>(T11-L11)*1.302</f>
        <v>234636.20107200023</v>
      </c>
      <c r="X11" s="22">
        <f aca="true" t="shared" si="13" ref="X11:X19">W11</f>
        <v>234636.20107200023</v>
      </c>
      <c r="Y11" s="22">
        <v>0</v>
      </c>
      <c r="Z11" s="22">
        <v>0</v>
      </c>
      <c r="AA11" s="22">
        <v>0</v>
      </c>
      <c r="AB11" s="22">
        <v>0</v>
      </c>
      <c r="AC11" s="22">
        <v>23691</v>
      </c>
      <c r="AD11" s="22">
        <f t="shared" si="4"/>
        <v>0</v>
      </c>
      <c r="AE11" s="22">
        <f aca="true" t="shared" si="14" ref="AE11:AE23">AD11*J11*12*1.302/1000</f>
        <v>0</v>
      </c>
      <c r="AF11" s="22">
        <v>22815</v>
      </c>
      <c r="AG11" s="22">
        <f t="shared" si="5"/>
        <v>876</v>
      </c>
      <c r="AH11" s="22">
        <f t="shared" si="6"/>
        <v>66900.218112</v>
      </c>
      <c r="AI11" s="22"/>
      <c r="AJ11" s="22">
        <f aca="true" t="shared" si="15" ref="AJ11:AJ23">AH11-AI11</f>
        <v>66900.218112</v>
      </c>
      <c r="AK11" s="19">
        <f t="shared" si="7"/>
        <v>66900.218112</v>
      </c>
      <c r="AL11" s="71">
        <v>4882</v>
      </c>
      <c r="AM11" s="70">
        <v>100</v>
      </c>
      <c r="AN11" s="71">
        <v>24554.7</v>
      </c>
      <c r="AO11" s="69">
        <f t="shared" si="8"/>
        <v>1872943.3333296003</v>
      </c>
      <c r="AP11" s="69"/>
      <c r="AQ11" s="69">
        <f aca="true" t="shared" si="16" ref="AQ11:AQ23">AR11+AK11</f>
        <v>130559.2280496</v>
      </c>
      <c r="AR11" s="69">
        <f t="shared" si="9"/>
        <v>63659.0099376</v>
      </c>
      <c r="AS11" s="69">
        <f aca="true" t="shared" si="17" ref="AS11:AS19">AR11</f>
        <v>63659.0099376</v>
      </c>
      <c r="AT11" s="86">
        <v>65960.9</v>
      </c>
    </row>
    <row r="12" spans="1:46" ht="25.5">
      <c r="A12" s="10" t="s">
        <v>1</v>
      </c>
      <c r="B12" s="33">
        <v>1847</v>
      </c>
      <c r="C12" s="35">
        <v>75.5</v>
      </c>
      <c r="D12" s="33">
        <v>22581</v>
      </c>
      <c r="E12" s="33">
        <f t="shared" si="2"/>
        <v>651631.8397680001</v>
      </c>
      <c r="F12" s="33">
        <f t="shared" si="10"/>
        <v>22391.269991999958</v>
      </c>
      <c r="G12" s="33" t="e">
        <f>(E12-#REF!)*1.302</f>
        <v>#REF!</v>
      </c>
      <c r="H12" s="33" t="e">
        <f>G12</f>
        <v>#REF!</v>
      </c>
      <c r="I12" s="10"/>
      <c r="J12" s="22">
        <v>1872</v>
      </c>
      <c r="K12" s="23">
        <v>1872</v>
      </c>
      <c r="L12" s="22">
        <f t="shared" si="3"/>
        <v>517682.88</v>
      </c>
      <c r="M12" s="22">
        <f>L12</f>
        <v>517682.88</v>
      </c>
      <c r="N12" s="22">
        <f t="shared" si="11"/>
        <v>674023.10976</v>
      </c>
      <c r="O12" s="24">
        <v>80.2</v>
      </c>
      <c r="P12" s="24">
        <v>23045</v>
      </c>
      <c r="Q12" s="24">
        <v>95</v>
      </c>
      <c r="R12" s="42">
        <v>27954</v>
      </c>
      <c r="S12" s="22">
        <v>19131.2</v>
      </c>
      <c r="T12" s="23">
        <f>SUM(R12*J12*12/1000)</f>
        <v>627958.656</v>
      </c>
      <c r="U12" s="23"/>
      <c r="V12" s="23">
        <f t="shared" si="12"/>
        <v>817602.170112</v>
      </c>
      <c r="W12" s="22">
        <f>(T12-L12)*1.302</f>
        <v>143579.06035199994</v>
      </c>
      <c r="X12" s="23">
        <f>W12-5332.9</f>
        <v>138246.16035199995</v>
      </c>
      <c r="Y12" s="22">
        <v>0</v>
      </c>
      <c r="Z12" s="22">
        <v>0</v>
      </c>
      <c r="AA12" s="22">
        <v>0</v>
      </c>
      <c r="AB12" s="22">
        <v>0</v>
      </c>
      <c r="AC12" s="22">
        <v>28071.6</v>
      </c>
      <c r="AD12" s="22">
        <f t="shared" si="4"/>
        <v>117.59999999999854</v>
      </c>
      <c r="AE12" s="22">
        <f t="shared" si="14"/>
        <v>3439.5798527999577</v>
      </c>
      <c r="AF12" s="22">
        <v>23398</v>
      </c>
      <c r="AG12" s="22">
        <f t="shared" si="5"/>
        <v>4673.5999999999985</v>
      </c>
      <c r="AH12" s="22">
        <f t="shared" si="6"/>
        <v>136694.05102079996</v>
      </c>
      <c r="AI12" s="22">
        <v>18034.5</v>
      </c>
      <c r="AJ12" s="22">
        <f t="shared" si="15"/>
        <v>118659.55102079996</v>
      </c>
      <c r="AK12" s="19">
        <f t="shared" si="7"/>
        <v>118659.55102079996</v>
      </c>
      <c r="AL12" s="71">
        <v>1889</v>
      </c>
      <c r="AM12" s="70">
        <v>100</v>
      </c>
      <c r="AN12" s="71">
        <v>30956</v>
      </c>
      <c r="AO12" s="69">
        <f t="shared" si="8"/>
        <v>913627.211616</v>
      </c>
      <c r="AP12" s="69"/>
      <c r="AQ12" s="69">
        <f t="shared" si="16"/>
        <v>214684.59252480004</v>
      </c>
      <c r="AR12" s="69">
        <f t="shared" si="9"/>
        <v>96025.04150400008</v>
      </c>
      <c r="AS12" s="69">
        <f t="shared" si="17"/>
        <v>96025.04150400008</v>
      </c>
      <c r="AT12" s="86">
        <v>82802.2</v>
      </c>
    </row>
    <row r="13" spans="1:46" ht="32.25" customHeight="1">
      <c r="A13" s="10" t="s">
        <v>20</v>
      </c>
      <c r="B13" s="33">
        <v>1155</v>
      </c>
      <c r="C13" s="35">
        <v>101.5</v>
      </c>
      <c r="D13" s="33">
        <v>27047</v>
      </c>
      <c r="E13" s="33">
        <f t="shared" si="2"/>
        <v>488082.58884000004</v>
      </c>
      <c r="F13" s="33">
        <f t="shared" si="10"/>
        <v>31310.54287199996</v>
      </c>
      <c r="G13" s="33" t="e">
        <f>(E13-#REF!)*1.302</f>
        <v>#REF!</v>
      </c>
      <c r="H13" s="33" t="e">
        <f>G13</f>
        <v>#REF!</v>
      </c>
      <c r="I13" s="10"/>
      <c r="J13" s="75">
        <v>1222</v>
      </c>
      <c r="K13" s="23">
        <v>1222</v>
      </c>
      <c r="L13" s="22">
        <f t="shared" si="3"/>
        <v>398919.456</v>
      </c>
      <c r="M13" s="22">
        <f>L13</f>
        <v>398919.456</v>
      </c>
      <c r="N13" s="22">
        <f t="shared" si="11"/>
        <v>519393.131712</v>
      </c>
      <c r="O13" s="24">
        <v>90</v>
      </c>
      <c r="P13" s="24">
        <v>27204</v>
      </c>
      <c r="Q13" s="24">
        <f>R13/R7*100</f>
        <v>94.99923535708824</v>
      </c>
      <c r="R13" s="22">
        <v>27954</v>
      </c>
      <c r="S13" s="22">
        <v>0</v>
      </c>
      <c r="T13" s="23">
        <f>SUM(R13*J13*12/1000)</f>
        <v>409917.456</v>
      </c>
      <c r="U13" s="23"/>
      <c r="V13" s="23">
        <f t="shared" si="12"/>
        <v>533712.5277120001</v>
      </c>
      <c r="W13" s="22">
        <f>(T13-L13)*1.302</f>
        <v>14319.396</v>
      </c>
      <c r="X13" s="22">
        <f>W13</f>
        <v>14319.396</v>
      </c>
      <c r="Y13" s="22">
        <v>0</v>
      </c>
      <c r="Z13" s="22">
        <v>0</v>
      </c>
      <c r="AA13" s="22">
        <v>0</v>
      </c>
      <c r="AB13" s="22">
        <v>0</v>
      </c>
      <c r="AC13" s="22">
        <v>28071.6</v>
      </c>
      <c r="AD13" s="22">
        <f t="shared" si="4"/>
        <v>117.59999999999854</v>
      </c>
      <c r="AE13" s="22">
        <f t="shared" si="14"/>
        <v>2245.281292799972</v>
      </c>
      <c r="AF13" s="22">
        <v>27701</v>
      </c>
      <c r="AG13" s="22">
        <f t="shared" si="5"/>
        <v>370.59999999999854</v>
      </c>
      <c r="AH13" s="22">
        <f t="shared" si="6"/>
        <v>7075.690876799972</v>
      </c>
      <c r="AI13" s="22">
        <v>12153.9</v>
      </c>
      <c r="AJ13" s="22">
        <f t="shared" si="15"/>
        <v>-5078.2091232000275</v>
      </c>
      <c r="AK13" s="20">
        <v>0</v>
      </c>
      <c r="AL13" s="71">
        <v>1355</v>
      </c>
      <c r="AM13" s="70">
        <v>100</v>
      </c>
      <c r="AN13" s="67">
        <v>30956</v>
      </c>
      <c r="AO13" s="69">
        <f t="shared" si="8"/>
        <v>655354.61712</v>
      </c>
      <c r="AP13" s="69"/>
      <c r="AQ13" s="69">
        <f t="shared" si="16"/>
        <v>121642.08940799988</v>
      </c>
      <c r="AR13" s="69">
        <f t="shared" si="9"/>
        <v>121642.08940799988</v>
      </c>
      <c r="AS13" s="69">
        <f t="shared" si="17"/>
        <v>121642.08940799988</v>
      </c>
      <c r="AT13" s="86">
        <v>64825.4</v>
      </c>
    </row>
    <row r="14" spans="1:46" ht="29.25" customHeight="1" hidden="1">
      <c r="A14" s="28" t="s">
        <v>2</v>
      </c>
      <c r="B14" s="29"/>
      <c r="C14" s="29"/>
      <c r="D14" s="29"/>
      <c r="E14" s="29"/>
      <c r="F14" s="29"/>
      <c r="G14" s="29"/>
      <c r="H14" s="29"/>
      <c r="I14" s="28"/>
      <c r="J14" s="29"/>
      <c r="K14" s="29"/>
      <c r="L14" s="22">
        <f t="shared" si="3"/>
        <v>0</v>
      </c>
      <c r="M14" s="29"/>
      <c r="N14" s="22">
        <f t="shared" si="11"/>
        <v>0</v>
      </c>
      <c r="O14" s="36"/>
      <c r="P14" s="29"/>
      <c r="Q14" s="29"/>
      <c r="R14" s="29"/>
      <c r="S14" s="29"/>
      <c r="T14" s="29"/>
      <c r="U14" s="29"/>
      <c r="V14" s="29"/>
      <c r="W14" s="22">
        <f>(T14-L14)*1.302+S14</f>
        <v>0</v>
      </c>
      <c r="X14" s="29"/>
      <c r="Y14" s="29"/>
      <c r="Z14" s="29"/>
      <c r="AA14" s="29"/>
      <c r="AB14" s="29"/>
      <c r="AC14" s="29"/>
      <c r="AD14" s="22">
        <f t="shared" si="4"/>
        <v>0</v>
      </c>
      <c r="AE14" s="22">
        <f t="shared" si="14"/>
        <v>0</v>
      </c>
      <c r="AF14" s="22"/>
      <c r="AG14" s="22">
        <f t="shared" si="5"/>
        <v>0</v>
      </c>
      <c r="AH14" s="22">
        <f t="shared" si="6"/>
        <v>0</v>
      </c>
      <c r="AI14" s="22"/>
      <c r="AJ14" s="22">
        <f t="shared" si="15"/>
        <v>0</v>
      </c>
      <c r="AK14" s="20">
        <f t="shared" si="7"/>
        <v>0</v>
      </c>
      <c r="AL14" s="69"/>
      <c r="AM14" s="69"/>
      <c r="AN14" s="69"/>
      <c r="AO14" s="69">
        <f t="shared" si="8"/>
        <v>0</v>
      </c>
      <c r="AP14" s="69"/>
      <c r="AQ14" s="69">
        <f t="shared" si="16"/>
        <v>0</v>
      </c>
      <c r="AR14" s="69">
        <f t="shared" si="9"/>
        <v>0</v>
      </c>
      <c r="AS14" s="69"/>
      <c r="AT14" s="87"/>
    </row>
    <row r="15" spans="1:46" ht="17.25" customHeight="1">
      <c r="A15" s="11" t="s">
        <v>3</v>
      </c>
      <c r="B15" s="43">
        <v>1219</v>
      </c>
      <c r="C15" s="33">
        <f>D15/D7*100</f>
        <v>90.96721127603095</v>
      </c>
      <c r="D15" s="33">
        <v>24331</v>
      </c>
      <c r="E15" s="33">
        <f t="shared" si="2"/>
        <v>463399.856136</v>
      </c>
      <c r="F15" s="33">
        <f t="shared" si="10"/>
        <v>-38766.33129600005</v>
      </c>
      <c r="G15" s="33" t="e">
        <f>(E15-#REF!)*1.302</f>
        <v>#REF!</v>
      </c>
      <c r="H15" s="33" t="e">
        <f>G15</f>
        <v>#REF!</v>
      </c>
      <c r="I15" s="11"/>
      <c r="J15" s="42">
        <v>1165</v>
      </c>
      <c r="K15" s="44">
        <v>1165</v>
      </c>
      <c r="L15" s="22">
        <f t="shared" si="3"/>
        <v>326139.42</v>
      </c>
      <c r="M15" s="22">
        <f>L15</f>
        <v>326139.42</v>
      </c>
      <c r="N15" s="22">
        <f t="shared" si="11"/>
        <v>424633.52483999997</v>
      </c>
      <c r="O15" s="24">
        <v>86.5</v>
      </c>
      <c r="P15" s="22">
        <v>23329</v>
      </c>
      <c r="Q15" s="42">
        <f>R15/R7*100</f>
        <v>100</v>
      </c>
      <c r="R15" s="42">
        <v>29425.5</v>
      </c>
      <c r="S15" s="42">
        <v>26042.6</v>
      </c>
      <c r="T15" s="23">
        <f>SUM(R15*J15*12/1000)</f>
        <v>411368.49</v>
      </c>
      <c r="U15" s="23"/>
      <c r="V15" s="23">
        <f t="shared" si="12"/>
        <v>535601.77398</v>
      </c>
      <c r="W15" s="22">
        <f>(T15-L15)*1.302</f>
        <v>110968.24914000001</v>
      </c>
      <c r="X15" s="22">
        <f t="shared" si="13"/>
        <v>110968.24914000001</v>
      </c>
      <c r="Y15" s="22">
        <v>0</v>
      </c>
      <c r="Z15" s="22">
        <v>0</v>
      </c>
      <c r="AA15" s="22">
        <v>0</v>
      </c>
      <c r="AB15" s="22">
        <v>0</v>
      </c>
      <c r="AC15" s="22">
        <v>29549</v>
      </c>
      <c r="AD15" s="22">
        <f t="shared" si="4"/>
        <v>123.5</v>
      </c>
      <c r="AE15" s="22">
        <f t="shared" si="14"/>
        <v>2247.94206</v>
      </c>
      <c r="AF15" s="22">
        <v>27357</v>
      </c>
      <c r="AG15" s="22">
        <f t="shared" si="5"/>
        <v>2192</v>
      </c>
      <c r="AH15" s="22">
        <f t="shared" si="6"/>
        <v>39898.69632</v>
      </c>
      <c r="AI15" s="22">
        <v>48735.9</v>
      </c>
      <c r="AJ15" s="22">
        <f t="shared" si="15"/>
        <v>-8837.203679999999</v>
      </c>
      <c r="AK15" s="20">
        <v>0</v>
      </c>
      <c r="AL15" s="79">
        <v>1165</v>
      </c>
      <c r="AM15" s="69">
        <f>AN15/AN7*100</f>
        <v>100</v>
      </c>
      <c r="AN15" s="67">
        <v>30956</v>
      </c>
      <c r="AO15" s="69">
        <f t="shared" si="8"/>
        <v>563459.87376</v>
      </c>
      <c r="AP15" s="69"/>
      <c r="AQ15" s="69">
        <f t="shared" si="16"/>
        <v>27858.09977999993</v>
      </c>
      <c r="AR15" s="69">
        <f t="shared" si="9"/>
        <v>27858.09977999993</v>
      </c>
      <c r="AS15" s="69">
        <f t="shared" si="17"/>
        <v>27858.09977999993</v>
      </c>
      <c r="AT15" s="86">
        <v>27858.1</v>
      </c>
    </row>
    <row r="16" spans="1:46" ht="27.75" customHeight="1">
      <c r="A16" s="8" t="s">
        <v>15</v>
      </c>
      <c r="B16" s="32">
        <f>B17+B18+B19</f>
        <v>3754</v>
      </c>
      <c r="C16" s="32" t="s">
        <v>34</v>
      </c>
      <c r="D16" s="32" t="s">
        <v>34</v>
      </c>
      <c r="E16" s="32">
        <f>E17+E18+E19</f>
        <v>1192800.8933568</v>
      </c>
      <c r="F16" s="34">
        <f t="shared" si="10"/>
        <v>-70000.93215360027</v>
      </c>
      <c r="G16" s="34" t="e">
        <f>(E16-#REF!)*1.302</f>
        <v>#REF!</v>
      </c>
      <c r="H16" s="34" t="e">
        <f>H17+H18+H19</f>
        <v>#REF!</v>
      </c>
      <c r="I16" s="8"/>
      <c r="J16" s="19">
        <f>SUM(J17:J19)</f>
        <v>3197</v>
      </c>
      <c r="K16" s="20">
        <f aca="true" t="shared" si="18" ref="K16:AE16">SUM(K17:K19)</f>
        <v>3695</v>
      </c>
      <c r="L16" s="19">
        <f t="shared" si="18"/>
        <v>862365.5615999999</v>
      </c>
      <c r="M16" s="19">
        <f>SUM(M17:M19)</f>
        <v>862365.5615999999</v>
      </c>
      <c r="N16" s="19">
        <f>SUM(N17:N19)</f>
        <v>1122799.9612031998</v>
      </c>
      <c r="O16" s="19" t="s">
        <v>34</v>
      </c>
      <c r="P16" s="19" t="s">
        <v>34</v>
      </c>
      <c r="Q16" s="19" t="s">
        <v>34</v>
      </c>
      <c r="R16" s="19" t="s">
        <v>34</v>
      </c>
      <c r="S16" s="19">
        <f>SUM(S17:S19)</f>
        <v>20639.5</v>
      </c>
      <c r="T16" s="20">
        <f t="shared" si="18"/>
        <v>880876.0176</v>
      </c>
      <c r="U16" s="20">
        <f t="shared" si="18"/>
        <v>0</v>
      </c>
      <c r="V16" s="20">
        <f t="shared" si="18"/>
        <v>1146900.5749152</v>
      </c>
      <c r="W16" s="19">
        <f t="shared" si="18"/>
        <v>124800.2763336002</v>
      </c>
      <c r="X16" s="19">
        <f t="shared" si="18"/>
        <v>124800.2763336002</v>
      </c>
      <c r="Y16" s="19">
        <f t="shared" si="18"/>
        <v>0</v>
      </c>
      <c r="Z16" s="19">
        <f t="shared" si="18"/>
        <v>0</v>
      </c>
      <c r="AA16" s="19">
        <f t="shared" si="18"/>
        <v>0</v>
      </c>
      <c r="AB16" s="19">
        <f t="shared" si="18"/>
        <v>0</v>
      </c>
      <c r="AC16" s="19" t="s">
        <v>34</v>
      </c>
      <c r="AD16" s="19">
        <f t="shared" si="18"/>
        <v>326.6999999999971</v>
      </c>
      <c r="AE16" s="19">
        <f t="shared" si="18"/>
        <v>4805.947087199926</v>
      </c>
      <c r="AF16" s="19"/>
      <c r="AG16" s="22" t="s">
        <v>34</v>
      </c>
      <c r="AH16" s="25">
        <f>SUM(AH17:AH19)</f>
        <v>0</v>
      </c>
      <c r="AI16" s="25">
        <f>SUM(AI17:AI19)</f>
        <v>0</v>
      </c>
      <c r="AJ16" s="25">
        <f>SUM(AJ17:AJ19)</f>
        <v>0</v>
      </c>
      <c r="AK16" s="19">
        <f t="shared" si="7"/>
        <v>0</v>
      </c>
      <c r="AL16" s="68">
        <f>AL17+AL18+AL19</f>
        <v>3023</v>
      </c>
      <c r="AM16" s="68" t="s">
        <v>34</v>
      </c>
      <c r="AN16" s="68" t="s">
        <v>34</v>
      </c>
      <c r="AO16" s="68">
        <f aca="true" t="shared" si="19" ref="AO16:AT16">AO17+AO18+AO19</f>
        <v>1781307.051552</v>
      </c>
      <c r="AP16" s="68">
        <f t="shared" si="19"/>
        <v>0</v>
      </c>
      <c r="AQ16" s="68">
        <f t="shared" si="19"/>
        <v>634406.4766368</v>
      </c>
      <c r="AR16" s="76">
        <f t="shared" si="19"/>
        <v>634406.4766368</v>
      </c>
      <c r="AS16" s="76">
        <f t="shared" si="19"/>
        <v>634406.4766368</v>
      </c>
      <c r="AT16" s="76">
        <f t="shared" si="19"/>
        <v>658877.4</v>
      </c>
    </row>
    <row r="17" spans="1:46" ht="42" customHeight="1">
      <c r="A17" s="9" t="s">
        <v>9</v>
      </c>
      <c r="B17" s="33">
        <v>650</v>
      </c>
      <c r="C17" s="33">
        <f>D17/D7*100</f>
        <v>139.15878416270985</v>
      </c>
      <c r="D17" s="33">
        <v>37220.8</v>
      </c>
      <c r="E17" s="33">
        <f>D17*B17*12*1.302/1000</f>
        <v>377999.5564800001</v>
      </c>
      <c r="F17" s="33">
        <f t="shared" si="10"/>
        <v>-8199.656438400096</v>
      </c>
      <c r="G17" s="33" t="e">
        <f>(E17-#REF!)*1.302</f>
        <v>#REF!</v>
      </c>
      <c r="H17" s="33" t="e">
        <f>G17</f>
        <v>#REF!</v>
      </c>
      <c r="I17" s="9"/>
      <c r="J17" s="22">
        <v>657</v>
      </c>
      <c r="K17" s="23">
        <v>652</v>
      </c>
      <c r="L17" s="24">
        <f>K17*P17*12/1000</f>
        <v>284024.5008</v>
      </c>
      <c r="M17" s="24">
        <f>L17</f>
        <v>284024.5008</v>
      </c>
      <c r="N17" s="22">
        <f t="shared" si="11"/>
        <v>369799.9000416</v>
      </c>
      <c r="O17" s="22">
        <v>129.2</v>
      </c>
      <c r="P17" s="42">
        <v>36301.7</v>
      </c>
      <c r="Q17" s="22">
        <f>R17/R7*100</f>
        <v>137.5262952201322</v>
      </c>
      <c r="R17" s="42">
        <v>40467.8</v>
      </c>
      <c r="S17" s="22">
        <v>6963.8</v>
      </c>
      <c r="T17" s="23">
        <f>SUM(R17*J17*12/1000)</f>
        <v>319048.1352</v>
      </c>
      <c r="U17" s="23"/>
      <c r="V17" s="23">
        <f t="shared" si="12"/>
        <v>415400.6720304</v>
      </c>
      <c r="W17" s="22">
        <f>(T17-L17)*1.302</f>
        <v>45600.77198880005</v>
      </c>
      <c r="X17" s="22">
        <f t="shared" si="13"/>
        <v>45600.77198880005</v>
      </c>
      <c r="Y17" s="22">
        <v>0</v>
      </c>
      <c r="Z17" s="22">
        <v>0</v>
      </c>
      <c r="AA17" s="22">
        <v>0</v>
      </c>
      <c r="AB17" s="22">
        <v>0</v>
      </c>
      <c r="AC17" s="22">
        <v>40629.9</v>
      </c>
      <c r="AD17" s="22">
        <f>AC17-R17</f>
        <v>162.09999999999854</v>
      </c>
      <c r="AE17" s="22">
        <f t="shared" si="14"/>
        <v>1663.9513127999853</v>
      </c>
      <c r="AF17" s="22">
        <v>40629.9</v>
      </c>
      <c r="AG17" s="22">
        <f>AC17-AF17</f>
        <v>0</v>
      </c>
      <c r="AH17" s="22">
        <f>AG17*J17*12*1.302/1000</f>
        <v>0</v>
      </c>
      <c r="AI17" s="22"/>
      <c r="AJ17" s="22">
        <f t="shared" si="15"/>
        <v>0</v>
      </c>
      <c r="AK17" s="19">
        <f t="shared" si="7"/>
        <v>0</v>
      </c>
      <c r="AL17" s="69">
        <f>8+592+19+41</f>
        <v>660</v>
      </c>
      <c r="AM17" s="69">
        <f>AN17/AN7*100</f>
        <v>200</v>
      </c>
      <c r="AN17" s="72">
        <v>61912</v>
      </c>
      <c r="AO17" s="69">
        <f>AN17*AL17*12*1.302/1000</f>
        <v>638426.6380800001</v>
      </c>
      <c r="AP17" s="69"/>
      <c r="AQ17" s="69">
        <f t="shared" si="16"/>
        <v>223025.96604960004</v>
      </c>
      <c r="AR17" s="69">
        <f>(AO17-V17)</f>
        <v>223025.96604960004</v>
      </c>
      <c r="AS17" s="69">
        <f t="shared" si="17"/>
        <v>223025.96604960004</v>
      </c>
      <c r="AT17" s="86">
        <v>213057.5</v>
      </c>
    </row>
    <row r="18" spans="1:46" ht="17.25" customHeight="1">
      <c r="A18" s="10" t="s">
        <v>5</v>
      </c>
      <c r="B18" s="33">
        <v>1925</v>
      </c>
      <c r="C18" s="33">
        <f>D18/D7*100</f>
        <v>65.9584252439526</v>
      </c>
      <c r="D18" s="33">
        <v>17641.9</v>
      </c>
      <c r="E18" s="33">
        <f>D18*B18*12*1.302/1000</f>
        <v>530601.31278</v>
      </c>
      <c r="F18" s="33">
        <f t="shared" si="10"/>
        <v>-43400.95809840009</v>
      </c>
      <c r="G18" s="33" t="e">
        <f>(E18-#REF!)*1.302</f>
        <v>#REF!</v>
      </c>
      <c r="H18" s="33" t="e">
        <f>G18-11800</f>
        <v>#REF!</v>
      </c>
      <c r="I18" s="10"/>
      <c r="J18" s="22">
        <v>1943</v>
      </c>
      <c r="K18" s="23">
        <v>1943</v>
      </c>
      <c r="L18" s="24">
        <f>K18*P18*12/1000</f>
        <v>374193.8207999999</v>
      </c>
      <c r="M18" s="24">
        <f>L18</f>
        <v>374193.8207999999</v>
      </c>
      <c r="N18" s="22">
        <f t="shared" si="11"/>
        <v>487200.35468159994</v>
      </c>
      <c r="O18" s="24">
        <v>55.2</v>
      </c>
      <c r="P18" s="42">
        <v>16048.8</v>
      </c>
      <c r="Q18" s="22">
        <f>R18/R7*100</f>
        <v>63.40656913221526</v>
      </c>
      <c r="R18" s="42">
        <v>18657.7</v>
      </c>
      <c r="S18" s="22">
        <v>9117.8</v>
      </c>
      <c r="T18" s="23">
        <f>SUM(R18*J18*12/1000)</f>
        <v>435022.9332</v>
      </c>
      <c r="U18" s="23"/>
      <c r="V18" s="23">
        <f t="shared" si="12"/>
        <v>566399.8590264</v>
      </c>
      <c r="W18" s="22">
        <f>(T18-L18)*1.302</f>
        <v>79199.50434480014</v>
      </c>
      <c r="X18" s="22">
        <f>W18</f>
        <v>79199.50434480014</v>
      </c>
      <c r="Y18" s="22">
        <v>0</v>
      </c>
      <c r="Z18" s="22">
        <v>0</v>
      </c>
      <c r="AA18" s="22">
        <v>0</v>
      </c>
      <c r="AB18" s="22">
        <v>0</v>
      </c>
      <c r="AC18" s="22">
        <v>18734.1</v>
      </c>
      <c r="AD18" s="22">
        <f>AC18-R18</f>
        <v>76.39999999999782</v>
      </c>
      <c r="AE18" s="22">
        <f t="shared" si="14"/>
        <v>2319.307804799934</v>
      </c>
      <c r="AF18" s="22">
        <v>18734.1</v>
      </c>
      <c r="AG18" s="22">
        <f>AC18-AF18</f>
        <v>0</v>
      </c>
      <c r="AH18" s="22">
        <f>AG18*J18*12*1.302/1000</f>
        <v>0</v>
      </c>
      <c r="AI18" s="22"/>
      <c r="AJ18" s="22">
        <f t="shared" si="15"/>
        <v>0</v>
      </c>
      <c r="AK18" s="19">
        <f t="shared" si="7"/>
        <v>0</v>
      </c>
      <c r="AL18" s="69">
        <f>68+14+1475+386</f>
        <v>1943</v>
      </c>
      <c r="AM18" s="69">
        <v>100</v>
      </c>
      <c r="AN18" s="67">
        <v>30956</v>
      </c>
      <c r="AO18" s="69">
        <f>AN18*AL18*12*1.302/1000</f>
        <v>939744.664992</v>
      </c>
      <c r="AP18" s="69"/>
      <c r="AQ18" s="69">
        <f t="shared" si="16"/>
        <v>373344.80596559995</v>
      </c>
      <c r="AR18" s="69">
        <f>(AO18-V18)</f>
        <v>373344.80596559995</v>
      </c>
      <c r="AS18" s="69">
        <f>AR18</f>
        <v>373344.80596559995</v>
      </c>
      <c r="AT18" s="86">
        <v>358834.9</v>
      </c>
    </row>
    <row r="19" spans="1:46" ht="41.25" customHeight="1">
      <c r="A19" s="11" t="s">
        <v>6</v>
      </c>
      <c r="B19" s="33">
        <v>1179</v>
      </c>
      <c r="C19" s="33">
        <f>D19/D7*100</f>
        <v>57.68235689983923</v>
      </c>
      <c r="D19" s="33">
        <v>15428.3</v>
      </c>
      <c r="E19" s="33">
        <f>D19*B19*12*1.302/1000</f>
        <v>284200.02409679996</v>
      </c>
      <c r="F19" s="33">
        <f t="shared" si="10"/>
        <v>-18400.317616799963</v>
      </c>
      <c r="G19" s="33" t="e">
        <f>(E19-#REF!)*1.302</f>
        <v>#REF!</v>
      </c>
      <c r="H19" s="33" t="e">
        <f>G19</f>
        <v>#REF!</v>
      </c>
      <c r="I19" s="11"/>
      <c r="J19" s="22">
        <v>597</v>
      </c>
      <c r="K19" s="23">
        <v>1100</v>
      </c>
      <c r="L19" s="24">
        <f>K19*P19*12/1000</f>
        <v>204147.24</v>
      </c>
      <c r="M19" s="24">
        <f>L19</f>
        <v>204147.24</v>
      </c>
      <c r="N19" s="22">
        <f t="shared" si="11"/>
        <v>265799.70648</v>
      </c>
      <c r="O19" s="24">
        <f>P19/O7*100</f>
        <v>54.96375008884783</v>
      </c>
      <c r="P19" s="42">
        <v>15465.7</v>
      </c>
      <c r="Q19" s="22">
        <f>R19/R7*100</f>
        <v>60.15292858235204</v>
      </c>
      <c r="R19" s="42">
        <v>17700.3</v>
      </c>
      <c r="S19" s="22">
        <v>4557.9</v>
      </c>
      <c r="T19" s="23">
        <f>SUM(R19*J19*12/1000)</f>
        <v>126804.94919999999</v>
      </c>
      <c r="U19" s="23"/>
      <c r="V19" s="23">
        <f t="shared" si="12"/>
        <v>165100.0438584</v>
      </c>
      <c r="W19" s="22">
        <v>0</v>
      </c>
      <c r="X19" s="22">
        <f t="shared" si="13"/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17788.5</v>
      </c>
      <c r="AD19" s="22">
        <f>AC19-R19</f>
        <v>88.20000000000073</v>
      </c>
      <c r="AE19" s="22">
        <f t="shared" si="14"/>
        <v>822.6879696000067</v>
      </c>
      <c r="AF19" s="22">
        <v>17788.5</v>
      </c>
      <c r="AG19" s="22">
        <f>AC19-AF19</f>
        <v>0</v>
      </c>
      <c r="AH19" s="22">
        <f>AG19*J19*12*1.302/1000</f>
        <v>0</v>
      </c>
      <c r="AI19" s="22"/>
      <c r="AJ19" s="22">
        <f t="shared" si="15"/>
        <v>0</v>
      </c>
      <c r="AK19" s="19">
        <f t="shared" si="7"/>
        <v>0</v>
      </c>
      <c r="AL19" s="69">
        <v>420</v>
      </c>
      <c r="AM19" s="69">
        <v>100</v>
      </c>
      <c r="AN19" s="67">
        <v>30956</v>
      </c>
      <c r="AO19" s="69">
        <f>AN19*AL19*12*1.302/1000</f>
        <v>203135.74848</v>
      </c>
      <c r="AP19" s="69"/>
      <c r="AQ19" s="69">
        <f t="shared" si="16"/>
        <v>38035.704621600016</v>
      </c>
      <c r="AR19" s="69">
        <f>(AO19-V19)</f>
        <v>38035.704621600016</v>
      </c>
      <c r="AS19" s="69">
        <f t="shared" si="17"/>
        <v>38035.704621600016</v>
      </c>
      <c r="AT19" s="86">
        <v>86985</v>
      </c>
    </row>
    <row r="20" spans="1:46" ht="16.5" customHeight="1">
      <c r="A20" s="8" t="s">
        <v>7</v>
      </c>
      <c r="B20" s="34">
        <f>B21</f>
        <v>4725.6</v>
      </c>
      <c r="C20" s="34">
        <f>C21</f>
        <v>62.92743111376977</v>
      </c>
      <c r="D20" s="34">
        <f>D21</f>
        <v>16831.2</v>
      </c>
      <c r="E20" s="34">
        <f>E21</f>
        <v>1242694.19248128</v>
      </c>
      <c r="F20" s="34">
        <f t="shared" si="10"/>
        <v>-83292.32395007974</v>
      </c>
      <c r="G20" s="34" t="e">
        <f>(E20-#REF!)*1.302</f>
        <v>#REF!</v>
      </c>
      <c r="H20" s="34" t="e">
        <f>G20</f>
        <v>#REF!</v>
      </c>
      <c r="I20" s="8"/>
      <c r="J20" s="25">
        <f>J21</f>
        <v>4365.6</v>
      </c>
      <c r="K20" s="26">
        <v>4365.6</v>
      </c>
      <c r="L20" s="25">
        <f>L21</f>
        <v>890477.6256000001</v>
      </c>
      <c r="M20" s="25">
        <f>M21</f>
        <v>890477.6256000001</v>
      </c>
      <c r="N20" s="25">
        <f>N21</f>
        <v>1159401.8685312003</v>
      </c>
      <c r="O20" s="25">
        <f>O21</f>
        <v>59.8</v>
      </c>
      <c r="P20" s="25">
        <v>16998</v>
      </c>
      <c r="Q20" s="25">
        <f>Q21</f>
        <v>90.00016992064705</v>
      </c>
      <c r="R20" s="25">
        <f>R21</f>
        <v>26483</v>
      </c>
      <c r="S20" s="25">
        <f>S21</f>
        <v>8127.1</v>
      </c>
      <c r="T20" s="26">
        <f>T21</f>
        <v>1387370.2176</v>
      </c>
      <c r="U20" s="26">
        <f>U21</f>
        <v>0</v>
      </c>
      <c r="V20" s="26">
        <f t="shared" si="12"/>
        <v>1806356.0233152001</v>
      </c>
      <c r="W20" s="25">
        <f>(T20-L20)*1.302</f>
        <v>646954.1547839999</v>
      </c>
      <c r="X20" s="25">
        <f aca="true" t="shared" si="20" ref="X20:AT20">X21</f>
        <v>635423.7547839999</v>
      </c>
      <c r="Y20" s="25">
        <f t="shared" si="20"/>
        <v>0</v>
      </c>
      <c r="Z20" s="25">
        <f t="shared" si="20"/>
        <v>0</v>
      </c>
      <c r="AA20" s="25">
        <f t="shared" si="20"/>
        <v>0</v>
      </c>
      <c r="AB20" s="25">
        <f t="shared" si="20"/>
        <v>0</v>
      </c>
      <c r="AC20" s="25">
        <f t="shared" si="20"/>
        <v>26594.1</v>
      </c>
      <c r="AD20" s="25">
        <f t="shared" si="20"/>
        <v>111.09999999999854</v>
      </c>
      <c r="AE20" s="25">
        <f t="shared" si="20"/>
        <v>7577.923731839902</v>
      </c>
      <c r="AF20" s="25">
        <f t="shared" si="20"/>
        <v>18373</v>
      </c>
      <c r="AG20" s="25">
        <f t="shared" si="20"/>
        <v>8221.099999999999</v>
      </c>
      <c r="AH20" s="25">
        <f t="shared" si="20"/>
        <v>560745.89371584</v>
      </c>
      <c r="AI20" s="25">
        <f t="shared" si="20"/>
        <v>123585.1</v>
      </c>
      <c r="AJ20" s="25">
        <f t="shared" si="20"/>
        <v>437160.79371584</v>
      </c>
      <c r="AK20" s="19">
        <f>AK21</f>
        <v>423245.39371583995</v>
      </c>
      <c r="AL20" s="60">
        <f t="shared" si="20"/>
        <v>4213</v>
      </c>
      <c r="AM20" s="60">
        <f t="shared" si="20"/>
        <v>100</v>
      </c>
      <c r="AN20" s="60">
        <f t="shared" si="20"/>
        <v>30956</v>
      </c>
      <c r="AO20" s="60">
        <f t="shared" si="20"/>
        <v>2037645.019872</v>
      </c>
      <c r="AP20" s="60">
        <f t="shared" si="20"/>
        <v>0</v>
      </c>
      <c r="AQ20" s="60">
        <f t="shared" si="20"/>
        <v>654534.3902726398</v>
      </c>
      <c r="AR20" s="60">
        <f t="shared" si="20"/>
        <v>231288.99655679986</v>
      </c>
      <c r="AS20" s="60">
        <f t="shared" si="20"/>
        <v>231288.99655679986</v>
      </c>
      <c r="AT20" s="60">
        <f t="shared" si="20"/>
        <v>290866.2</v>
      </c>
    </row>
    <row r="21" spans="1:46" ht="18.75" customHeight="1">
      <c r="A21" s="12" t="s">
        <v>7</v>
      </c>
      <c r="B21" s="33">
        <v>4725.6</v>
      </c>
      <c r="C21" s="33">
        <f>D21/D7*100</f>
        <v>62.92743111376977</v>
      </c>
      <c r="D21" s="33">
        <v>16831.2</v>
      </c>
      <c r="E21" s="33">
        <f>B21*D21*12*1.302/1000</f>
        <v>1242694.19248128</v>
      </c>
      <c r="F21" s="33">
        <f t="shared" si="10"/>
        <v>-83292.32395007974</v>
      </c>
      <c r="G21" s="33" t="e">
        <f>(E21-#REF!)*1.302</f>
        <v>#REF!</v>
      </c>
      <c r="H21" s="33" t="e">
        <f>G21</f>
        <v>#REF!</v>
      </c>
      <c r="I21" s="12"/>
      <c r="J21" s="71">
        <v>4365.6</v>
      </c>
      <c r="K21" s="23">
        <v>4365.6</v>
      </c>
      <c r="L21" s="22">
        <f>SUM(K21*P21*12/1000)</f>
        <v>890477.6256000001</v>
      </c>
      <c r="M21" s="24">
        <f>L21</f>
        <v>890477.6256000001</v>
      </c>
      <c r="N21" s="22">
        <f t="shared" si="11"/>
        <v>1159401.8685312003</v>
      </c>
      <c r="O21" s="22">
        <v>59.8</v>
      </c>
      <c r="P21" s="22">
        <v>16998</v>
      </c>
      <c r="Q21" s="22">
        <f>R21/R7*100</f>
        <v>90.00016992064705</v>
      </c>
      <c r="R21" s="22">
        <v>26483</v>
      </c>
      <c r="S21" s="22">
        <v>8127.1</v>
      </c>
      <c r="T21" s="23">
        <f>J21*R21*12/1000</f>
        <v>1387370.2176</v>
      </c>
      <c r="U21" s="23"/>
      <c r="V21" s="23">
        <f t="shared" si="12"/>
        <v>1806356.0233152001</v>
      </c>
      <c r="W21" s="22">
        <f>(T21-L21)*1.302</f>
        <v>646954.1547839999</v>
      </c>
      <c r="X21" s="23">
        <f>W21-11530.4</f>
        <v>635423.7547839999</v>
      </c>
      <c r="Y21" s="22">
        <v>0</v>
      </c>
      <c r="Z21" s="22">
        <v>0</v>
      </c>
      <c r="AA21" s="22">
        <v>0</v>
      </c>
      <c r="AB21" s="22">
        <v>0</v>
      </c>
      <c r="AC21" s="22">
        <v>26594.1</v>
      </c>
      <c r="AD21" s="22">
        <f>AC21-R21</f>
        <v>111.09999999999854</v>
      </c>
      <c r="AE21" s="22">
        <f t="shared" si="14"/>
        <v>7577.923731839902</v>
      </c>
      <c r="AF21" s="22">
        <v>18373</v>
      </c>
      <c r="AG21" s="22">
        <f>AC21-AF21</f>
        <v>8221.099999999999</v>
      </c>
      <c r="AH21" s="22">
        <f>AG21*J21*12*1.302/1000</f>
        <v>560745.89371584</v>
      </c>
      <c r="AI21" s="22">
        <v>123585.1</v>
      </c>
      <c r="AJ21" s="22">
        <f t="shared" si="15"/>
        <v>437160.79371584</v>
      </c>
      <c r="AK21" s="17">
        <f>AJ21-13915.4</f>
        <v>423245.39371583995</v>
      </c>
      <c r="AL21" s="80">
        <v>4213</v>
      </c>
      <c r="AM21" s="69">
        <f>AN21/AN7*100</f>
        <v>100</v>
      </c>
      <c r="AN21" s="67">
        <v>30956</v>
      </c>
      <c r="AO21" s="69">
        <f>AL21*AN21*12*1.302/1000</f>
        <v>2037645.019872</v>
      </c>
      <c r="AP21" s="69"/>
      <c r="AQ21" s="69">
        <f t="shared" si="16"/>
        <v>654534.3902726398</v>
      </c>
      <c r="AR21" s="69">
        <f>(AO21-V21)</f>
        <v>231288.99655679986</v>
      </c>
      <c r="AS21" s="69">
        <f>AR21</f>
        <v>231288.99655679986</v>
      </c>
      <c r="AT21" s="86">
        <v>290866.2</v>
      </c>
    </row>
    <row r="22" spans="1:46" ht="16.5" customHeight="1">
      <c r="A22" s="8" t="s">
        <v>8</v>
      </c>
      <c r="B22" s="34">
        <f>B23</f>
        <v>1809</v>
      </c>
      <c r="C22" s="34">
        <f>C23</f>
        <v>60.455378173253074</v>
      </c>
      <c r="D22" s="34">
        <f>D23</f>
        <v>16170</v>
      </c>
      <c r="E22" s="34">
        <f>E23</f>
        <v>457025.90472000005</v>
      </c>
      <c r="F22" s="34">
        <f t="shared" si="10"/>
        <v>-8444.061107999994</v>
      </c>
      <c r="G22" s="34" t="e">
        <f>(E22-#REF!)*1.302</f>
        <v>#REF!</v>
      </c>
      <c r="H22" s="34" t="e">
        <f>H23</f>
        <v>#REF!</v>
      </c>
      <c r="I22" s="8"/>
      <c r="J22" s="25">
        <v>1773</v>
      </c>
      <c r="K22" s="26">
        <v>1773</v>
      </c>
      <c r="L22" s="25">
        <f>K22*P22*12/1000</f>
        <v>344532.906</v>
      </c>
      <c r="M22" s="25">
        <f>L22</f>
        <v>344532.906</v>
      </c>
      <c r="N22" s="25">
        <f>N23</f>
        <v>448581.84361200006</v>
      </c>
      <c r="O22" s="27">
        <v>57.5</v>
      </c>
      <c r="P22" s="27">
        <v>16193.5</v>
      </c>
      <c r="Q22" s="27">
        <v>80</v>
      </c>
      <c r="R22" s="27">
        <f>R23</f>
        <v>23540.4</v>
      </c>
      <c r="S22" s="25">
        <f>S23</f>
        <v>7747.9</v>
      </c>
      <c r="T22" s="26">
        <f>T23</f>
        <v>500845.5504</v>
      </c>
      <c r="U22" s="26"/>
      <c r="V22" s="26">
        <f t="shared" si="12"/>
        <v>652100.9066208</v>
      </c>
      <c r="W22" s="25">
        <f>W23</f>
        <v>203519.0630088</v>
      </c>
      <c r="X22" s="25">
        <f>X23</f>
        <v>198519.0630088</v>
      </c>
      <c r="Y22" s="25">
        <f aca="true" t="shared" si="21" ref="Y22:AE22">Y23</f>
        <v>0</v>
      </c>
      <c r="Z22" s="25">
        <f t="shared" si="21"/>
        <v>0</v>
      </c>
      <c r="AA22" s="25">
        <f t="shared" si="21"/>
        <v>0</v>
      </c>
      <c r="AB22" s="25">
        <f t="shared" si="21"/>
        <v>0</v>
      </c>
      <c r="AC22" s="25">
        <f t="shared" si="21"/>
        <v>23639.2</v>
      </c>
      <c r="AD22" s="25">
        <f t="shared" si="21"/>
        <v>98.79999999999927</v>
      </c>
      <c r="AE22" s="25">
        <f t="shared" si="21"/>
        <v>2736.89357759998</v>
      </c>
      <c r="AF22" s="25">
        <f>AF23</f>
        <v>18999</v>
      </c>
      <c r="AG22" s="25">
        <f>AG23</f>
        <v>4640.200000000001</v>
      </c>
      <c r="AH22" s="25">
        <f>AH23</f>
        <v>128539.81355040004</v>
      </c>
      <c r="AI22" s="25">
        <f>AI23</f>
        <v>0</v>
      </c>
      <c r="AJ22" s="25">
        <f>AJ23</f>
        <v>128539.81355040004</v>
      </c>
      <c r="AK22" s="19">
        <f t="shared" si="7"/>
        <v>128539.81355040004</v>
      </c>
      <c r="AL22" s="60">
        <f aca="true" t="shared" si="22" ref="AL22:AT22">AL23</f>
        <v>1636</v>
      </c>
      <c r="AM22" s="60">
        <f t="shared" si="22"/>
        <v>100</v>
      </c>
      <c r="AN22" s="60">
        <f t="shared" si="22"/>
        <v>30956</v>
      </c>
      <c r="AO22" s="60">
        <f t="shared" si="22"/>
        <v>791262.1059840001</v>
      </c>
      <c r="AP22" s="60">
        <f t="shared" si="22"/>
        <v>0</v>
      </c>
      <c r="AQ22" s="60">
        <f t="shared" si="22"/>
        <v>267701.01291360013</v>
      </c>
      <c r="AR22" s="60">
        <f t="shared" si="22"/>
        <v>139161.1993632001</v>
      </c>
      <c r="AS22" s="60">
        <f t="shared" si="22"/>
        <v>139161.1993632001</v>
      </c>
      <c r="AT22" s="88">
        <f t="shared" si="22"/>
        <v>182018.2</v>
      </c>
    </row>
    <row r="23" spans="1:46" ht="20.25" customHeight="1">
      <c r="A23" s="9" t="s">
        <v>8</v>
      </c>
      <c r="B23" s="33">
        <v>1809</v>
      </c>
      <c r="C23" s="33">
        <f>D23/D7*100</f>
        <v>60.455378173253074</v>
      </c>
      <c r="D23" s="33">
        <v>16170</v>
      </c>
      <c r="E23" s="33">
        <f>B23*D23*12*1.302/1000</f>
        <v>457025.90472000005</v>
      </c>
      <c r="F23" s="33">
        <f t="shared" si="10"/>
        <v>-8444.061107999994</v>
      </c>
      <c r="G23" s="33" t="e">
        <f>(E23-#REF!)*1.302</f>
        <v>#REF!</v>
      </c>
      <c r="H23" s="33" t="e">
        <f>G23-5000</f>
        <v>#REF!</v>
      </c>
      <c r="I23" s="9"/>
      <c r="J23" s="74">
        <v>1773</v>
      </c>
      <c r="K23" s="23">
        <v>1773</v>
      </c>
      <c r="L23" s="22">
        <f>K23*P23*12/1000</f>
        <v>344532.906</v>
      </c>
      <c r="M23" s="22">
        <f>L23</f>
        <v>344532.906</v>
      </c>
      <c r="N23" s="22">
        <f t="shared" si="11"/>
        <v>448581.84361200006</v>
      </c>
      <c r="O23" s="22">
        <f>P23/O7*100</f>
        <v>57.55028786694151</v>
      </c>
      <c r="P23" s="21">
        <v>16193.5</v>
      </c>
      <c r="Q23" s="22">
        <f>R23/R7*100</f>
        <v>80</v>
      </c>
      <c r="R23" s="22">
        <v>23540.4</v>
      </c>
      <c r="S23" s="22">
        <v>7747.9</v>
      </c>
      <c r="T23" s="23">
        <f>J23*R23*12/1000</f>
        <v>500845.5504</v>
      </c>
      <c r="U23" s="23"/>
      <c r="V23" s="23">
        <f t="shared" si="12"/>
        <v>652100.9066208</v>
      </c>
      <c r="W23" s="22">
        <f>(T23-L23)*1.302</f>
        <v>203519.0630088</v>
      </c>
      <c r="X23" s="23">
        <f>W23-5000</f>
        <v>198519.0630088</v>
      </c>
      <c r="Y23" s="22">
        <v>0</v>
      </c>
      <c r="Z23" s="22">
        <v>0</v>
      </c>
      <c r="AA23" s="22">
        <v>0</v>
      </c>
      <c r="AB23" s="22">
        <v>0</v>
      </c>
      <c r="AC23" s="22">
        <v>23639.2</v>
      </c>
      <c r="AD23" s="22">
        <f>AC23-R23</f>
        <v>98.79999999999927</v>
      </c>
      <c r="AE23" s="22">
        <f t="shared" si="14"/>
        <v>2736.89357759998</v>
      </c>
      <c r="AF23" s="22">
        <v>18999</v>
      </c>
      <c r="AG23" s="22">
        <f>AC23-AF23</f>
        <v>4640.200000000001</v>
      </c>
      <c r="AH23" s="22">
        <f>AG23*J23*12*1.302/1000</f>
        <v>128539.81355040004</v>
      </c>
      <c r="AI23" s="22"/>
      <c r="AJ23" s="22">
        <f t="shared" si="15"/>
        <v>128539.81355040004</v>
      </c>
      <c r="AK23" s="17">
        <f t="shared" si="7"/>
        <v>128539.81355040004</v>
      </c>
      <c r="AL23" s="69">
        <v>1636</v>
      </c>
      <c r="AM23" s="69">
        <v>100</v>
      </c>
      <c r="AN23" s="67">
        <v>30956</v>
      </c>
      <c r="AO23" s="69">
        <f>AL23*AN23*12*1.302/1000</f>
        <v>791262.1059840001</v>
      </c>
      <c r="AP23" s="69"/>
      <c r="AQ23" s="69">
        <f t="shared" si="16"/>
        <v>267701.01291360013</v>
      </c>
      <c r="AR23" s="69">
        <f>(AO23-V23)</f>
        <v>139161.1993632001</v>
      </c>
      <c r="AS23" s="69">
        <f>AR23</f>
        <v>139161.1993632001</v>
      </c>
      <c r="AT23" s="86">
        <v>182018.2</v>
      </c>
    </row>
    <row r="24" spans="1:46" ht="21.75" customHeight="1">
      <c r="A24" s="8" t="s">
        <v>10</v>
      </c>
      <c r="B24" s="34">
        <f>SUM(B9+B16+B20+B22)</f>
        <v>30218.6</v>
      </c>
      <c r="C24" s="34" t="s">
        <v>34</v>
      </c>
      <c r="D24" s="34" t="s">
        <v>34</v>
      </c>
      <c r="E24" s="34">
        <f>SUM(E9+E16+E20+E22)</f>
        <v>11601831.26215008</v>
      </c>
      <c r="F24" s="34">
        <f>SUM(F9+F16+F20+F22)</f>
        <v>-183042.2504836808</v>
      </c>
      <c r="G24" s="34" t="e">
        <f>SUM(G9+G16+G20+G22)</f>
        <v>#REF!</v>
      </c>
      <c r="H24" s="34" t="e">
        <f>SUM(H9+H16+H20+H22)</f>
        <v>#REF!</v>
      </c>
      <c r="I24" s="8"/>
      <c r="J24" s="25">
        <f>SUM(J9+J16+J20+J22)</f>
        <v>30738.6</v>
      </c>
      <c r="K24" s="26">
        <f aca="true" t="shared" si="23" ref="K24:AR24">SUM(K9+K16+K20+K22)</f>
        <v>31115.6</v>
      </c>
      <c r="L24" s="25">
        <f t="shared" si="23"/>
        <v>8770191.2532</v>
      </c>
      <c r="M24" s="25">
        <f t="shared" si="23"/>
        <v>8770191.2532</v>
      </c>
      <c r="N24" s="25">
        <f t="shared" si="23"/>
        <v>11418789.011666402</v>
      </c>
      <c r="O24" s="25" t="s">
        <v>13</v>
      </c>
      <c r="P24" s="25" t="s">
        <v>13</v>
      </c>
      <c r="Q24" s="25" t="s">
        <v>13</v>
      </c>
      <c r="R24" s="25" t="s">
        <v>13</v>
      </c>
      <c r="S24" s="25">
        <f t="shared" si="23"/>
        <v>261149.90000000002</v>
      </c>
      <c r="T24" s="26">
        <f t="shared" si="23"/>
        <v>9935622.819600001</v>
      </c>
      <c r="U24" s="26">
        <f t="shared" si="23"/>
        <v>0</v>
      </c>
      <c r="V24" s="26">
        <f t="shared" si="23"/>
        <v>12936180.911119202</v>
      </c>
      <c r="W24" s="60">
        <f t="shared" si="23"/>
        <v>1618091.5620744003</v>
      </c>
      <c r="X24" s="25">
        <f t="shared" si="23"/>
        <v>1596228.2620744</v>
      </c>
      <c r="Y24" s="25">
        <f t="shared" si="23"/>
        <v>0</v>
      </c>
      <c r="Z24" s="25">
        <f t="shared" si="23"/>
        <v>0</v>
      </c>
      <c r="AA24" s="25">
        <f t="shared" si="23"/>
        <v>0</v>
      </c>
      <c r="AB24" s="25">
        <f t="shared" si="23"/>
        <v>0</v>
      </c>
      <c r="AC24" s="25" t="s">
        <v>34</v>
      </c>
      <c r="AD24" s="25">
        <f t="shared" si="23"/>
        <v>1018.799999999992</v>
      </c>
      <c r="AE24" s="25">
        <f t="shared" si="23"/>
        <v>46702.30398623974</v>
      </c>
      <c r="AF24" s="25"/>
      <c r="AG24" s="25"/>
      <c r="AH24" s="25">
        <f>SUM(AH9+AH16+AH20+AH22)</f>
        <v>990981.59124384</v>
      </c>
      <c r="AI24" s="25">
        <f>SUM(AI9+AI16+AI20+AI22)</f>
        <v>202509.40000000002</v>
      </c>
      <c r="AJ24" s="25">
        <f>SUM(AJ9+AJ16+AJ20+AJ22)</f>
        <v>788472.1912438399</v>
      </c>
      <c r="AK24" s="25">
        <f>SUM(AK9+AK16+AK20+AK22)</f>
        <v>788472.20404704</v>
      </c>
      <c r="AL24" s="60">
        <f t="shared" si="23"/>
        <v>30522</v>
      </c>
      <c r="AM24" s="60" t="s">
        <v>34</v>
      </c>
      <c r="AN24" s="60" t="s">
        <v>34</v>
      </c>
      <c r="AO24" s="60">
        <f t="shared" si="23"/>
        <v>14593110.4405296</v>
      </c>
      <c r="AP24" s="60">
        <f t="shared" si="23"/>
        <v>0</v>
      </c>
      <c r="AQ24" s="60">
        <f t="shared" si="23"/>
        <v>2445401.73345744</v>
      </c>
      <c r="AR24" s="60">
        <f t="shared" si="23"/>
        <v>1656929.5294104</v>
      </c>
      <c r="AS24" s="60">
        <f>SUM(AS9+AS16+AS20+AS22)</f>
        <v>1656929.5294104</v>
      </c>
      <c r="AT24" s="60">
        <f>SUM(AT9+AT16+AT20+AT22)</f>
        <v>1666280.4</v>
      </c>
    </row>
    <row r="25" spans="1:46" ht="12.75">
      <c r="A25" s="13"/>
      <c r="B25" s="13"/>
      <c r="C25" s="3"/>
      <c r="D25" s="13">
        <v>26747</v>
      </c>
      <c r="E25" s="3"/>
      <c r="F25" s="3"/>
      <c r="G25" s="3"/>
      <c r="H25" s="3"/>
      <c r="I25" s="3"/>
      <c r="J25" s="3"/>
      <c r="K25" s="13"/>
      <c r="L25" s="13"/>
      <c r="M25" s="13"/>
      <c r="N25" s="13"/>
      <c r="O25" s="3">
        <v>28624.4</v>
      </c>
      <c r="P25" s="3"/>
      <c r="Q25" s="3">
        <v>29945.5</v>
      </c>
      <c r="R25" s="3"/>
      <c r="S25" s="3"/>
      <c r="AT25" s="77"/>
    </row>
    <row r="26" spans="1:39" ht="12.75" hidden="1">
      <c r="A26" s="48" t="s">
        <v>47</v>
      </c>
      <c r="B26" s="13"/>
      <c r="C26" s="3"/>
      <c r="D26" s="13"/>
      <c r="E26" s="3"/>
      <c r="F26" s="3"/>
      <c r="G26" s="3"/>
      <c r="H26" s="3"/>
      <c r="I26" s="3"/>
      <c r="J26" s="3"/>
      <c r="K26" s="13"/>
      <c r="L26" s="13"/>
      <c r="M26" s="13"/>
      <c r="N26" s="13"/>
      <c r="O26" s="3"/>
      <c r="P26" s="3"/>
      <c r="Q26" s="3"/>
      <c r="R26" s="3"/>
      <c r="S26" s="3"/>
      <c r="AM26" s="1">
        <v>32336</v>
      </c>
    </row>
    <row r="27" spans="1:45" ht="23.25" customHeight="1" hidden="1">
      <c r="A27" s="45" t="s">
        <v>48</v>
      </c>
      <c r="B27" s="52">
        <v>3263</v>
      </c>
      <c r="C27" s="53">
        <f>D27/D25*100</f>
        <v>145.4981867125285</v>
      </c>
      <c r="D27" s="53">
        <v>38916.4</v>
      </c>
      <c r="E27" s="53">
        <f>B27*D27*12*1.302/1000</f>
        <v>1984001.3470368</v>
      </c>
      <c r="F27" s="53">
        <f>(L27*1.302)-E27</f>
        <v>23421.6337319999</v>
      </c>
      <c r="G27" s="86"/>
      <c r="H27" s="128"/>
      <c r="I27" s="128"/>
      <c r="J27" s="85">
        <v>3300</v>
      </c>
      <c r="K27" s="50">
        <v>3149</v>
      </c>
      <c r="L27" s="49">
        <f>K27*P27*12/1000</f>
        <v>1541799.5244</v>
      </c>
      <c r="M27" s="49">
        <f>L27</f>
        <v>1541799.5244</v>
      </c>
      <c r="N27" s="49"/>
      <c r="O27" s="86">
        <f>P27/O25*100</f>
        <v>142.54028032028617</v>
      </c>
      <c r="P27" s="86">
        <v>40801.3</v>
      </c>
      <c r="Q27" s="61">
        <f>R27/Q25*100</f>
        <v>146.40864236696666</v>
      </c>
      <c r="R27" s="61">
        <v>43842.8</v>
      </c>
      <c r="S27" s="86"/>
      <c r="T27" s="54">
        <f>J27*R27*12/1000</f>
        <v>1736174.88</v>
      </c>
      <c r="U27" s="55"/>
      <c r="V27" s="56">
        <f>T27*1.302</f>
        <v>2260499.6937599997</v>
      </c>
      <c r="W27" s="57">
        <f>(T27-L27)*1.302</f>
        <v>253076.71299119986</v>
      </c>
      <c r="X27" s="57">
        <f>W27</f>
        <v>253076.71299119986</v>
      </c>
      <c r="Y27" s="57">
        <v>0</v>
      </c>
      <c r="Z27" s="57">
        <v>0</v>
      </c>
      <c r="AA27" s="57">
        <v>0</v>
      </c>
      <c r="AB27" s="57">
        <v>0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8">
        <v>3310</v>
      </c>
      <c r="AM27" s="58">
        <v>200</v>
      </c>
      <c r="AN27" s="65">
        <f>AN17</f>
        <v>61912</v>
      </c>
      <c r="AO27" s="58">
        <f>AL27*AN27*12/1000</f>
        <v>2459144.64</v>
      </c>
      <c r="AP27" s="58"/>
      <c r="AQ27" s="58"/>
      <c r="AR27" s="58">
        <f>(AO27-T27)*1.302</f>
        <v>941306.6275200003</v>
      </c>
      <c r="AS27" s="58">
        <f>AR27</f>
        <v>941306.6275200003</v>
      </c>
    </row>
    <row r="28" spans="1:45" ht="22.5" customHeight="1" hidden="1">
      <c r="A28" s="46" t="s">
        <v>45</v>
      </c>
      <c r="B28" s="53">
        <v>8017</v>
      </c>
      <c r="C28" s="53">
        <f>D28/D25*100</f>
        <v>84.2737503271395</v>
      </c>
      <c r="D28" s="53">
        <v>22540.7</v>
      </c>
      <c r="E28" s="53">
        <f>B28*D28*12*1.302/1000</f>
        <v>2823394.1646456</v>
      </c>
      <c r="F28" s="53">
        <f>(L28*1.302)-E28</f>
        <v>16908.03187919967</v>
      </c>
      <c r="G28" s="86"/>
      <c r="H28" s="127"/>
      <c r="I28" s="127"/>
      <c r="J28" s="86">
        <v>7857</v>
      </c>
      <c r="K28" s="51">
        <v>7844</v>
      </c>
      <c r="L28" s="49">
        <f>K28*P28*12/1000</f>
        <v>2181491.7024</v>
      </c>
      <c r="M28" s="49">
        <f>L28</f>
        <v>2181491.7024</v>
      </c>
      <c r="N28" s="49"/>
      <c r="O28" s="86">
        <f>P28/O25*100</f>
        <v>80.96519053674487</v>
      </c>
      <c r="P28" s="86">
        <v>23175.8</v>
      </c>
      <c r="Q28" s="61">
        <f>R28/Q25*100</f>
        <v>80.15428027583444</v>
      </c>
      <c r="R28" s="61">
        <v>24002.6</v>
      </c>
      <c r="S28" s="86"/>
      <c r="T28" s="54">
        <f>J28*R28*12/1000</f>
        <v>2263061.1383999996</v>
      </c>
      <c r="U28" s="55"/>
      <c r="V28" s="56">
        <f>T28*1.302</f>
        <v>2946505.6021967996</v>
      </c>
      <c r="W28" s="57">
        <f>(T28-L28)*1.302</f>
        <v>106203.40567199969</v>
      </c>
      <c r="X28" s="57">
        <f>W28</f>
        <v>106203.40567199969</v>
      </c>
      <c r="Y28" s="57">
        <v>0</v>
      </c>
      <c r="Z28" s="57">
        <v>0</v>
      </c>
      <c r="AA28" s="57">
        <v>0</v>
      </c>
      <c r="AB28" s="57">
        <v>0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8">
        <v>7872</v>
      </c>
      <c r="AM28" s="58">
        <v>100</v>
      </c>
      <c r="AN28" s="65">
        <f>AN18</f>
        <v>30956</v>
      </c>
      <c r="AO28" s="58">
        <f>AL28*AN28*12/1000</f>
        <v>2924227.584</v>
      </c>
      <c r="AP28" s="58"/>
      <c r="AQ28" s="58"/>
      <c r="AR28" s="58">
        <f>(AO28-T28)*1.302</f>
        <v>860838.7121712003</v>
      </c>
      <c r="AS28" s="58">
        <f>AR28</f>
        <v>860838.7121712003</v>
      </c>
    </row>
    <row r="29" spans="1:45" ht="24.75" customHeight="1" hidden="1">
      <c r="A29" s="46" t="s">
        <v>46</v>
      </c>
      <c r="B29" s="53">
        <v>3399</v>
      </c>
      <c r="C29" s="53">
        <f>D29/D25*100</f>
        <v>47.647586645231236</v>
      </c>
      <c r="D29" s="53">
        <v>12744.3</v>
      </c>
      <c r="E29" s="53">
        <f>B29*D29*12*1.302/1000</f>
        <v>676798.4899368</v>
      </c>
      <c r="F29" s="53">
        <f>(L29*1.302)-E29</f>
        <v>-134497.60566480004</v>
      </c>
      <c r="G29" s="86"/>
      <c r="H29" s="86"/>
      <c r="I29" s="86"/>
      <c r="J29" s="86">
        <v>2334</v>
      </c>
      <c r="K29" s="51">
        <v>2705</v>
      </c>
      <c r="L29" s="49">
        <f>K29*P29*12/1000</f>
        <v>416513.736</v>
      </c>
      <c r="M29" s="49">
        <f>L29</f>
        <v>416513.736</v>
      </c>
      <c r="N29" s="49"/>
      <c r="O29" s="86">
        <f>P29/O25*100</f>
        <v>44.82748983384804</v>
      </c>
      <c r="P29" s="86">
        <v>12831.6</v>
      </c>
      <c r="Q29" s="61">
        <f>R29/Q25*100</f>
        <v>52.316708687448866</v>
      </c>
      <c r="R29" s="61">
        <v>15666.5</v>
      </c>
      <c r="S29" s="86"/>
      <c r="T29" s="54">
        <f>J29*R29*12/1000</f>
        <v>438787.332</v>
      </c>
      <c r="U29" s="55"/>
      <c r="V29" s="56">
        <f>T29*1.302</f>
        <v>571301.1062640001</v>
      </c>
      <c r="W29" s="57">
        <f>(T29-L29)*1.302</f>
        <v>29000.221992000028</v>
      </c>
      <c r="X29" s="57">
        <f>W29</f>
        <v>29000.221992000028</v>
      </c>
      <c r="Y29" s="57">
        <v>0</v>
      </c>
      <c r="Z29" s="57">
        <v>0</v>
      </c>
      <c r="AA29" s="57">
        <v>0</v>
      </c>
      <c r="AB29" s="57">
        <v>0</v>
      </c>
      <c r="AC29" s="57"/>
      <c r="AD29" s="57"/>
      <c r="AE29" s="57"/>
      <c r="AF29" s="57"/>
      <c r="AG29" s="57"/>
      <c r="AH29" s="57"/>
      <c r="AI29" s="57"/>
      <c r="AJ29" s="57"/>
      <c r="AK29" s="57"/>
      <c r="AL29" s="58">
        <v>1229</v>
      </c>
      <c r="AM29" s="58">
        <v>100</v>
      </c>
      <c r="AN29" s="65">
        <f>AN19</f>
        <v>30956</v>
      </c>
      <c r="AO29" s="58">
        <f>AL29*AN29*12/1000</f>
        <v>456539.088</v>
      </c>
      <c r="AP29" s="58"/>
      <c r="AQ29" s="58"/>
      <c r="AR29" s="58">
        <v>0</v>
      </c>
      <c r="AS29" s="58">
        <f>AR29</f>
        <v>0</v>
      </c>
    </row>
    <row r="30" spans="1:45" ht="22.5" customHeight="1" hidden="1">
      <c r="A30" s="46" t="s">
        <v>10</v>
      </c>
      <c r="B30" s="53">
        <f>B27+B28+B29</f>
        <v>14679</v>
      </c>
      <c r="C30" s="53" t="s">
        <v>34</v>
      </c>
      <c r="D30" s="53">
        <f aca="true" t="shared" si="24" ref="D30:AS30">D27+D28+D29</f>
        <v>74201.40000000001</v>
      </c>
      <c r="E30" s="53">
        <f t="shared" si="24"/>
        <v>5484194.0016192</v>
      </c>
      <c r="F30" s="53">
        <f t="shared" si="24"/>
        <v>-94167.94005360047</v>
      </c>
      <c r="G30" s="53">
        <f t="shared" si="24"/>
        <v>0</v>
      </c>
      <c r="H30" s="53">
        <f t="shared" si="24"/>
        <v>0</v>
      </c>
      <c r="I30" s="53">
        <f t="shared" si="24"/>
        <v>0</v>
      </c>
      <c r="J30" s="53">
        <f t="shared" si="24"/>
        <v>13491</v>
      </c>
      <c r="K30" s="53">
        <f t="shared" si="24"/>
        <v>13698</v>
      </c>
      <c r="L30" s="53">
        <f t="shared" si="24"/>
        <v>4139804.9628</v>
      </c>
      <c r="M30" s="53">
        <f t="shared" si="24"/>
        <v>4139804.9628</v>
      </c>
      <c r="N30" s="53"/>
      <c r="O30" s="53" t="s">
        <v>34</v>
      </c>
      <c r="P30" s="53">
        <f t="shared" si="24"/>
        <v>76808.70000000001</v>
      </c>
      <c r="Q30" s="53" t="s">
        <v>34</v>
      </c>
      <c r="R30" s="62">
        <f t="shared" si="24"/>
        <v>83511.9</v>
      </c>
      <c r="S30" s="53"/>
      <c r="T30" s="53">
        <f t="shared" si="24"/>
        <v>4438023.3504</v>
      </c>
      <c r="U30" s="53">
        <f t="shared" si="24"/>
        <v>0</v>
      </c>
      <c r="V30" s="53">
        <f t="shared" si="24"/>
        <v>5778306.4022208</v>
      </c>
      <c r="W30" s="53">
        <f t="shared" si="24"/>
        <v>388280.34065519954</v>
      </c>
      <c r="X30" s="53">
        <f t="shared" si="24"/>
        <v>388280.34065519954</v>
      </c>
      <c r="Y30" s="53">
        <f t="shared" si="24"/>
        <v>0</v>
      </c>
      <c r="Z30" s="53">
        <f t="shared" si="24"/>
        <v>0</v>
      </c>
      <c r="AA30" s="53">
        <f t="shared" si="24"/>
        <v>0</v>
      </c>
      <c r="AB30" s="53">
        <f t="shared" si="24"/>
        <v>0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>
        <f t="shared" si="24"/>
        <v>12411</v>
      </c>
      <c r="AM30" s="53" t="s">
        <v>34</v>
      </c>
      <c r="AN30" s="53" t="s">
        <v>34</v>
      </c>
      <c r="AO30" s="53">
        <f t="shared" si="24"/>
        <v>5839911.311999999</v>
      </c>
      <c r="AP30" s="53">
        <f t="shared" si="24"/>
        <v>0</v>
      </c>
      <c r="AQ30" s="53"/>
      <c r="AR30" s="53">
        <f t="shared" si="24"/>
        <v>1802145.3396912008</v>
      </c>
      <c r="AS30" s="53">
        <f t="shared" si="24"/>
        <v>1802145.3396912008</v>
      </c>
    </row>
    <row r="31" spans="1:45" ht="15" customHeight="1" hidden="1">
      <c r="A31" s="47"/>
      <c r="B31" s="52"/>
      <c r="C31" s="52"/>
      <c r="D31" s="52"/>
      <c r="E31" s="53"/>
      <c r="F31" s="53"/>
      <c r="G31" s="85"/>
      <c r="H31" s="128"/>
      <c r="I31" s="128"/>
      <c r="J31" s="85"/>
      <c r="K31" s="50"/>
      <c r="L31" s="49"/>
      <c r="M31" s="49"/>
      <c r="N31" s="49"/>
      <c r="O31" s="127"/>
      <c r="P31" s="127"/>
      <c r="Q31" s="86"/>
      <c r="R31" s="86"/>
      <c r="S31" s="86"/>
      <c r="T31" s="54"/>
      <c r="U31" s="55"/>
      <c r="V31" s="56"/>
      <c r="W31" s="59"/>
      <c r="X31" s="59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8"/>
      <c r="AM31" s="58"/>
      <c r="AN31" s="58"/>
      <c r="AO31" s="58"/>
      <c r="AP31" s="58"/>
      <c r="AQ31" s="58"/>
      <c r="AR31" s="58"/>
      <c r="AS31" s="58"/>
    </row>
    <row r="32" spans="1:19" ht="12.75" hidden="1">
      <c r="A32" s="83"/>
      <c r="B32" s="83"/>
      <c r="C32" s="15"/>
      <c r="D32" s="40"/>
      <c r="E32" s="129"/>
      <c r="F32" s="129"/>
      <c r="G32" s="15"/>
      <c r="H32" s="130"/>
      <c r="I32" s="130"/>
      <c r="J32" s="84"/>
      <c r="K32" s="41"/>
      <c r="L32" s="41"/>
      <c r="M32" s="41"/>
      <c r="N32" s="41"/>
      <c r="O32" s="129"/>
      <c r="P32" s="129"/>
      <c r="Q32" s="15"/>
      <c r="R32" s="3"/>
      <c r="S32" s="3"/>
    </row>
    <row r="33" spans="1:23" ht="12.75" hidden="1">
      <c r="A33" s="40"/>
      <c r="B33" s="40"/>
      <c r="C33" s="15"/>
      <c r="D33" s="40"/>
      <c r="E33" s="15"/>
      <c r="F33" s="15"/>
      <c r="G33" s="15"/>
      <c r="H33" s="15"/>
      <c r="I33" s="15"/>
      <c r="J33" s="73">
        <f>+J17+J27</f>
        <v>3957</v>
      </c>
      <c r="K33" s="40"/>
      <c r="L33" s="40"/>
      <c r="M33" s="40"/>
      <c r="N33" s="40"/>
      <c r="O33" s="15"/>
      <c r="P33" s="15"/>
      <c r="Q33" s="15"/>
      <c r="R33" s="3"/>
      <c r="S33" s="3"/>
      <c r="W33" s="64">
        <f>W24+W30</f>
        <v>2006371.9027295997</v>
      </c>
    </row>
    <row r="34" spans="1:19" ht="12.75" hidden="1">
      <c r="A34" s="13"/>
      <c r="B34" s="13"/>
      <c r="C34" s="3"/>
      <c r="D34" s="13"/>
      <c r="E34" s="3"/>
      <c r="F34" s="3"/>
      <c r="G34" s="3"/>
      <c r="H34" s="3"/>
      <c r="I34" s="3"/>
      <c r="J34" s="73">
        <f>+J18+J28</f>
        <v>9800</v>
      </c>
      <c r="K34" s="13"/>
      <c r="L34" s="13"/>
      <c r="M34" s="13"/>
      <c r="N34" s="13"/>
      <c r="O34" s="3"/>
      <c r="P34" s="3"/>
      <c r="Q34" s="3"/>
      <c r="R34" s="3"/>
      <c r="S34" s="3"/>
    </row>
    <row r="35" spans="1:19" ht="12.75">
      <c r="A35" s="13"/>
      <c r="B35" s="13"/>
      <c r="C35" s="3"/>
      <c r="D35" s="13"/>
      <c r="E35" s="3"/>
      <c r="F35" s="3"/>
      <c r="G35" s="3"/>
      <c r="H35" s="3"/>
      <c r="I35" s="3"/>
      <c r="J35" s="73">
        <f>+J19+J29</f>
        <v>2931</v>
      </c>
      <c r="K35" s="13"/>
      <c r="L35" s="13"/>
      <c r="M35" s="13"/>
      <c r="N35" s="13"/>
      <c r="O35" s="3"/>
      <c r="P35" s="3"/>
      <c r="Q35" s="3"/>
      <c r="R35" s="3"/>
      <c r="S35" s="3"/>
    </row>
    <row r="36" spans="1:19" ht="12.75">
      <c r="A36" s="13"/>
      <c r="B36" s="13"/>
      <c r="C36" s="3"/>
      <c r="D36" s="13"/>
      <c r="E36" s="3"/>
      <c r="F36" s="3"/>
      <c r="G36" s="3"/>
      <c r="H36" s="3"/>
      <c r="I36" s="3"/>
      <c r="J36" s="3"/>
      <c r="K36" s="13"/>
      <c r="L36" s="13"/>
      <c r="M36" s="13"/>
      <c r="N36" s="13"/>
      <c r="O36" s="3"/>
      <c r="P36" s="3"/>
      <c r="Q36" s="3"/>
      <c r="R36" s="3"/>
      <c r="S36" s="3"/>
    </row>
    <row r="37" spans="1:19" ht="12.75">
      <c r="A37" s="13"/>
      <c r="B37" s="13"/>
      <c r="C37" s="3"/>
      <c r="D37" s="13"/>
      <c r="E37" s="3"/>
      <c r="F37" s="3"/>
      <c r="G37" s="3"/>
      <c r="H37" s="3"/>
      <c r="I37" s="3"/>
      <c r="J37" s="3"/>
      <c r="K37" s="13"/>
      <c r="L37" s="13"/>
      <c r="M37" s="13"/>
      <c r="N37" s="13"/>
      <c r="O37" s="3"/>
      <c r="P37" s="3"/>
      <c r="Q37" s="3"/>
      <c r="R37" s="3"/>
      <c r="S37" s="3"/>
    </row>
    <row r="38" spans="1:19" ht="12.75">
      <c r="A38" s="13"/>
      <c r="B38" s="13"/>
      <c r="C38" s="3"/>
      <c r="D38" s="13"/>
      <c r="E38" s="3"/>
      <c r="F38" s="3"/>
      <c r="G38" s="3"/>
      <c r="H38" s="3"/>
      <c r="I38" s="3"/>
      <c r="J38" s="3"/>
      <c r="K38" s="13"/>
      <c r="L38" s="13"/>
      <c r="M38" s="13"/>
      <c r="N38" s="13"/>
      <c r="O38" s="3"/>
      <c r="P38" s="3"/>
      <c r="Q38" s="3"/>
      <c r="R38" s="3"/>
      <c r="S38" s="3"/>
    </row>
    <row r="39" spans="1:19" ht="12.75">
      <c r="A39" s="13"/>
      <c r="B39" s="13"/>
      <c r="C39" s="3"/>
      <c r="D39" s="13"/>
      <c r="E39" s="3"/>
      <c r="F39" s="3"/>
      <c r="G39" s="3"/>
      <c r="H39" s="3"/>
      <c r="I39" s="3"/>
      <c r="J39" s="3"/>
      <c r="K39" s="13"/>
      <c r="L39" s="13"/>
      <c r="M39" s="13"/>
      <c r="N39" s="13"/>
      <c r="O39" s="3"/>
      <c r="P39" s="3"/>
      <c r="Q39" s="3"/>
      <c r="R39" s="3"/>
      <c r="S39" s="3"/>
    </row>
    <row r="40" spans="1:19" ht="12.75">
      <c r="A40" s="13"/>
      <c r="B40" s="13"/>
      <c r="C40" s="3"/>
      <c r="D40" s="13"/>
      <c r="E40" s="3"/>
      <c r="F40" s="3"/>
      <c r="G40" s="3"/>
      <c r="H40" s="3"/>
      <c r="I40" s="3"/>
      <c r="J40" s="3"/>
      <c r="K40" s="13"/>
      <c r="L40" s="13"/>
      <c r="M40" s="13"/>
      <c r="N40" s="13"/>
      <c r="O40" s="3"/>
      <c r="P40" s="3"/>
      <c r="Q40" s="3"/>
      <c r="R40" s="3"/>
      <c r="S40" s="3"/>
    </row>
    <row r="41" spans="1:19" ht="12.75">
      <c r="A41" s="13"/>
      <c r="B41" s="13"/>
      <c r="C41" s="3"/>
      <c r="D41" s="13"/>
      <c r="E41" s="3"/>
      <c r="F41" s="3"/>
      <c r="G41" s="3"/>
      <c r="H41" s="3"/>
      <c r="I41" s="3"/>
      <c r="J41" s="3"/>
      <c r="K41" s="13"/>
      <c r="L41" s="13"/>
      <c r="M41" s="13"/>
      <c r="N41" s="13"/>
      <c r="O41" s="3"/>
      <c r="P41" s="3"/>
      <c r="Q41" s="3"/>
      <c r="R41" s="3"/>
      <c r="S41" s="3"/>
    </row>
    <row r="42" spans="1:19" ht="12.75">
      <c r="A42" s="13"/>
      <c r="B42" s="13"/>
      <c r="C42" s="3"/>
      <c r="D42" s="13"/>
      <c r="E42" s="3"/>
      <c r="F42" s="3"/>
      <c r="G42" s="3"/>
      <c r="H42" s="3"/>
      <c r="I42" s="3"/>
      <c r="J42" s="3"/>
      <c r="K42" s="13"/>
      <c r="L42" s="13"/>
      <c r="M42" s="13"/>
      <c r="N42" s="13"/>
      <c r="O42" s="3"/>
      <c r="P42" s="3"/>
      <c r="Q42" s="3"/>
      <c r="R42" s="3"/>
      <c r="S42" s="3"/>
    </row>
    <row r="43" spans="1:19" ht="12.75">
      <c r="A43" s="13"/>
      <c r="B43" s="13"/>
      <c r="C43" s="3"/>
      <c r="D43" s="13"/>
      <c r="E43" s="3"/>
      <c r="F43" s="3"/>
      <c r="G43" s="3"/>
      <c r="H43" s="3"/>
      <c r="I43" s="3"/>
      <c r="J43" s="3"/>
      <c r="K43" s="13"/>
      <c r="L43" s="13"/>
      <c r="M43" s="13"/>
      <c r="N43" s="13"/>
      <c r="O43" s="3"/>
      <c r="P43" s="3"/>
      <c r="Q43" s="3"/>
      <c r="R43" s="3"/>
      <c r="S43" s="3"/>
    </row>
    <row r="44" spans="1:19" ht="12.75">
      <c r="A44" s="13"/>
      <c r="B44" s="13"/>
      <c r="C44" s="3"/>
      <c r="D44" s="13"/>
      <c r="E44" s="3"/>
      <c r="F44" s="3"/>
      <c r="G44" s="3"/>
      <c r="H44" s="3"/>
      <c r="I44" s="3"/>
      <c r="J44" s="3"/>
      <c r="K44" s="13"/>
      <c r="L44" s="13"/>
      <c r="M44" s="13"/>
      <c r="N44" s="13"/>
      <c r="O44" s="3"/>
      <c r="P44" s="3"/>
      <c r="Q44" s="3"/>
      <c r="R44" s="3"/>
      <c r="S44" s="3"/>
    </row>
    <row r="45" spans="1:19" ht="12.75">
      <c r="A45" s="13"/>
      <c r="B45" s="13"/>
      <c r="C45" s="3"/>
      <c r="D45" s="13"/>
      <c r="E45" s="3"/>
      <c r="F45" s="3"/>
      <c r="G45" s="3"/>
      <c r="H45" s="3"/>
      <c r="I45" s="3"/>
      <c r="J45" s="3"/>
      <c r="K45" s="13"/>
      <c r="L45" s="13"/>
      <c r="M45" s="13"/>
      <c r="N45" s="13"/>
      <c r="O45" s="3"/>
      <c r="P45" s="3"/>
      <c r="Q45" s="3"/>
      <c r="R45" s="3"/>
      <c r="S45" s="3"/>
    </row>
  </sheetData>
  <sheetProtection/>
  <mergeCells count="40">
    <mergeCell ref="T1:U1"/>
    <mergeCell ref="A2:U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M4"/>
    <mergeCell ref="N4:N5"/>
    <mergeCell ref="O4:O5"/>
    <mergeCell ref="P4:P5"/>
    <mergeCell ref="AM4:AM5"/>
    <mergeCell ref="AN4:AN5"/>
    <mergeCell ref="Q4:Q5"/>
    <mergeCell ref="R4:R5"/>
    <mergeCell ref="S4:S5"/>
    <mergeCell ref="T4:T5"/>
    <mergeCell ref="U4:U5"/>
    <mergeCell ref="V4:V5"/>
    <mergeCell ref="AO4:AO5"/>
    <mergeCell ref="AP4:AP5"/>
    <mergeCell ref="AQ4:AQ5"/>
    <mergeCell ref="AR4:AS4"/>
    <mergeCell ref="AT4:AT5"/>
    <mergeCell ref="H27:I27"/>
    <mergeCell ref="W4:X4"/>
    <mergeCell ref="Y4:Z4"/>
    <mergeCell ref="AA4:AB4"/>
    <mergeCell ref="AL4:AL5"/>
    <mergeCell ref="H28:I28"/>
    <mergeCell ref="H31:I31"/>
    <mergeCell ref="O31:P31"/>
    <mergeCell ref="E32:F32"/>
    <mergeCell ref="H32:I32"/>
    <mergeCell ref="O32:P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АЛЕЙЧИК ДАРЬЯ ПЕТРОВНА</dc:creator>
  <cp:keywords/>
  <dc:description/>
  <cp:lastModifiedBy>Першина Наталья Викторовна</cp:lastModifiedBy>
  <cp:lastPrinted>2018-03-22T04:59:07Z</cp:lastPrinted>
  <dcterms:created xsi:type="dcterms:W3CDTF">2013-07-25T07:38:39Z</dcterms:created>
  <dcterms:modified xsi:type="dcterms:W3CDTF">2018-04-05T02:14:40Z</dcterms:modified>
  <cp:category/>
  <cp:version/>
  <cp:contentType/>
  <cp:contentStatus/>
</cp:coreProperties>
</file>