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0.27.1.15\пользовательские папки\Григорьева Е.В\Почта - Григорьева Е.В\ЗАКЛЮЧЕНИЕ на проект об исполнении бюджета за 2024 год\Приложения\"/>
    </mc:Choice>
  </mc:AlternateContent>
  <xr:revisionPtr revIDLastSave="0" documentId="13_ncr:1_{76721681-B705-4CA3-9313-B219B5EB5B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_FilterDatabase" localSheetId="0" hidden="1">Документ!$A$9:$G$212</definedName>
    <definedName name="_xlnm.Print_Titles" localSheetId="0">Документ!$6:$9</definedName>
    <definedName name="_xlnm.Print_Area" localSheetId="0">Документ!$A$1:$G$171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6" i="2" l="1"/>
  <c r="G45" i="2"/>
  <c r="D169" i="2"/>
  <c r="D186" i="2"/>
  <c r="G12" i="2"/>
  <c r="G13" i="2"/>
  <c r="G16" i="2"/>
  <c r="G18" i="2"/>
  <c r="G19" i="2"/>
  <c r="G20" i="2"/>
  <c r="G23" i="2"/>
  <c r="G24" i="2"/>
  <c r="G25" i="2"/>
  <c r="G28" i="2"/>
  <c r="G33" i="2"/>
  <c r="G34" i="2"/>
  <c r="G35" i="2"/>
  <c r="G36" i="2"/>
  <c r="G39" i="2"/>
  <c r="G47" i="2"/>
  <c r="G55" i="2"/>
  <c r="G56" i="2"/>
  <c r="G58" i="2"/>
  <c r="G60" i="2"/>
  <c r="G61" i="2"/>
  <c r="G62" i="2"/>
  <c r="G63" i="2"/>
  <c r="G65" i="2"/>
  <c r="G66" i="2"/>
  <c r="G68" i="2"/>
  <c r="G69" i="2"/>
  <c r="G70" i="2"/>
  <c r="G71" i="2"/>
  <c r="G72" i="2"/>
  <c r="G74" i="2"/>
  <c r="G75" i="2"/>
  <c r="G76" i="2"/>
  <c r="G77" i="2"/>
  <c r="G78" i="2"/>
  <c r="G80" i="2"/>
  <c r="G82" i="2"/>
  <c r="G83" i="2"/>
  <c r="G86" i="2"/>
  <c r="G88" i="2"/>
  <c r="G89" i="2"/>
  <c r="G94" i="2"/>
  <c r="G97" i="2"/>
  <c r="G98" i="2"/>
  <c r="G99" i="2"/>
  <c r="G100" i="2"/>
  <c r="G103" i="2"/>
  <c r="G104" i="2"/>
  <c r="G106" i="2"/>
  <c r="G108" i="2"/>
  <c r="G109" i="2"/>
  <c r="G111" i="2"/>
  <c r="G112" i="2"/>
  <c r="G113" i="2"/>
  <c r="G116" i="2"/>
  <c r="G117" i="2"/>
  <c r="G118" i="2"/>
  <c r="G120" i="2"/>
  <c r="G121" i="2"/>
  <c r="G122" i="2"/>
  <c r="G123" i="2"/>
  <c r="G128" i="2"/>
  <c r="G129" i="2"/>
  <c r="G130" i="2"/>
  <c r="G131" i="2"/>
  <c r="G132" i="2"/>
  <c r="G133" i="2"/>
  <c r="G134" i="2"/>
  <c r="G137" i="2"/>
  <c r="G142" i="2"/>
  <c r="G144" i="2"/>
  <c r="G146" i="2"/>
  <c r="G147" i="2"/>
  <c r="G148" i="2"/>
  <c r="G152" i="2"/>
  <c r="G156" i="2"/>
  <c r="G157" i="2"/>
  <c r="G159" i="2"/>
  <c r="G160" i="2"/>
  <c r="G163" i="2"/>
  <c r="G166" i="2"/>
  <c r="G167" i="2"/>
  <c r="G170" i="2"/>
  <c r="G173" i="2"/>
  <c r="G174" i="2"/>
  <c r="G176" i="2"/>
  <c r="G177" i="2"/>
  <c r="G178" i="2"/>
  <c r="G179" i="2"/>
  <c r="G181" i="2"/>
  <c r="G182" i="2"/>
  <c r="G184" i="2"/>
  <c r="G185" i="2"/>
  <c r="G187" i="2"/>
  <c r="G188" i="2"/>
  <c r="G191" i="2"/>
  <c r="G194" i="2"/>
  <c r="G195" i="2"/>
  <c r="G196" i="2"/>
  <c r="G198" i="2"/>
  <c r="G199" i="2"/>
  <c r="G200" i="2"/>
  <c r="G201" i="2"/>
  <c r="G203" i="2"/>
  <c r="G205" i="2"/>
  <c r="G206" i="2"/>
  <c r="G207" i="2"/>
  <c r="G208" i="2"/>
  <c r="G209" i="2"/>
  <c r="G210" i="2"/>
  <c r="G211" i="2"/>
  <c r="D136" i="2"/>
  <c r="G139" i="2"/>
  <c r="D91" i="2"/>
  <c r="G91" i="2" s="1"/>
  <c r="D30" i="2"/>
  <c r="G30" i="2" s="1"/>
  <c r="D31" i="2"/>
  <c r="G31" i="2" s="1"/>
  <c r="E180" i="2"/>
  <c r="G180" i="2" s="1"/>
  <c r="D180" i="2"/>
  <c r="D15" i="2"/>
  <c r="E15" i="2"/>
  <c r="G15" i="2" s="1"/>
  <c r="D41" i="2"/>
  <c r="G41" i="2" s="1"/>
  <c r="D52" i="2"/>
  <c r="D64" i="2"/>
  <c r="G57" i="2"/>
  <c r="D49" i="2"/>
  <c r="G136" i="2" l="1"/>
  <c r="G49" i="2"/>
  <c r="G52" i="2"/>
  <c r="G64" i="2"/>
  <c r="E192" i="2"/>
  <c r="D192" i="2"/>
  <c r="E204" i="2"/>
  <c r="D204" i="2"/>
  <c r="D190" i="2"/>
  <c r="G190" i="2" s="1"/>
  <c r="E189" i="2"/>
  <c r="D189" i="2"/>
  <c r="E202" i="2"/>
  <c r="D202" i="2"/>
  <c r="E183" i="2"/>
  <c r="D183" i="2"/>
  <c r="E193" i="2"/>
  <c r="D193" i="2"/>
  <c r="E175" i="2"/>
  <c r="D175" i="2"/>
  <c r="E197" i="2"/>
  <c r="D197" i="2"/>
  <c r="E186" i="2"/>
  <c r="G186" i="2" s="1"/>
  <c r="G193" i="2" l="1"/>
  <c r="G197" i="2"/>
  <c r="G202" i="2"/>
  <c r="G175" i="2"/>
  <c r="G189" i="2"/>
  <c r="G204" i="2"/>
  <c r="G183" i="2"/>
  <c r="G192" i="2"/>
  <c r="F16" i="2"/>
  <c r="F18" i="2"/>
  <c r="F19" i="2"/>
  <c r="F20" i="2"/>
  <c r="F22" i="2"/>
  <c r="F23" i="2"/>
  <c r="F24" i="2"/>
  <c r="F25" i="2"/>
  <c r="F28" i="2"/>
  <c r="F30" i="2"/>
  <c r="F33" i="2"/>
  <c r="F34" i="2"/>
  <c r="F35" i="2"/>
  <c r="F36" i="2"/>
  <c r="F39" i="2"/>
  <c r="F41" i="2"/>
  <c r="F42" i="2"/>
  <c r="F45" i="2"/>
  <c r="F47" i="2"/>
  <c r="F51" i="2"/>
  <c r="F52" i="2"/>
  <c r="F55" i="2"/>
  <c r="F56" i="2"/>
  <c r="F57" i="2"/>
  <c r="F58" i="2"/>
  <c r="F60" i="2"/>
  <c r="F61" i="2"/>
  <c r="F62" i="2"/>
  <c r="F63" i="2"/>
  <c r="F64" i="2"/>
  <c r="F65" i="2"/>
  <c r="F66" i="2"/>
  <c r="F68" i="2"/>
  <c r="F69" i="2"/>
  <c r="F70" i="2"/>
  <c r="F71" i="2"/>
  <c r="F72" i="2"/>
  <c r="F74" i="2"/>
  <c r="F75" i="2"/>
  <c r="F76" i="2"/>
  <c r="F77" i="2"/>
  <c r="F78" i="2"/>
  <c r="F80" i="2"/>
  <c r="F82" i="2"/>
  <c r="F83" i="2"/>
  <c r="F86" i="2"/>
  <c r="F88" i="2"/>
  <c r="F89" i="2"/>
  <c r="F94" i="2"/>
  <c r="F97" i="2"/>
  <c r="F98" i="2"/>
  <c r="F99" i="2"/>
  <c r="F100" i="2"/>
  <c r="F103" i="2"/>
  <c r="F104" i="2"/>
  <c r="F106" i="2"/>
  <c r="F108" i="2"/>
  <c r="F109" i="2"/>
  <c r="F111" i="2"/>
  <c r="F112" i="2"/>
  <c r="F113" i="2"/>
  <c r="F116" i="2"/>
  <c r="F117" i="2"/>
  <c r="F118" i="2"/>
  <c r="F120" i="2"/>
  <c r="F121" i="2"/>
  <c r="F122" i="2"/>
  <c r="F123" i="2"/>
  <c r="F128" i="2"/>
  <c r="F130" i="2"/>
  <c r="F131" i="2"/>
  <c r="F132" i="2"/>
  <c r="F133" i="2"/>
  <c r="F134" i="2"/>
  <c r="F136" i="2"/>
  <c r="F137" i="2"/>
  <c r="F142" i="2"/>
  <c r="F144" i="2"/>
  <c r="F146" i="2"/>
  <c r="F147" i="2"/>
  <c r="F148" i="2"/>
  <c r="F152" i="2"/>
  <c r="F156" i="2"/>
  <c r="F157" i="2"/>
  <c r="F159" i="2"/>
  <c r="F160" i="2"/>
  <c r="F163" i="2"/>
  <c r="F166" i="2"/>
  <c r="F167" i="2"/>
  <c r="F170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7" i="2"/>
  <c r="F188" i="2"/>
  <c r="F189" i="2"/>
  <c r="F190" i="2"/>
  <c r="F191" i="2"/>
  <c r="F192" i="2"/>
  <c r="F194" i="2"/>
  <c r="F195" i="2"/>
  <c r="F196" i="2"/>
  <c r="F197" i="2"/>
  <c r="F198" i="2"/>
  <c r="F199" i="2"/>
  <c r="F200" i="2"/>
  <c r="F201" i="2"/>
  <c r="F203" i="2"/>
  <c r="F205" i="2"/>
  <c r="F206" i="2"/>
  <c r="F207" i="2"/>
  <c r="F208" i="2"/>
  <c r="F209" i="2"/>
  <c r="F210" i="2"/>
  <c r="F211" i="2"/>
  <c r="F13" i="2"/>
  <c r="F12" i="2"/>
  <c r="C204" i="2"/>
  <c r="F204" i="2" s="1"/>
  <c r="C202" i="2"/>
  <c r="F202" i="2" s="1"/>
  <c r="C193" i="2"/>
  <c r="F193" i="2" s="1"/>
  <c r="C186" i="2"/>
  <c r="F186" i="2" s="1"/>
  <c r="C169" i="2"/>
  <c r="C168" i="2" s="1"/>
  <c r="C165" i="2"/>
  <c r="C164" i="2" s="1"/>
  <c r="C162" i="2"/>
  <c r="C161" i="2" s="1"/>
  <c r="C158" i="2"/>
  <c r="C155" i="2"/>
  <c r="C154" i="2" s="1"/>
  <c r="C150" i="2"/>
  <c r="C149" i="2" s="1"/>
  <c r="C145" i="2"/>
  <c r="C143" i="2"/>
  <c r="C141" i="2"/>
  <c r="C139" i="2"/>
  <c r="C138" i="2" s="1"/>
  <c r="C135" i="2"/>
  <c r="C129" i="2"/>
  <c r="C127" i="2" s="1"/>
  <c r="C124" i="2"/>
  <c r="C119" i="2"/>
  <c r="C115" i="2"/>
  <c r="C110" i="2"/>
  <c r="C107" i="2"/>
  <c r="C105" i="2"/>
  <c r="C101" i="2"/>
  <c r="C96" i="2"/>
  <c r="C93" i="2"/>
  <c r="C91" i="2"/>
  <c r="C90" i="2" s="1"/>
  <c r="C87" i="2"/>
  <c r="C85" i="2"/>
  <c r="C81" i="2"/>
  <c r="C79" i="2"/>
  <c r="C73" i="2"/>
  <c r="C67" i="2"/>
  <c r="C54" i="2"/>
  <c r="C50" i="2"/>
  <c r="C49" i="2"/>
  <c r="C48" i="2" s="1"/>
  <c r="C46" i="2"/>
  <c r="C43" i="2"/>
  <c r="C40" i="2"/>
  <c r="C38" i="2"/>
  <c r="C31" i="2"/>
  <c r="C29" i="2" s="1"/>
  <c r="C26" i="2"/>
  <c r="C21" i="2"/>
  <c r="C15" i="2"/>
  <c r="C11" i="2"/>
  <c r="C114" i="2" l="1"/>
  <c r="F31" i="2"/>
  <c r="F91" i="2"/>
  <c r="F49" i="2"/>
  <c r="C126" i="2"/>
  <c r="C172" i="2"/>
  <c r="F139" i="2"/>
  <c r="F129" i="2"/>
  <c r="C140" i="2"/>
  <c r="C37" i="2"/>
  <c r="C84" i="2"/>
  <c r="C10" i="2"/>
  <c r="C53" i="2"/>
  <c r="C95" i="2"/>
  <c r="C212" i="2" l="1"/>
  <c r="C171" i="2"/>
  <c r="E54" i="2"/>
  <c r="F54" i="2" l="1"/>
  <c r="E169" i="2"/>
  <c r="E165" i="2"/>
  <c r="E162" i="2"/>
  <c r="E158" i="2"/>
  <c r="F158" i="2" s="1"/>
  <c r="E155" i="2"/>
  <c r="E150" i="2"/>
  <c r="E145" i="2"/>
  <c r="F145" i="2" s="1"/>
  <c r="E143" i="2"/>
  <c r="E141" i="2"/>
  <c r="E138" i="2"/>
  <c r="E135" i="2"/>
  <c r="F135" i="2" s="1"/>
  <c r="E127" i="2"/>
  <c r="F127" i="2" s="1"/>
  <c r="E124" i="2"/>
  <c r="E119" i="2"/>
  <c r="F119" i="2" s="1"/>
  <c r="E115" i="2"/>
  <c r="E110" i="2"/>
  <c r="F110" i="2" s="1"/>
  <c r="E107" i="2"/>
  <c r="F107" i="2" s="1"/>
  <c r="E105" i="2"/>
  <c r="E101" i="2"/>
  <c r="E96" i="2"/>
  <c r="E93" i="2"/>
  <c r="E90" i="2"/>
  <c r="E87" i="2"/>
  <c r="E85" i="2"/>
  <c r="E81" i="2"/>
  <c r="E79" i="2"/>
  <c r="E73" i="2"/>
  <c r="E67" i="2"/>
  <c r="E50" i="2"/>
  <c r="E48" i="2"/>
  <c r="E46" i="2"/>
  <c r="E43" i="2"/>
  <c r="F43" i="2" s="1"/>
  <c r="E40" i="2"/>
  <c r="E38" i="2"/>
  <c r="F38" i="2" s="1"/>
  <c r="E29" i="2"/>
  <c r="E26" i="2"/>
  <c r="E21" i="2"/>
  <c r="F15" i="2"/>
  <c r="E11" i="2"/>
  <c r="F50" i="2" l="1"/>
  <c r="F141" i="2"/>
  <c r="F155" i="2"/>
  <c r="F79" i="2"/>
  <c r="F105" i="2"/>
  <c r="G67" i="2"/>
  <c r="F85" i="2"/>
  <c r="F48" i="2"/>
  <c r="F46" i="2"/>
  <c r="G87" i="2"/>
  <c r="F101" i="2"/>
  <c r="F40" i="2"/>
  <c r="F73" i="2"/>
  <c r="F115" i="2"/>
  <c r="G115" i="2"/>
  <c r="F90" i="2"/>
  <c r="F93" i="2"/>
  <c r="F29" i="2"/>
  <c r="F26" i="2"/>
  <c r="F21" i="2"/>
  <c r="F11" i="2"/>
  <c r="F138" i="2"/>
  <c r="F143" i="2"/>
  <c r="G169" i="2"/>
  <c r="E164" i="2"/>
  <c r="F164" i="2" s="1"/>
  <c r="F165" i="2"/>
  <c r="F87" i="2"/>
  <c r="E161" i="2"/>
  <c r="F161" i="2" s="1"/>
  <c r="F162" i="2"/>
  <c r="E149" i="2"/>
  <c r="F149" i="2" s="1"/>
  <c r="F150" i="2"/>
  <c r="F96" i="2"/>
  <c r="E168" i="2"/>
  <c r="F169" i="2"/>
  <c r="F81" i="2"/>
  <c r="F67" i="2"/>
  <c r="E114" i="2"/>
  <c r="F114" i="2" s="1"/>
  <c r="E154" i="2"/>
  <c r="F154" i="2" s="1"/>
  <c r="E37" i="2"/>
  <c r="F37" i="2" s="1"/>
  <c r="E140" i="2"/>
  <c r="F140" i="2" s="1"/>
  <c r="E172" i="2"/>
  <c r="F172" i="2" s="1"/>
  <c r="E126" i="2"/>
  <c r="F126" i="2" s="1"/>
  <c r="E10" i="2"/>
  <c r="E95" i="2"/>
  <c r="E53" i="2"/>
  <c r="E84" i="2"/>
  <c r="D165" i="2"/>
  <c r="G165" i="2" s="1"/>
  <c r="D162" i="2"/>
  <c r="G162" i="2" s="1"/>
  <c r="D158" i="2"/>
  <c r="G158" i="2" s="1"/>
  <c r="D155" i="2"/>
  <c r="G155" i="2" s="1"/>
  <c r="D150" i="2"/>
  <c r="G150" i="2" s="1"/>
  <c r="D145" i="2"/>
  <c r="G145" i="2" s="1"/>
  <c r="D143" i="2"/>
  <c r="G143" i="2" s="1"/>
  <c r="D141" i="2"/>
  <c r="G141" i="2" s="1"/>
  <c r="D138" i="2"/>
  <c r="G138" i="2" s="1"/>
  <c r="D135" i="2"/>
  <c r="G135" i="2" s="1"/>
  <c r="D127" i="2"/>
  <c r="G127" i="2" s="1"/>
  <c r="D124" i="2"/>
  <c r="D119" i="2"/>
  <c r="G119" i="2" s="1"/>
  <c r="D115" i="2"/>
  <c r="D110" i="2"/>
  <c r="G110" i="2" s="1"/>
  <c r="D107" i="2"/>
  <c r="G107" i="2" s="1"/>
  <c r="D105" i="2"/>
  <c r="G105" i="2" s="1"/>
  <c r="D101" i="2"/>
  <c r="G101" i="2" s="1"/>
  <c r="D96" i="2"/>
  <c r="G96" i="2" s="1"/>
  <c r="D93" i="2"/>
  <c r="G93" i="2" s="1"/>
  <c r="D90" i="2"/>
  <c r="G90" i="2" s="1"/>
  <c r="D87" i="2"/>
  <c r="D85" i="2"/>
  <c r="G85" i="2" s="1"/>
  <c r="D81" i="2"/>
  <c r="G81" i="2" s="1"/>
  <c r="D79" i="2"/>
  <c r="G79" i="2" s="1"/>
  <c r="D73" i="2"/>
  <c r="G73" i="2" s="1"/>
  <c r="D67" i="2"/>
  <c r="D54" i="2"/>
  <c r="G54" i="2" s="1"/>
  <c r="D50" i="2"/>
  <c r="G50" i="2" s="1"/>
  <c r="D48" i="2"/>
  <c r="G48" i="2" s="1"/>
  <c r="D46" i="2"/>
  <c r="G46" i="2" s="1"/>
  <c r="D43" i="2"/>
  <c r="G43" i="2" s="1"/>
  <c r="D40" i="2"/>
  <c r="G40" i="2" s="1"/>
  <c r="D38" i="2"/>
  <c r="G38" i="2" s="1"/>
  <c r="D29" i="2"/>
  <c r="G29" i="2" s="1"/>
  <c r="D26" i="2"/>
  <c r="G26" i="2" s="1"/>
  <c r="D21" i="2"/>
  <c r="G21" i="2" s="1"/>
  <c r="D11" i="2"/>
  <c r="G11" i="2" s="1"/>
  <c r="F53" i="2" l="1"/>
  <c r="F84" i="2"/>
  <c r="F10" i="2"/>
  <c r="F168" i="2"/>
  <c r="D164" i="2"/>
  <c r="G164" i="2" s="1"/>
  <c r="D161" i="2"/>
  <c r="G161" i="2" s="1"/>
  <c r="D149" i="2"/>
  <c r="G149" i="2" s="1"/>
  <c r="F95" i="2"/>
  <c r="D168" i="2"/>
  <c r="G168" i="2" s="1"/>
  <c r="D172" i="2"/>
  <c r="G172" i="2" s="1"/>
  <c r="D140" i="2"/>
  <c r="G140" i="2" s="1"/>
  <c r="D114" i="2"/>
  <c r="G114" i="2" s="1"/>
  <c r="D126" i="2"/>
  <c r="E212" i="2"/>
  <c r="F212" i="2" s="1"/>
  <c r="D37" i="2"/>
  <c r="G37" i="2" s="1"/>
  <c r="D84" i="2"/>
  <c r="G84" i="2" s="1"/>
  <c r="D95" i="2"/>
  <c r="G95" i="2" s="1"/>
  <c r="D53" i="2"/>
  <c r="G53" i="2" s="1"/>
  <c r="D10" i="2"/>
  <c r="G10" i="2" s="1"/>
  <c r="D154" i="2"/>
  <c r="G154" i="2" s="1"/>
  <c r="B193" i="2"/>
  <c r="G126" i="2" l="1"/>
  <c r="D171" i="2"/>
  <c r="G171" i="2" s="1"/>
  <c r="F171" i="2"/>
  <c r="D212" i="2"/>
  <c r="G212" i="2" s="1"/>
  <c r="B165" i="2"/>
  <c r="B164" i="2" s="1"/>
  <c r="B101" i="2"/>
  <c r="B202" i="2"/>
  <c r="B172" i="2" s="1"/>
  <c r="B169" i="2"/>
  <c r="B168" i="2" s="1"/>
  <c r="B85" i="2"/>
  <c r="B107" i="2"/>
  <c r="B162" i="2"/>
  <c r="B161" i="2" s="1"/>
  <c r="B26" i="2"/>
  <c r="B127" i="2"/>
  <c r="B67" i="2"/>
  <c r="B21" i="2"/>
  <c r="B150" i="2"/>
  <c r="B149" i="2" s="1"/>
  <c r="B145" i="2"/>
  <c r="B119" i="2"/>
  <c r="B29" i="2"/>
  <c r="B11" i="2"/>
  <c r="B48" i="2"/>
  <c r="B38" i="2"/>
  <c r="B50" i="2"/>
  <c r="B40" i="2"/>
  <c r="B46" i="2"/>
  <c r="B43" i="2"/>
  <c r="B138" i="2"/>
  <c r="B135" i="2"/>
  <c r="B81" i="2"/>
  <c r="B73" i="2"/>
  <c r="B54" i="2"/>
  <c r="B96" i="2"/>
  <c r="B93" i="2"/>
  <c r="B87" i="2"/>
  <c r="B105" i="2"/>
  <c r="B143" i="2"/>
  <c r="B141" i="2"/>
  <c r="B158" i="2"/>
  <c r="B115" i="2"/>
  <c r="B110" i="2"/>
  <c r="B15" i="2"/>
  <c r="B10" i="2" l="1"/>
  <c r="B140" i="2"/>
  <c r="B126" i="2"/>
  <c r="B37" i="2"/>
  <c r="B95" i="2"/>
  <c r="B90" i="2"/>
  <c r="B84" i="2" s="1"/>
  <c r="B155" i="2" l="1"/>
  <c r="B154" i="2" s="1"/>
  <c r="B124" i="2"/>
  <c r="B114" i="2" s="1"/>
  <c r="B79" i="2" l="1"/>
  <c r="B53" i="2" s="1"/>
  <c r="B212" i="2" s="1"/>
  <c r="B171" i="2" l="1"/>
</calcChain>
</file>

<file path=xl/sharedStrings.xml><?xml version="1.0" encoding="utf-8"?>
<sst xmlns="http://schemas.openxmlformats.org/spreadsheetml/2006/main" count="248" uniqueCount="220">
  <si>
    <t>Наименование национального/регионального проекта</t>
  </si>
  <si>
    <t>1</t>
  </si>
  <si>
    <t>2</t>
  </si>
  <si>
    <t>Национальный проект "Демография"</t>
  </si>
  <si>
    <t>Региональный проект "Финансовая поддержка семей при рождении детей (Забайкальский край)"</t>
  </si>
  <si>
    <t>Региональный проект "Разработка и реализация программы системной поддержки и повышения качества жизни граждан старшего поколения (Забайкальский край)"</t>
  </si>
  <si>
    <t>Региональный проект "Формирование системы мотивации граждан к здоровому образу жизни, включая здоровое питание и отказ от вредных привычек (Забайкальский край)"</t>
  </si>
  <si>
    <t>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 (Забайкальский край)"</t>
  </si>
  <si>
    <t>Национальный проект "Здравоохранение"</t>
  </si>
  <si>
    <t>Региональный проект "Развитие системы оказания первичной медико-санитарной помощи (Забайкальский край)"</t>
  </si>
  <si>
    <t>Региональный проект "Борьба с сердечно-сосудистыми заболеваниями (Забайкальский край)"</t>
  </si>
  <si>
    <t>Региональный проект "Борьба с онкологическими заболеваниями (Забайкальский край)"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</si>
  <si>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 (Забайкальский край)"</t>
  </si>
  <si>
    <t>Национальный проект "Образование"</t>
  </si>
  <si>
    <t>Региональный проект "Современная школа"</t>
  </si>
  <si>
    <t>Региональный проект "Успех каждого ребенка"</t>
  </si>
  <si>
    <t>Региональный проект "Цифровая образовательная среда"</t>
  </si>
  <si>
    <t>Региональный проект "Молодые профессионалы (Повышение конкурентоспособности профессионального образования)"</t>
  </si>
  <si>
    <t>Национальный проект "Жилье и городская среда"</t>
  </si>
  <si>
    <t>Региональный проект "Жилье (Забайкальский край)"</t>
  </si>
  <si>
    <t>Региональный проект "Формирование комфортной городской среды"</t>
  </si>
  <si>
    <t>Региональный проект "Обеспечение устойчивого сокращения непригодного для проживания жилищного фонда (Забайкальский край)"</t>
  </si>
  <si>
    <t>Региональный проект "Чистая вода"</t>
  </si>
  <si>
    <t>Национальный проект "Экология"</t>
  </si>
  <si>
    <t>Региональный проект "Чистая страна (Забайкальский край)"</t>
  </si>
  <si>
    <t>Региональный проект "Чистый воздух (Забайкальский край)"</t>
  </si>
  <si>
    <t>Региональный проект "Сохранение озера Байкал (Забайкальский край)"</t>
  </si>
  <si>
    <t>Региональный проект "Сохранение лесов (Забайкальский край)"</t>
  </si>
  <si>
    <t>Национальный проект "Безопасные и качественные автомобильные дороги"</t>
  </si>
  <si>
    <t>Региональный проект "Общесистемные меры развития дорожного хозяйства"</t>
  </si>
  <si>
    <t>Национальный проект "Культура"</t>
  </si>
  <si>
    <t>Региональный проект "Обеспечение качественно нового уровня развития инфраструктуры культуры ("Культурная среда") (Забайкальский край)"</t>
  </si>
  <si>
    <t>Региональный проект "Создание условий для реализации творческого потенциала нации ("Творческие люди") (Забайкальский край)"</t>
  </si>
  <si>
    <t xml:space="preserve">Региональный проект "Цифровизация услуг и формирование информационного пространства в сфере культуры ("Цифровая культура") (Забайкальский край)" </t>
  </si>
  <si>
    <t>Национальный проект "Малое и среднее предпринимательство и поддержка индивидуальной предпринимательской инициативы"</t>
  </si>
  <si>
    <t>Региональный проект "Создание благоприятных условий для осуществления деятельности самозанятыми гражданами"</t>
  </si>
  <si>
    <t>Региональный проект "Создание условий для легкого старта и комфортного ведения бизнеса"</t>
  </si>
  <si>
    <t>Региональный проект "Акселерация субъектов малого и среднего предпринимательства"</t>
  </si>
  <si>
    <t>Национальный проект "Международная кооперация и экспорт"</t>
  </si>
  <si>
    <t>Региональный проект "Экспорт продукции АПК"</t>
  </si>
  <si>
    <t>Региональный проект "Информационная инфраструктура (Забайкальский край)"</t>
  </si>
  <si>
    <t>Региональный проект "Развитие региональных аэропортов и маршрутов (Забайкальский край)"</t>
  </si>
  <si>
    <t>тыс. рублей</t>
  </si>
  <si>
    <t>Региональный проект "Содействие занятости (Забайкальский край)"</t>
  </si>
  <si>
    <t>Региональный проект "Региональная и местная дорожная сеть"</t>
  </si>
  <si>
    <t xml:space="preserve">Региональный проект "Комплексная система обращения с твердыми коммунальными отходами (Забайкальский край)" </t>
  </si>
  <si>
    <t>Комплексный план модернизации и расширения магистральной инфраструктуры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</si>
  <si>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</si>
  <si>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выплаты в связи с рождением (усыновлением) первого ребенка</t>
  </si>
  <si>
    <t>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</si>
  <si>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</si>
  <si>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Создание системы долговременного ухода за гражданами пожилого возраста и инвалидами</t>
  </si>
  <si>
    <t>Реализация региональных программ по формированию приверженности здоровому образу жизни с привлечением социально ориентированных некоммерческих организаций и волонтерских движений</t>
  </si>
  <si>
    <t>Модернизация спортивной инфраструктуры</t>
  </si>
  <si>
    <t>Оснащение объектов спортивной инфраструктуры спортивно-технологическим оборудованием</t>
  </si>
  <si>
    <t>Обеспечение закупки авиационных работ в целях оказания медицинской помощи</t>
  </si>
  <si>
    <t>Оснащение оборудованием региональных сосудистых центров и первичных сосудистых отделений</t>
  </si>
  <si>
    <t>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</si>
  <si>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Больницы, клиники, госпитали, медико-санитарные части</t>
  </si>
  <si>
    <t>Переоснащение медицинских организаций, оказывающих медицинскую помощь больным с онкологическими заболеваниями</t>
  </si>
  <si>
    <t>Региональный проект "Развитие детского здравоохранения, включая создание современной инфраструктуры оказания медицинской помощи (Забайкальский край)"</t>
  </si>
  <si>
    <t>Новое строительство или реконструкция детских больниц (корпусов)</t>
  </si>
  <si>
    <t>Реализация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</si>
  <si>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Региональный проект "Модернизация первичного звена здравоохранения Российской Федерации (Забайкальский край)"</t>
  </si>
  <si>
    <t>Реализация региональных программ модернизации первичного звена здравоохранения</t>
  </si>
  <si>
    <t>Реализация мероприятий по содействию созданию новых мест в общеобразовательных организациях, в целях выполнения показателей результативности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</si>
  <si>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</si>
  <si>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Создание детских технопарков "Кванториум"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</si>
  <si>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</si>
  <si>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Создание новых мест в общеобразовательных организациях, расположенных в сельской местности и поселках городского типа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</si>
  <si>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</si>
  <si>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Создание новых мест в общеобразовательных организациях</t>
  </si>
  <si>
    <t>Реализация мероприятий по созданию дополнительных мест в государственных (муниципальных) образовательных организациях различных типов в соответствии с прогнозируемой потребностью и современными требованиями</t>
  </si>
  <si>
    <t>Государственная поддержка некоммерческих организаций по оказанию психолого-педагогической, методической и консультативной помощи гражданам, имеющим детей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</si>
  <si>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</si>
  <si>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Создание центров выявления и поддержки одаренных детей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</si>
  <si>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</si>
  <si>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Обеспечение реализации Стратегии цифровой трансформации отрасли "Образование"</t>
  </si>
  <si>
    <t>Обеспечение образовательных организаций материально-технической базой для внедрения цифровой образовательной среды</t>
  </si>
  <si>
    <t>Создание центров цифрового образования детей</t>
  </si>
  <si>
    <t>Осуществление расходов, связанных с созданием центров цифрового образования детей</t>
  </si>
  <si>
    <t>Cоздание (обновление) материально-технической базы образовательных организаций, реализующих программы среднего профессионального образования</t>
  </si>
  <si>
    <t>Стимулирование программ развития жилищного строительства</t>
  </si>
  <si>
    <t>Реализация программ формирования современной городской среды</t>
  </si>
  <si>
    <t>Обеспечение устойчивого сокращения непригодного для проживания жилого фонда, за счет средств, поступивших от Фонда содействия реформированию жилищно-коммунального хозяйства</t>
  </si>
  <si>
    <t>Строительство и реконструкция (модернизация) объектов питьевого водоснабжения</t>
  </si>
  <si>
    <t>Разработка и реализация комплекса мер, направленных на обеспечение экологически безопасного размещения и обезвреживания отходов производства и потребления</t>
  </si>
  <si>
    <t>Модернизация и строительство очистных сооружений для очистки загрязненных сточных вод, поступающих в озеро Байкал и другие водные объекты Байкальской природной территории, укрепление берегов озера Байкал, совершенствование и развитие объектов инфраструктуры, необходимых для сохранения уникальной экосистемы озера Байкал</t>
  </si>
  <si>
    <t>Увеличение площади лесовосстановления</t>
  </si>
  <si>
    <t>Формирование запаса лесных семян для лесовосстановления</t>
  </si>
  <si>
    <t>Развитие инфраструктуры дорожного хозяйства</t>
  </si>
  <si>
    <t>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</si>
  <si>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</si>
  <si>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Строительство, модернизация, ремонт и содержание автомобильных дорог регионального или межмуниципального значения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</si>
  <si>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</si>
  <si>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Региональный проект "Безопасность дорожного движения"</t>
  </si>
  <si>
    <t>Создание модельных муниципальных библиотек</t>
  </si>
  <si>
    <t>Модернизация театров юного зрителя и театров кукол</t>
  </si>
  <si>
    <t>Развитие сети учреждений культурно-досугового типа</t>
  </si>
  <si>
    <t>Техническое оснащение муниципальных музеев</t>
  </si>
  <si>
    <t>Создание виртуальных концертных залов</t>
  </si>
  <si>
    <t>Создание системы поддержки фермеров и развитие сельской кооперации</t>
  </si>
  <si>
    <t>Государственная поддержка стимулирования увеличения производства масличных культур</t>
  </si>
  <si>
    <t>Реализация мероприятий в области мелиорации земель сельскохозяйственного назначения</t>
  </si>
  <si>
    <t xml:space="preserve">Национальный проект "Цифровая экономика Российской Федерации" </t>
  </si>
  <si>
    <t>Обеспечение на участках мировых судей формирования и функционирования необходимой информационно-технологической и телекоммуникационной инфраструктуры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видео-конференц-связи</t>
  </si>
  <si>
    <t>Реализация мероприятий по созданию и организации работы единой службы оперативной помощи гражданам по номеру "122"</t>
  </si>
  <si>
    <t>Региональный проект "Информационная безопасность (Забайкальский край)"</t>
  </si>
  <si>
    <t>Обеспечение исполнительных органов государственной власти Забайкальского края и государственных учреждений средствами защиты информации</t>
  </si>
  <si>
    <t>Региональный проект "Бизнес-спринт (Я выбираю спорт) (Забайкальский край)"</t>
  </si>
  <si>
    <t xml:space="preserve"> Закупка оборудования для создания "умных" спортивных площадок</t>
  </si>
  <si>
    <t>3</t>
  </si>
  <si>
    <t>Реализация дополнительных мероприятий в сфере занятости населения</t>
  </si>
  <si>
    <t>Государственная поддержка аккредитации ветеринарных лабораторий в национальной системе аккредитации</t>
  </si>
  <si>
    <t>Капитальные вложения в объекты капитального строительства государственной собственности и в объекты недвижимого имущества, приобретаемые в государственную собственность</t>
  </si>
  <si>
    <t>Размещение автоматических пунктов весогабаритного контроля транспортных средств на автомобильных дорогах регионального или межмуниципального, местного значения</t>
  </si>
  <si>
    <t>Обеспечение устойчивого сокращения непригодного для проживания жилого фонда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</si>
  <si>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</si>
  <si>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Ликвидация объектов прошлого экологического ущерба</t>
  </si>
  <si>
    <t>Реализация мероприятий по созданию новых мест в общеобразовательных организациях в связи с ростом числа обучающихся, вызванным демографическим фактором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</si>
  <si>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</si>
  <si>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</si>
  <si>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</si>
  <si>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Региональный проект "Патриотическое воспитание граждан Российской Федерации (Забайкальский край)"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</si>
  <si>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</si>
  <si>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</si>
  <si>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</si>
  <si>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Реконструкция и капитальный ремонт региональных и муниципальных музеев</t>
  </si>
  <si>
    <t>Реализация региональных проектов модернизации первичного звена здравоохранения</t>
  </si>
  <si>
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</si>
  <si>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</si>
  <si>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РФ</t>
  </si>
  <si>
    <t>Реализация дополнительных мероприятий, направленных на снижение напряженности на рынке труда субъектов РФ, по организации общественных работ</t>
  </si>
  <si>
    <t>Реализация дополнительных мероприятий, направленных на снижение напряженности на рынке труда субъектов РФ, по организации временного трудоустройства</t>
  </si>
  <si>
    <t>Осуществление единовременной выплаты при рождении первого ребенка, а также предоставление регионального материнского (семейного) капитала при рождении второго ребенка в субъектах РФ, входящих в состав Дальневосточного федерального округа</t>
  </si>
  <si>
    <t xml:space="preserve">Информация о реализации мероприятий  региональных проектов Забайкальского края в 2024 году </t>
  </si>
  <si>
    <t>Региональный проект "Возмещение части затрат промышленных предприятий, связанных с приобретением нового оборудования"</t>
  </si>
  <si>
    <t>Региональный проект "Финансовое обеспечение создания (капитализации) и (или) деятельности (докапитализации) Фонда развития промышленности Забайкальского края"</t>
  </si>
  <si>
    <t>Региональный проект "Развитие отраслей и техническая модернизация агропромышленного комплекса"</t>
  </si>
  <si>
    <t>Региональный проект "Эффективное вовлечение в оборот и мелиорация земель сельскохозяйственного назначения"</t>
  </si>
  <si>
    <t>Региональный проект "Поддержка региональных проектов в сфере информационных технологий"</t>
  </si>
  <si>
    <t>Региональный проект "Защита населения и объектов экономики от негативного воздействия вод сооружениями инженерной защиты"</t>
  </si>
  <si>
    <t>Региональный проект "Национальная система пространственных данных"</t>
  </si>
  <si>
    <t>Региональный проект "Создание дополнительных мест для детей в возрасте от 3 до 7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</si>
  <si>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Региональный проект "Модернизация школьных систем образования Забайкальского края"</t>
  </si>
  <si>
    <t>Региональный проект "Профессионалитет"</t>
  </si>
  <si>
    <t>Региональный проект "Развитие культуры"</t>
  </si>
  <si>
    <t>Региональный проект "Оптимальная для восстановления здоровья медицинская реабилитация"</t>
  </si>
  <si>
    <t>Региональный проект "Бизнес-спринт (Я выбираю спорт)"</t>
  </si>
  <si>
    <t>Региональный проект "Модернизация систем коммунальной инфраструктуры"</t>
  </si>
  <si>
    <t>Региональный проект "Развитие транспортной инфраструктуры на сельских территориях"</t>
  </si>
  <si>
    <t>Организация профессионального обучения и дополнительного профессионального образования работников предприятий оборонно-промышленного комплекса, а также граждан, обратившихся в органы службы занятости за содействием в поиске подходящей работы и заключивших ученический договор с предприятиями оборонно-промышленного комплекса</t>
  </si>
  <si>
    <t>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</si>
  <si>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Увеличение количества стационарных камер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</t>
  </si>
  <si>
    <t>Обеспечение государственных органов Забайкальского края отечественным программным обеспечением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</si>
  <si>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</t>
  </si>
  <si>
    <t>Обеспечение функционирования организаций инфраструктуры поддержки субъектов малого и среднего предпринимательства</t>
  </si>
  <si>
    <t>Снижение совокупного объема выбросов загрязняющих веществ в атмосферный воздух</t>
  </si>
  <si>
    <t>Ликвидация несанкционированных свалок в границах городов и наиболее опасных объектов накопленного вреда окружающей среде</t>
  </si>
  <si>
    <t>Оснащение региональных и муниципальных театров, находящихся в городах с численностью более 300 тысяч человек</t>
  </si>
  <si>
    <t>Оказание поддержки творческих проектов, направленных на укрепление российской гражданской идентичности на основе духовно-нравственных и культурных ценностей народов Российской Федерации, включая мероприятия, направленные на популяризацию русского языка и литературы, народных художественных промыслов и ремесел, поддержку изобразительного искусства</t>
  </si>
  <si>
    <t>Государственная поддержка отрасли культуры</t>
  </si>
  <si>
    <t>Государственная поддержка организаций, входящих в систему спортивной подготовки</t>
  </si>
  <si>
    <t>Разработка проектно-сметной документации на строительство пансионата для престарелых граждан и инвалидов</t>
  </si>
  <si>
    <t>Обеспечение реализации мероприятий по осуществлению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</si>
  <si>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Региональный проект "Содействие занятости сельского населения"</t>
  </si>
  <si>
    <t>Региональный проект "Создание условий для отдыха и оздоровления детей и молодежи"</t>
  </si>
  <si>
    <t>Региональный проект "Обеспечение расширенного неонатального скрининга на территории Забайкальского края"</t>
  </si>
  <si>
    <t>Региональный проект "Развитие жилищного строительства на сельских территориях и повышение уровня благоустройства домовладений"</t>
  </si>
  <si>
    <t>Региональный проект "Обеспечение жильем детей-сирот и детей, оставшихся без попечения родителей, лиц из их числа"</t>
  </si>
  <si>
    <t>Региональный проект "Формирование системы комплексной реабилитации и абилитации инвалидов, в том числе детей-инвалидов"</t>
  </si>
  <si>
    <t>Региональный проект "Современный облик сельских территорий"</t>
  </si>
  <si>
    <t>Региональный проект "Стимулирование спроса на отечественные беспилотные авиационные системы"</t>
  </si>
  <si>
    <t>Региональный проект "Организация обеспечения устойчивой сотовой связи и (или) доступом к сети "Интернет" населенных пунктов Забайкальского края"</t>
  </si>
  <si>
    <t>Региональный проект "Обустройство взлетно-посадочных полос на территории Забайкальского края"</t>
  </si>
  <si>
    <t xml:space="preserve">Национальный проект "Беспилотные авиационные системы" </t>
  </si>
  <si>
    <t>Национальный проект "Туризм и индустрия гостеприимства"</t>
  </si>
  <si>
    <t>Региональный проект "Развитие туристической инфраструктуры"</t>
  </si>
  <si>
    <t>Региональный проект "Развитие инфраструктурытерриторий опережающего социально-экономического развития в Забайкальском крае"</t>
  </si>
  <si>
    <t>Региональный проект "Проведение проектирования, строительства, модернизации, реконструкции и капитального ремонта объектов коммунальной инфраструктуры на территории Забайкальского края"</t>
  </si>
  <si>
    <t>Региональный проект "Электроавтомобиль и водородный автомобиль"</t>
  </si>
  <si>
    <t>Региональный проект "Благоустройство дальневосточных дворов"</t>
  </si>
  <si>
    <t>Региональный проект "Разработка проектной документации по благоустройству набережной р.Чита"</t>
  </si>
  <si>
    <t>Региональный проект "Благоустройство сельских территорий"</t>
  </si>
  <si>
    <t>Региональный проект "Инфраструктурные проекты за счет бюджетных кредитов из федерального бюджета"</t>
  </si>
  <si>
    <t>Региональный проект "Реализация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округа"</t>
  </si>
  <si>
    <t>Создание модульных не капитальных средств размещения при реализации инвестиционных проектов</t>
  </si>
  <si>
    <t>Достижение показателей государственной программы Российской Федерации "Развитие туризма"</t>
  </si>
  <si>
    <t>Приобретение беспилотных авиационных систем органами исполнительной власти субъектов РФ в области лесных отношений</t>
  </si>
  <si>
    <t>Региональный проект "Укрепление единства российской нации и этнокультурное развитие народов России, поддержка экономического и социального развития коренных малочисленных народов Севера, Сибири и Дальнего Востока РФ"</t>
  </si>
  <si>
    <t>4</t>
  </si>
  <si>
    <t>5</t>
  </si>
  <si>
    <t>6</t>
  </si>
  <si>
    <t>Реализация мероприятий по осуществлению реконструкции объектов в аэропортовых комплексах, находящихся в собственности субъектов Российской Федерации</t>
  </si>
  <si>
    <t>Региональный проект "Строительство искусственных сооружений и реконструкция автомобильных дорог"</t>
  </si>
  <si>
    <t>Региональный проект  "Реализация мероприятий по созданию "Читинского квартала" в г. Чита"</t>
  </si>
  <si>
    <t>Региональный проект "Обустройство освещения в населенных пунктах Забайкальского края"</t>
  </si>
  <si>
    <t>Разработка проектно-сметной документации в целях реализации мероприятий, направленных на ликвидацию мест несанкционированного размещения отходов</t>
  </si>
  <si>
    <t>Обеспечение деятельности по оказанию коммунальной услуги населению по обращению с твердыми коммунальными отходами</t>
  </si>
  <si>
    <t>Корректировка территориальной схемы обращения с отходами Забайкальского края, в том числе ее электронной модели</t>
  </si>
  <si>
    <t>Региональный проект "Развитие инфраструктуры здравоохранения"</t>
  </si>
  <si>
    <t>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</t>
  </si>
  <si>
    <t xml:space="preserve">ИТОГО РАСХОДОВ </t>
  </si>
  <si>
    <t>ВСЕГО РАСХОДОВ НА РЕГИОНАЛЬНЫЕ ПРОЕКТЫ, ВХОДЯЩИЕ В СОСТАВ НАЦИОНАЛЬНЫХ ПРОЕКТОВ</t>
  </si>
  <si>
    <t>РЕГИОНАЛЬНЫЕ ПРОЕКТЫ, НЕ ВХОДЯЩИЕ В СОСТАВ НАЦИОНАЛЬНЫХ ПРОЕКТОВ</t>
  </si>
  <si>
    <t>7</t>
  </si>
  <si>
    <t>Региональный проект "Обеспечение первичных мер пожарной безопасности в населенных пунктах Забайкальского края"</t>
  </si>
  <si>
    <t>х</t>
  </si>
  <si>
    <t>Региональный проект "Борьба с сахарным диабетом на территории Забайкальского края"</t>
  </si>
  <si>
    <t>Процент исполнения (%)</t>
  </si>
  <si>
    <t>от утвержденных законом бюджетных ассигнований гр.5/гр.3</t>
  </si>
  <si>
    <t>от сводной бюджетной росписи, гр.5/гр.4</t>
  </si>
  <si>
    <t>x</t>
  </si>
  <si>
    <t>Приложение № 13</t>
  </si>
  <si>
    <t>к Заключению от 27.05.2025</t>
  </si>
  <si>
    <t>№ 37-25/КФ-З-КСП</t>
  </si>
  <si>
    <t xml:space="preserve">Утверждено Законом от 27.12.2023                № 2303-ЗЗК     </t>
  </si>
  <si>
    <t xml:space="preserve"> Утверждено Законом от  20.12.2024             №2445-ЗЗК  </t>
  </si>
  <si>
    <t xml:space="preserve">Исполнено              в 2024 году </t>
  </si>
  <si>
    <t>Уточненные бюджетные назначения          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</si>
</sst>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0.00"/>
    <numFmt numFmtId="165" formatCode="#,##0.000"/>
    <numFmt numFmtId="166" formatCode="#,##0.00000"/>
    <numFmt numFmtId="167" formatCode="#,##0.0"/>
  </numFmts>
  <fonts count="25" x14ac:knownFonts="1"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1"/>
      <name val="Calibri"/>
      <family val="2"/>
      <scheme val="minor"/>
    </font>
    <font>
      <sz val="9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Calibri"/>
      <family val="2"/>
      <scheme val="minor"/>
    </font>
    <font>
      <b/>
      <i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BFBFB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/>
    <xf numFmtId="0" fontId="1" fillId="0" borderId="1">
      <alignment horizontal="center" vertical="center" wrapText="1"/>
    </xf>
    <xf numFmtId="0" fontId="2" fillId="0" borderId="1"/>
    <xf numFmtId="0" fontId="3" fillId="0" borderId="1">
      <alignment horizontal="right" vertical="center" wrapText="1"/>
    </xf>
    <xf numFmtId="49" fontId="4" fillId="0" borderId="2">
      <alignment horizontal="center" vertical="center" wrapText="1"/>
    </xf>
    <xf numFmtId="0" fontId="4" fillId="2" borderId="2">
      <alignment horizontal="center" vertical="center" shrinkToFit="1"/>
    </xf>
    <xf numFmtId="0" fontId="4" fillId="2" borderId="2">
      <alignment horizontal="left" vertical="top" wrapText="1"/>
    </xf>
    <xf numFmtId="49" fontId="4" fillId="2" borderId="2">
      <alignment horizontal="center" vertical="top" shrinkToFit="1"/>
    </xf>
    <xf numFmtId="4" fontId="4" fillId="2" borderId="2">
      <alignment horizontal="right" vertical="top" shrinkToFit="1"/>
    </xf>
    <xf numFmtId="164" fontId="4" fillId="2" borderId="2">
      <alignment horizontal="right" vertical="top" shrinkToFit="1"/>
    </xf>
    <xf numFmtId="0" fontId="5" fillId="0" borderId="1"/>
    <xf numFmtId="0" fontId="3" fillId="0" borderId="2">
      <alignment horizontal="center" vertical="center" shrinkToFit="1"/>
    </xf>
    <xf numFmtId="0" fontId="3" fillId="0" borderId="2">
      <alignment horizontal="left" vertical="top" wrapText="1"/>
    </xf>
    <xf numFmtId="49" fontId="3" fillId="0" borderId="2">
      <alignment horizontal="center" vertical="top" shrinkToFit="1"/>
    </xf>
    <xf numFmtId="4" fontId="3" fillId="0" borderId="2">
      <alignment horizontal="right" vertical="top" shrinkToFit="1"/>
    </xf>
    <xf numFmtId="164" fontId="3" fillId="0" borderId="2">
      <alignment horizontal="right" vertical="top" shrinkToFit="1"/>
    </xf>
    <xf numFmtId="0" fontId="3" fillId="0" borderId="3">
      <alignment horizontal="center" vertical="center"/>
    </xf>
    <xf numFmtId="0" fontId="3" fillId="0" borderId="3"/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  <xf numFmtId="0" fontId="3" fillId="0" borderId="1">
      <alignment horizontal="right" vertical="center"/>
    </xf>
    <xf numFmtId="4" fontId="12" fillId="0" borderId="2">
      <alignment horizontal="right" vertical="top" shrinkToFit="1"/>
    </xf>
    <xf numFmtId="49" fontId="13" fillId="0" borderId="11">
      <alignment horizontal="center" vertical="top" shrinkToFit="1"/>
    </xf>
  </cellStyleXfs>
  <cellXfs count="95">
    <xf numFmtId="0" fontId="0" fillId="0" borderId="0" xfId="0"/>
    <xf numFmtId="0" fontId="0" fillId="0" borderId="0" xfId="0" applyProtection="1">
      <protection locked="0"/>
    </xf>
    <xf numFmtId="0" fontId="3" fillId="0" borderId="2" xfId="12" quotePrefix="1" applyNumberFormat="1" applyProtection="1">
      <alignment horizontal="left" vertical="top" wrapText="1"/>
    </xf>
    <xf numFmtId="0" fontId="11" fillId="2" borderId="2" xfId="6" quotePrefix="1" applyNumberFormat="1" applyFont="1" applyProtection="1">
      <alignment horizontal="left" vertical="top" wrapText="1"/>
    </xf>
    <xf numFmtId="0" fontId="0" fillId="0" borderId="0" xfId="0" applyFont="1" applyProtection="1">
      <protection locked="0"/>
    </xf>
    <xf numFmtId="0" fontId="4" fillId="0" borderId="2" xfId="12" quotePrefix="1" applyNumberFormat="1" applyFont="1" applyProtection="1">
      <alignment horizontal="left" vertical="top" wrapText="1"/>
    </xf>
    <xf numFmtId="0" fontId="3" fillId="5" borderId="2" xfId="12" quotePrefix="1" applyNumberFormat="1" applyFill="1" applyProtection="1">
      <alignment horizontal="left" vertical="top" wrapText="1"/>
    </xf>
    <xf numFmtId="165" fontId="4" fillId="2" borderId="1" xfId="6" quotePrefix="1" applyNumberFormat="1" applyBorder="1" applyProtection="1">
      <alignment horizontal="left" vertical="top" wrapText="1"/>
    </xf>
    <xf numFmtId="166" fontId="4" fillId="2" borderId="1" xfId="8" applyNumberFormat="1" applyBorder="1" applyProtection="1">
      <alignment horizontal="right" vertical="top" shrinkToFit="1"/>
    </xf>
    <xf numFmtId="0" fontId="14" fillId="0" borderId="0" xfId="0" applyFont="1" applyProtection="1">
      <protection locked="0"/>
    </xf>
    <xf numFmtId="49" fontId="15" fillId="0" borderId="2" xfId="4" applyFont="1">
      <alignment horizontal="center" vertical="center" wrapText="1"/>
    </xf>
    <xf numFmtId="49" fontId="15" fillId="0" borderId="5" xfId="4" applyFont="1" applyBorder="1">
      <alignment horizontal="center" vertical="center" wrapText="1"/>
    </xf>
    <xf numFmtId="0" fontId="3" fillId="2" borderId="2" xfId="6" quotePrefix="1" applyNumberFormat="1" applyFont="1" applyProtection="1">
      <alignment horizontal="left" vertical="top" wrapText="1"/>
    </xf>
    <xf numFmtId="0" fontId="3" fillId="0" borderId="2" xfId="12" quotePrefix="1" applyNumberFormat="1" applyFont="1" applyProtection="1">
      <alignment horizontal="left" vertical="top" wrapText="1"/>
    </xf>
    <xf numFmtId="0" fontId="0" fillId="0" borderId="0" xfId="0" applyAlignment="1" applyProtection="1">
      <alignment horizontal="center"/>
      <protection locked="0"/>
    </xf>
    <xf numFmtId="0" fontId="3" fillId="0" borderId="2" xfId="12" quotePrefix="1" applyNumberFormat="1" applyFill="1" applyProtection="1">
      <alignment horizontal="left" vertical="top" wrapText="1"/>
    </xf>
    <xf numFmtId="0" fontId="3" fillId="0" borderId="2" xfId="6" quotePrefix="1" applyNumberFormat="1" applyFont="1" applyFill="1" applyProtection="1">
      <alignment horizontal="left" vertical="top" wrapText="1"/>
    </xf>
    <xf numFmtId="0" fontId="3" fillId="0" borderId="2" xfId="12" quotePrefix="1" applyNumberFormat="1" applyFill="1" applyAlignment="1" applyProtection="1">
      <alignment horizontal="left" vertical="center" wrapText="1"/>
    </xf>
    <xf numFmtId="0" fontId="11" fillId="0" borderId="2" xfId="6" quotePrefix="1" applyNumberFormat="1" applyFont="1" applyFill="1" applyProtection="1">
      <alignment horizontal="left" vertical="top" wrapText="1"/>
    </xf>
    <xf numFmtId="0" fontId="3" fillId="0" borderId="2" xfId="12" quotePrefix="1" applyNumberFormat="1" applyFill="1" applyAlignment="1" applyProtection="1">
      <alignment horizontal="left" vertical="top" wrapText="1"/>
    </xf>
    <xf numFmtId="0" fontId="3" fillId="0" borderId="2" xfId="12" quotePrefix="1" applyNumberFormat="1" applyFill="1" applyAlignment="1" applyProtection="1">
      <alignment horizontal="left" wrapText="1"/>
    </xf>
    <xf numFmtId="0" fontId="3" fillId="0" borderId="9" xfId="12" quotePrefix="1" applyNumberFormat="1" applyBorder="1" applyProtection="1">
      <alignment horizontal="left" vertical="top" wrapText="1"/>
    </xf>
    <xf numFmtId="0" fontId="3" fillId="0" borderId="9" xfId="12" quotePrefix="1" applyNumberFormat="1" applyFont="1" applyBorder="1" applyProtection="1">
      <alignment horizontal="left" vertical="top" wrapText="1"/>
    </xf>
    <xf numFmtId="0" fontId="0" fillId="0" borderId="0" xfId="0" applyFill="1" applyProtection="1">
      <protection locked="0"/>
    </xf>
    <xf numFmtId="4" fontId="4" fillId="0" borderId="1" xfId="8" applyNumberFormat="1" applyFill="1" applyBorder="1" applyProtection="1">
      <alignment horizontal="right" vertical="top" shrinkToFit="1"/>
    </xf>
    <xf numFmtId="49" fontId="15" fillId="0" borderId="5" xfId="4" applyFont="1" applyFill="1" applyBorder="1" applyAlignment="1">
      <alignment horizontal="center" vertical="center" wrapText="1"/>
    </xf>
    <xf numFmtId="0" fontId="4" fillId="9" borderId="2" xfId="6" quotePrefix="1" applyNumberFormat="1" applyFill="1" applyProtection="1">
      <alignment horizontal="left" vertical="top" wrapText="1"/>
    </xf>
    <xf numFmtId="0" fontId="10" fillId="9" borderId="2" xfId="6" quotePrefix="1" applyNumberFormat="1" applyFont="1" applyFill="1" applyProtection="1">
      <alignment horizontal="left" vertical="top" wrapText="1"/>
    </xf>
    <xf numFmtId="0" fontId="4" fillId="9" borderId="2" xfId="12" quotePrefix="1" applyNumberFormat="1" applyFont="1" applyFill="1" applyProtection="1">
      <alignment horizontal="left" vertical="top" wrapText="1"/>
    </xf>
    <xf numFmtId="0" fontId="4" fillId="9" borderId="12" xfId="6" quotePrefix="1" applyNumberFormat="1" applyFont="1" applyFill="1" applyBorder="1" applyProtection="1">
      <alignment horizontal="left" vertical="top" wrapText="1"/>
    </xf>
    <xf numFmtId="0" fontId="11" fillId="2" borderId="12" xfId="6" quotePrefix="1" applyNumberFormat="1" applyFont="1" applyBorder="1" applyProtection="1">
      <alignment horizontal="left" vertical="top" wrapText="1"/>
    </xf>
    <xf numFmtId="0" fontId="3" fillId="0" borderId="12" xfId="12" quotePrefix="1" applyNumberFormat="1" applyBorder="1" applyProtection="1">
      <alignment horizontal="left" vertical="top" wrapText="1"/>
    </xf>
    <xf numFmtId="0" fontId="3" fillId="0" borderId="9" xfId="12" quotePrefix="1" applyNumberFormat="1" applyBorder="1" applyAlignment="1" applyProtection="1">
      <alignment horizontal="left" vertical="center" wrapText="1"/>
    </xf>
    <xf numFmtId="0" fontId="3" fillId="0" borderId="9" xfId="12" quotePrefix="1" applyNumberFormat="1" applyFont="1" applyBorder="1" applyAlignment="1" applyProtection="1">
      <alignment horizontal="left" vertical="center" wrapText="1"/>
    </xf>
    <xf numFmtId="0" fontId="4" fillId="4" borderId="2" xfId="6" quotePrefix="1" applyFill="1" applyAlignment="1">
      <alignment horizontal="left" vertical="center" wrapText="1"/>
    </xf>
    <xf numFmtId="0" fontId="4" fillId="9" borderId="2" xfId="6" quotePrefix="1" applyNumberFormat="1" applyFill="1" applyAlignment="1" applyProtection="1">
      <alignment horizontal="left" vertical="center" wrapText="1"/>
    </xf>
    <xf numFmtId="0" fontId="4" fillId="9" borderId="12" xfId="6" quotePrefix="1" applyNumberFormat="1" applyFill="1" applyBorder="1" applyAlignment="1" applyProtection="1">
      <alignment horizontal="left" vertical="center" wrapText="1"/>
    </xf>
    <xf numFmtId="0" fontId="4" fillId="6" borderId="9" xfId="12" quotePrefix="1" applyNumberFormat="1" applyFont="1" applyFill="1" applyBorder="1" applyAlignment="1" applyProtection="1">
      <alignment horizontal="left" vertical="center" wrapText="1"/>
    </xf>
    <xf numFmtId="0" fontId="4" fillId="9" borderId="9" xfId="12" quotePrefix="1" applyNumberFormat="1" applyFont="1" applyFill="1" applyBorder="1" applyAlignment="1" applyProtection="1">
      <alignment horizontal="left" vertical="center" wrapText="1"/>
    </xf>
    <xf numFmtId="49" fontId="15" fillId="0" borderId="5" xfId="4" applyFont="1" applyFill="1" applyBorder="1">
      <alignment horizontal="center" vertical="center" wrapText="1"/>
    </xf>
    <xf numFmtId="0" fontId="4" fillId="4" borderId="4" xfId="6" quotePrefix="1" applyFill="1" applyBorder="1" applyAlignment="1">
      <alignment horizontal="left" vertical="center" wrapText="1"/>
    </xf>
    <xf numFmtId="0" fontId="4" fillId="6" borderId="10" xfId="12" quotePrefix="1" applyNumberFormat="1" applyFont="1" applyFill="1" applyBorder="1" applyAlignment="1" applyProtection="1">
      <alignment horizontal="left" vertical="center" wrapText="1"/>
    </xf>
    <xf numFmtId="0" fontId="4" fillId="6" borderId="2" xfId="6" quotePrefix="1" applyFill="1" applyAlignment="1">
      <alignment horizontal="left" vertical="center" wrapText="1"/>
    </xf>
    <xf numFmtId="0" fontId="4" fillId="9" borderId="9" xfId="6" quotePrefix="1" applyNumberFormat="1" applyFill="1" applyBorder="1" applyAlignment="1" applyProtection="1">
      <alignment horizontal="left" vertical="center" wrapText="1"/>
    </xf>
    <xf numFmtId="0" fontId="18" fillId="0" borderId="0" xfId="0" applyFont="1" applyProtection="1">
      <protection locked="0"/>
    </xf>
    <xf numFmtId="167" fontId="5" fillId="6" borderId="9" xfId="8" applyNumberFormat="1" applyFont="1" applyFill="1" applyBorder="1" applyAlignment="1" applyProtection="1">
      <alignment horizontal="center" vertical="center" shrinkToFit="1"/>
    </xf>
    <xf numFmtId="167" fontId="5" fillId="6" borderId="9" xfId="14" applyNumberFormat="1" applyFont="1" applyFill="1" applyBorder="1" applyAlignment="1" applyProtection="1">
      <alignment horizontal="center" vertical="center" shrinkToFit="1"/>
    </xf>
    <xf numFmtId="165" fontId="1" fillId="6" borderId="9" xfId="6" quotePrefix="1" applyNumberFormat="1" applyFont="1" applyFill="1" applyBorder="1" applyProtection="1">
      <alignment horizontal="left" vertical="top" wrapText="1"/>
    </xf>
    <xf numFmtId="0" fontId="4" fillId="9" borderId="4" xfId="6" quotePrefix="1" applyNumberFormat="1" applyFill="1" applyBorder="1" applyAlignment="1" applyProtection="1">
      <alignment horizontal="left" vertical="center" wrapText="1"/>
    </xf>
    <xf numFmtId="0" fontId="4" fillId="4" borderId="5" xfId="6" quotePrefix="1" applyFill="1" applyBorder="1" applyAlignment="1">
      <alignment horizontal="left" vertical="center" wrapText="1"/>
    </xf>
    <xf numFmtId="0" fontId="3" fillId="8" borderId="9" xfId="0" applyFont="1" applyFill="1" applyBorder="1" applyAlignment="1">
      <alignment horizontal="justify" vertical="center" wrapText="1"/>
    </xf>
    <xf numFmtId="0" fontId="17" fillId="7" borderId="9" xfId="0" applyFont="1" applyFill="1" applyBorder="1" applyAlignment="1">
      <alignment vertical="top" wrapText="1"/>
    </xf>
    <xf numFmtId="0" fontId="19" fillId="9" borderId="9" xfId="12" quotePrefix="1" applyNumberFormat="1" applyFont="1" applyFill="1" applyBorder="1" applyAlignment="1" applyProtection="1">
      <alignment horizontal="left" vertical="center" wrapText="1"/>
    </xf>
    <xf numFmtId="167" fontId="5" fillId="6" borderId="2" xfId="8" applyNumberFormat="1" applyFont="1" applyFill="1" applyAlignment="1" applyProtection="1">
      <alignment horizontal="center" vertical="center" shrinkToFit="1"/>
    </xf>
    <xf numFmtId="167" fontId="5" fillId="9" borderId="2" xfId="8" applyNumberFormat="1" applyFont="1" applyFill="1" applyAlignment="1" applyProtection="1">
      <alignment horizontal="center" vertical="center" shrinkToFit="1"/>
    </xf>
    <xf numFmtId="167" fontId="2" fillId="0" borderId="2" xfId="14" applyNumberFormat="1" applyFont="1" applyFill="1" applyAlignment="1" applyProtection="1">
      <alignment horizontal="center" vertical="center" shrinkToFit="1"/>
    </xf>
    <xf numFmtId="167" fontId="2" fillId="0" borderId="2" xfId="8" applyNumberFormat="1" applyFont="1" applyFill="1" applyAlignment="1" applyProtection="1">
      <alignment horizontal="center" vertical="center" shrinkToFit="1"/>
    </xf>
    <xf numFmtId="167" fontId="5" fillId="0" borderId="2" xfId="8" applyNumberFormat="1" applyFont="1" applyFill="1" applyAlignment="1" applyProtection="1">
      <alignment horizontal="center" vertical="center" shrinkToFit="1"/>
    </xf>
    <xf numFmtId="167" fontId="5" fillId="0" borderId="2" xfId="14" applyNumberFormat="1" applyFont="1" applyFill="1" applyAlignment="1" applyProtection="1">
      <alignment horizontal="center" vertical="top" shrinkToFit="1"/>
    </xf>
    <xf numFmtId="167" fontId="5" fillId="0" borderId="2" xfId="14" applyNumberFormat="1" applyFont="1" applyFill="1" applyAlignment="1" applyProtection="1">
      <alignment horizontal="center" vertical="center" shrinkToFit="1"/>
    </xf>
    <xf numFmtId="167" fontId="2" fillId="0" borderId="2" xfId="14" applyNumberFormat="1" applyFont="1" applyFill="1" applyAlignment="1" applyProtection="1">
      <alignment horizontal="center" vertical="top" shrinkToFit="1"/>
    </xf>
    <xf numFmtId="167" fontId="2" fillId="9" borderId="2" xfId="8" applyNumberFormat="1" applyFont="1" applyFill="1" applyAlignment="1" applyProtection="1">
      <alignment horizontal="center" vertical="center" shrinkToFit="1"/>
    </xf>
    <xf numFmtId="167" fontId="5" fillId="9" borderId="2" xfId="14" applyNumberFormat="1" applyFont="1" applyFill="1" applyAlignment="1" applyProtection="1">
      <alignment horizontal="center" vertical="center" shrinkToFit="1"/>
    </xf>
    <xf numFmtId="167" fontId="5" fillId="6" borderId="4" xfId="8" applyNumberFormat="1" applyFont="1" applyFill="1" applyBorder="1" applyAlignment="1" applyProtection="1">
      <alignment horizontal="center" vertical="center" shrinkToFit="1"/>
    </xf>
    <xf numFmtId="167" fontId="2" fillId="6" borderId="2" xfId="8" applyNumberFormat="1" applyFont="1" applyFill="1" applyAlignment="1" applyProtection="1">
      <alignment horizontal="center" vertical="center" shrinkToFit="1"/>
    </xf>
    <xf numFmtId="167" fontId="5" fillId="9" borderId="9" xfId="8" applyNumberFormat="1" applyFont="1" applyFill="1" applyBorder="1" applyAlignment="1" applyProtection="1">
      <alignment horizontal="center" vertical="center" shrinkToFit="1"/>
    </xf>
    <xf numFmtId="167" fontId="2" fillId="0" borderId="9" xfId="8" applyNumberFormat="1" applyFont="1" applyFill="1" applyBorder="1" applyAlignment="1" applyProtection="1">
      <alignment horizontal="center" vertical="center" shrinkToFit="1"/>
    </xf>
    <xf numFmtId="167" fontId="2" fillId="0" borderId="9" xfId="14" applyNumberFormat="1" applyFont="1" applyFill="1" applyBorder="1" applyAlignment="1" applyProtection="1">
      <alignment horizontal="center" vertical="center" shrinkToFit="1"/>
    </xf>
    <xf numFmtId="167" fontId="2" fillId="0" borderId="9" xfId="0" applyNumberFormat="1" applyFont="1" applyFill="1" applyBorder="1" applyAlignment="1">
      <alignment horizontal="center" vertical="center" wrapText="1"/>
    </xf>
    <xf numFmtId="167" fontId="2" fillId="0" borderId="5" xfId="14" applyNumberFormat="1" applyFont="1" applyFill="1" applyBorder="1" applyAlignment="1" applyProtection="1">
      <alignment horizontal="center" vertical="center" shrinkToFit="1"/>
    </xf>
    <xf numFmtId="167" fontId="5" fillId="9" borderId="2" xfId="14" applyNumberFormat="1" applyFont="1" applyFill="1" applyAlignment="1" applyProtection="1">
      <alignment horizontal="center" vertical="top" shrinkToFit="1"/>
    </xf>
    <xf numFmtId="167" fontId="5" fillId="9" borderId="4" xfId="8" applyNumberFormat="1" applyFont="1" applyFill="1" applyBorder="1" applyAlignment="1" applyProtection="1">
      <alignment horizontal="center" vertical="center" shrinkToFit="1"/>
    </xf>
    <xf numFmtId="167" fontId="5" fillId="6" borderId="5" xfId="8" applyNumberFormat="1" applyFont="1" applyFill="1" applyBorder="1" applyAlignment="1" applyProtection="1">
      <alignment horizontal="center" vertical="center" shrinkToFit="1"/>
    </xf>
    <xf numFmtId="167" fontId="5" fillId="6" borderId="10" xfId="14" applyNumberFormat="1" applyFont="1" applyFill="1" applyBorder="1" applyAlignment="1" applyProtection="1">
      <alignment horizontal="center" vertical="center" shrinkToFit="1"/>
    </xf>
    <xf numFmtId="167" fontId="5" fillId="9" borderId="9" xfId="14" applyNumberFormat="1" applyFont="1" applyFill="1" applyBorder="1" applyAlignment="1" applyProtection="1">
      <alignment horizontal="center" vertical="center" shrinkToFit="1"/>
    </xf>
    <xf numFmtId="167" fontId="21" fillId="9" borderId="9" xfId="14" applyNumberFormat="1" applyFont="1" applyFill="1" applyBorder="1" applyAlignment="1" applyProtection="1">
      <alignment horizontal="center" vertical="center" shrinkToFit="1"/>
    </xf>
    <xf numFmtId="167" fontId="2" fillId="5" borderId="9" xfId="14" applyNumberFormat="1" applyFont="1" applyFill="1" applyBorder="1" applyAlignment="1" applyProtection="1">
      <alignment horizontal="center" vertical="center" shrinkToFit="1"/>
    </xf>
    <xf numFmtId="0" fontId="0" fillId="0" borderId="0" xfId="0" applyFill="1" applyAlignment="1" applyProtection="1">
      <alignment horizontal="right"/>
      <protection locked="0"/>
    </xf>
    <xf numFmtId="0" fontId="4" fillId="9" borderId="2" xfId="12" quotePrefix="1" applyNumberFormat="1" applyFont="1" applyFill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right" wrapText="1"/>
      <protection locked="0"/>
    </xf>
    <xf numFmtId="49" fontId="5" fillId="0" borderId="12" xfId="4" applyNumberFormat="1" applyFont="1" applyBorder="1" applyProtection="1">
      <alignment horizontal="center" vertical="center" wrapText="1"/>
    </xf>
    <xf numFmtId="49" fontId="5" fillId="0" borderId="12" xfId="4" applyFont="1" applyBorder="1">
      <alignment horizontal="center" vertical="center" wrapText="1"/>
    </xf>
    <xf numFmtId="0" fontId="16" fillId="0" borderId="1" xfId="1" applyFont="1">
      <alignment horizontal="center" vertical="center" wrapText="1"/>
    </xf>
    <xf numFmtId="0" fontId="11" fillId="0" borderId="1" xfId="3" applyFont="1" applyAlignment="1">
      <alignment horizontal="right" vertical="center" wrapText="1"/>
    </xf>
    <xf numFmtId="0" fontId="3" fillId="0" borderId="1" xfId="3" applyAlignment="1">
      <alignment horizontal="right" vertical="center" wrapText="1"/>
    </xf>
    <xf numFmtId="0" fontId="20" fillId="5" borderId="6" xfId="0" applyFont="1" applyFill="1" applyBorder="1" applyAlignment="1" applyProtection="1">
      <alignment horizontal="center" vertical="center" wrapText="1"/>
    </xf>
    <xf numFmtId="0" fontId="20" fillId="5" borderId="7" xfId="0" applyFont="1" applyFill="1" applyBorder="1" applyAlignment="1" applyProtection="1">
      <alignment horizontal="center" vertical="center" wrapText="1"/>
    </xf>
    <xf numFmtId="0" fontId="22" fillId="5" borderId="8" xfId="0" applyFont="1" applyFill="1" applyBorder="1" applyAlignment="1" applyProtection="1">
      <alignment horizontal="center" vertical="center" wrapText="1"/>
    </xf>
    <xf numFmtId="0" fontId="22" fillId="5" borderId="10" xfId="0" applyFont="1" applyFill="1" applyBorder="1" applyAlignment="1" applyProtection="1">
      <alignment horizontal="center" vertical="center" wrapText="1"/>
    </xf>
    <xf numFmtId="0" fontId="23" fillId="5" borderId="8" xfId="0" applyFont="1" applyFill="1" applyBorder="1" applyAlignment="1">
      <alignment horizontal="center" vertical="center" wrapText="1"/>
    </xf>
    <xf numFmtId="0" fontId="23" fillId="5" borderId="13" xfId="0" applyFont="1" applyFill="1" applyBorder="1" applyAlignment="1">
      <alignment horizontal="center" vertical="center" wrapText="1"/>
    </xf>
    <xf numFmtId="0" fontId="23" fillId="5" borderId="10" xfId="0" applyFont="1" applyFill="1" applyBorder="1" applyAlignment="1">
      <alignment horizontal="center" vertical="center" wrapText="1"/>
    </xf>
    <xf numFmtId="49" fontId="24" fillId="0" borderId="8" xfId="4" applyNumberFormat="1" applyFont="1" applyFill="1" applyBorder="1" applyAlignment="1" applyProtection="1">
      <alignment horizontal="center" vertical="center" wrapText="1"/>
    </xf>
    <xf numFmtId="49" fontId="24" fillId="0" borderId="13" xfId="4" applyNumberFormat="1" applyFont="1" applyFill="1" applyBorder="1" applyAlignment="1" applyProtection="1">
      <alignment horizontal="center" vertical="center" wrapText="1"/>
    </xf>
    <xf numFmtId="49" fontId="24" fillId="0" borderId="10" xfId="4" applyNumberFormat="1" applyFont="1" applyFill="1" applyBorder="1" applyAlignment="1" applyProtection="1">
      <alignment horizontal="center" vertical="center" wrapText="1"/>
    </xf>
  </cellXfs>
  <cellStyles count="29">
    <cellStyle name="br" xfId="21" xr:uid="{00000000-0005-0000-0000-000000000000}"/>
    <cellStyle name="col" xfId="20" xr:uid="{00000000-0005-0000-0000-000001000000}"/>
    <cellStyle name="ex67" xfId="28" xr:uid="{00000000-0005-0000-0000-000002000000}"/>
    <cellStyle name="st24" xfId="3" xr:uid="{00000000-0005-0000-0000-000003000000}"/>
    <cellStyle name="st25" xfId="10" xr:uid="{00000000-0005-0000-0000-000004000000}"/>
    <cellStyle name="style0" xfId="22" xr:uid="{00000000-0005-0000-0000-000005000000}"/>
    <cellStyle name="td" xfId="23" xr:uid="{00000000-0005-0000-0000-000006000000}"/>
    <cellStyle name="tr" xfId="19" xr:uid="{00000000-0005-0000-0000-000007000000}"/>
    <cellStyle name="xl21" xfId="24" xr:uid="{00000000-0005-0000-0000-000008000000}"/>
    <cellStyle name="xl22" xfId="4" xr:uid="{00000000-0005-0000-0000-000009000000}"/>
    <cellStyle name="xl23" xfId="5" xr:uid="{00000000-0005-0000-0000-00000A000000}"/>
    <cellStyle name="xl24" xfId="11" xr:uid="{00000000-0005-0000-0000-00000B000000}"/>
    <cellStyle name="xl25" xfId="16" xr:uid="{00000000-0005-0000-0000-00000C000000}"/>
    <cellStyle name="xl26" xfId="25" xr:uid="{00000000-0005-0000-0000-00000D000000}"/>
    <cellStyle name="xl27" xfId="6" xr:uid="{00000000-0005-0000-0000-00000E000000}"/>
    <cellStyle name="xl28" xfId="12" xr:uid="{00000000-0005-0000-0000-00000F000000}"/>
    <cellStyle name="xl29" xfId="17" xr:uid="{00000000-0005-0000-0000-000010000000}"/>
    <cellStyle name="xl30" xfId="7" xr:uid="{00000000-0005-0000-0000-000011000000}"/>
    <cellStyle name="xl31" xfId="13" xr:uid="{00000000-0005-0000-0000-000012000000}"/>
    <cellStyle name="xl32" xfId="8" xr:uid="{00000000-0005-0000-0000-000013000000}"/>
    <cellStyle name="xl33" xfId="14" xr:uid="{00000000-0005-0000-0000-000014000000}"/>
    <cellStyle name="xl34" xfId="9" xr:uid="{00000000-0005-0000-0000-000015000000}"/>
    <cellStyle name="xl35" xfId="15" xr:uid="{00000000-0005-0000-0000-000016000000}"/>
    <cellStyle name="xl36" xfId="1" xr:uid="{00000000-0005-0000-0000-000017000000}"/>
    <cellStyle name="xl37" xfId="26" xr:uid="{00000000-0005-0000-0000-000018000000}"/>
    <cellStyle name="xl38" xfId="18" xr:uid="{00000000-0005-0000-0000-000019000000}"/>
    <cellStyle name="xl39" xfId="2" xr:uid="{00000000-0005-0000-0000-00001A000000}"/>
    <cellStyle name="xl43" xfId="27" xr:uid="{00000000-0005-0000-0000-00001B000000}"/>
    <cellStyle name="Обычный" xfId="0" builtinId="0"/>
  </cellStyles>
  <dxfs count="0"/>
  <tableStyles count="0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3"/>
  <sheetViews>
    <sheetView showGridLines="0" tabSelected="1" view="pageBreakPreview" zoomScaleNormal="100" zoomScaleSheetLayoutView="100" workbookViewId="0">
      <selection activeCell="C2" sqref="C2:G2"/>
    </sheetView>
  </sheetViews>
  <sheetFormatPr defaultRowHeight="15" x14ac:dyDescent="0.25"/>
  <cols>
    <col min="1" max="1" width="98.28515625" style="1" customWidth="1"/>
    <col min="2" max="2" width="14.28515625" style="23" customWidth="1"/>
    <col min="3" max="5" width="14.85546875" style="23" customWidth="1"/>
    <col min="6" max="6" width="16.28515625" style="1" customWidth="1"/>
    <col min="7" max="7" width="12.42578125" style="1" customWidth="1"/>
    <col min="8" max="16384" width="9.140625" style="1"/>
  </cols>
  <sheetData>
    <row r="1" spans="1:7" ht="15" customHeight="1" x14ac:dyDescent="0.25">
      <c r="C1" s="77"/>
      <c r="D1" s="77"/>
      <c r="E1" s="77"/>
      <c r="F1" s="79" t="s">
        <v>213</v>
      </c>
      <c r="G1" s="79"/>
    </row>
    <row r="2" spans="1:7" ht="13.5" customHeight="1" x14ac:dyDescent="0.25">
      <c r="C2" s="79" t="s">
        <v>214</v>
      </c>
      <c r="D2" s="79"/>
      <c r="E2" s="79"/>
      <c r="F2" s="79"/>
      <c r="G2" s="79"/>
    </row>
    <row r="3" spans="1:7" ht="13.5" customHeight="1" x14ac:dyDescent="0.25">
      <c r="C3" s="77"/>
      <c r="D3" s="77"/>
      <c r="E3" s="77"/>
      <c r="F3" s="79" t="s">
        <v>215</v>
      </c>
      <c r="G3" s="79"/>
    </row>
    <row r="4" spans="1:7" ht="28.5" customHeight="1" x14ac:dyDescent="0.25">
      <c r="A4" s="82" t="s">
        <v>135</v>
      </c>
      <c r="B4" s="82"/>
      <c r="C4" s="82"/>
      <c r="D4" s="82"/>
      <c r="E4" s="82"/>
      <c r="F4" s="82"/>
      <c r="G4" s="82"/>
    </row>
    <row r="5" spans="1:7" ht="15.2" customHeight="1" x14ac:dyDescent="0.25">
      <c r="A5" s="83" t="s">
        <v>42</v>
      </c>
      <c r="B5" s="84"/>
      <c r="C5" s="84"/>
      <c r="D5" s="84"/>
      <c r="E5" s="84"/>
      <c r="F5" s="84"/>
      <c r="G5" s="84"/>
    </row>
    <row r="6" spans="1:7" ht="21" customHeight="1" x14ac:dyDescent="0.25">
      <c r="A6" s="80" t="s">
        <v>0</v>
      </c>
      <c r="B6" s="92" t="s">
        <v>216</v>
      </c>
      <c r="C6" s="92" t="s">
        <v>217</v>
      </c>
      <c r="D6" s="92" t="s">
        <v>219</v>
      </c>
      <c r="E6" s="89" t="s">
        <v>218</v>
      </c>
      <c r="F6" s="85" t="s">
        <v>209</v>
      </c>
      <c r="G6" s="86"/>
    </row>
    <row r="7" spans="1:7" ht="12.75" customHeight="1" x14ac:dyDescent="0.25">
      <c r="A7" s="81"/>
      <c r="B7" s="93"/>
      <c r="C7" s="93"/>
      <c r="D7" s="93"/>
      <c r="E7" s="90"/>
      <c r="F7" s="87" t="s">
        <v>210</v>
      </c>
      <c r="G7" s="87" t="s">
        <v>211</v>
      </c>
    </row>
    <row r="8" spans="1:7" ht="63.75" customHeight="1" x14ac:dyDescent="0.25">
      <c r="A8" s="81"/>
      <c r="B8" s="94"/>
      <c r="C8" s="94"/>
      <c r="D8" s="94"/>
      <c r="E8" s="91"/>
      <c r="F8" s="88"/>
      <c r="G8" s="88"/>
    </row>
    <row r="9" spans="1:7" ht="12.75" customHeight="1" x14ac:dyDescent="0.25">
      <c r="A9" s="10" t="s">
        <v>1</v>
      </c>
      <c r="B9" s="39" t="s">
        <v>2</v>
      </c>
      <c r="C9" s="25" t="s">
        <v>111</v>
      </c>
      <c r="D9" s="25" t="s">
        <v>190</v>
      </c>
      <c r="E9" s="25" t="s">
        <v>191</v>
      </c>
      <c r="F9" s="11" t="s">
        <v>192</v>
      </c>
      <c r="G9" s="11" t="s">
        <v>205</v>
      </c>
    </row>
    <row r="10" spans="1:7" ht="21.75" customHeight="1" x14ac:dyDescent="0.25">
      <c r="A10" s="42" t="s">
        <v>3</v>
      </c>
      <c r="B10" s="53">
        <f t="shared" ref="B10:E10" si="0">B11+B15+B21+B26+B29+B35</f>
        <v>1391176.7</v>
      </c>
      <c r="C10" s="53">
        <f t="shared" ref="C10" si="1">C11+C15+C21+C26+C29+C35</f>
        <v>1133856.2</v>
      </c>
      <c r="D10" s="53">
        <f t="shared" si="0"/>
        <v>1102214.0470499999</v>
      </c>
      <c r="E10" s="53">
        <f t="shared" si="0"/>
        <v>1101911.3584999999</v>
      </c>
      <c r="F10" s="53">
        <f t="shared" ref="F10" si="2">E10/C10*100</f>
        <v>97.182637313267762</v>
      </c>
      <c r="G10" s="53">
        <f>E10/D10*100</f>
        <v>99.972538133513154</v>
      </c>
    </row>
    <row r="11" spans="1:7" ht="16.5" customHeight="1" x14ac:dyDescent="0.25">
      <c r="A11" s="26" t="s">
        <v>4</v>
      </c>
      <c r="B11" s="54">
        <f t="shared" ref="B11:E11" si="3">SUM(B12:B14)</f>
        <v>1204840</v>
      </c>
      <c r="C11" s="54">
        <f t="shared" ref="C11" si="4">SUM(C12:C14)</f>
        <v>890431.29999999993</v>
      </c>
      <c r="D11" s="54">
        <f t="shared" si="3"/>
        <v>864696.33</v>
      </c>
      <c r="E11" s="54">
        <f t="shared" si="3"/>
        <v>864692.82400000002</v>
      </c>
      <c r="F11" s="54">
        <f>E11/C11*100</f>
        <v>97.109437190718708</v>
      </c>
      <c r="G11" s="54">
        <f>E11/D11*100</f>
        <v>99.999594539738595</v>
      </c>
    </row>
    <row r="12" spans="1:7" ht="39" customHeight="1" x14ac:dyDescent="0.25">
      <c r="A12" s="15" t="s">
        <v>134</v>
      </c>
      <c r="B12" s="55">
        <v>619345.69999999995</v>
      </c>
      <c r="C12" s="55">
        <v>526274.69999999995</v>
      </c>
      <c r="D12" s="55">
        <v>500539.73</v>
      </c>
      <c r="E12" s="55">
        <v>500536.22399999999</v>
      </c>
      <c r="F12" s="56">
        <f>E12/C12*100</f>
        <v>95.109307743655563</v>
      </c>
      <c r="G12" s="56">
        <f t="shared" ref="G12:G75" si="5">E12/D12*100</f>
        <v>99.999299556101178</v>
      </c>
    </row>
    <row r="13" spans="1:7" ht="28.5" customHeight="1" x14ac:dyDescent="0.25">
      <c r="A13" s="15" t="s">
        <v>47</v>
      </c>
      <c r="B13" s="55">
        <v>585494.30000000005</v>
      </c>
      <c r="C13" s="55">
        <v>364156.6</v>
      </c>
      <c r="D13" s="55">
        <v>364156.6</v>
      </c>
      <c r="E13" s="55">
        <v>364156.6</v>
      </c>
      <c r="F13" s="56">
        <f t="shared" ref="F13:F76" si="6">E13/C13*100</f>
        <v>100</v>
      </c>
      <c r="G13" s="56">
        <f t="shared" si="5"/>
        <v>100</v>
      </c>
    </row>
    <row r="14" spans="1:7" x14ac:dyDescent="0.25">
      <c r="A14" s="15" t="s">
        <v>48</v>
      </c>
      <c r="B14" s="55">
        <v>0</v>
      </c>
      <c r="C14" s="55">
        <v>0</v>
      </c>
      <c r="D14" s="55">
        <v>0</v>
      </c>
      <c r="E14" s="55">
        <v>0</v>
      </c>
      <c r="F14" s="56" t="s">
        <v>207</v>
      </c>
      <c r="G14" s="56" t="s">
        <v>207</v>
      </c>
    </row>
    <row r="15" spans="1:7" x14ac:dyDescent="0.25">
      <c r="A15" s="27" t="s">
        <v>43</v>
      </c>
      <c r="B15" s="54">
        <f t="shared" ref="B15" si="7">SUM(B16:B20)</f>
        <v>60301.7</v>
      </c>
      <c r="C15" s="54">
        <f t="shared" ref="C15" si="8">SUM(C16:C20)</f>
        <v>37689.300000000003</v>
      </c>
      <c r="D15" s="54">
        <f>SUM(D16:D20)</f>
        <v>39032.894</v>
      </c>
      <c r="E15" s="54">
        <f>SUM(E16:E20)</f>
        <v>39032.840000000004</v>
      </c>
      <c r="F15" s="54">
        <f t="shared" si="6"/>
        <v>103.56477833231183</v>
      </c>
      <c r="G15" s="54">
        <f t="shared" si="5"/>
        <v>99.99986165514656</v>
      </c>
    </row>
    <row r="16" spans="1:7" ht="27.75" hidden="1" customHeight="1" x14ac:dyDescent="0.25">
      <c r="A16" s="16" t="s">
        <v>133</v>
      </c>
      <c r="B16" s="56">
        <v>0</v>
      </c>
      <c r="C16" s="56">
        <v>0</v>
      </c>
      <c r="D16" s="56">
        <v>0</v>
      </c>
      <c r="E16" s="56">
        <v>0</v>
      </c>
      <c r="F16" s="56" t="e">
        <f t="shared" si="6"/>
        <v>#DIV/0!</v>
      </c>
      <c r="G16" s="64" t="e">
        <f t="shared" si="5"/>
        <v>#DIV/0!</v>
      </c>
    </row>
    <row r="17" spans="1:7" ht="25.5" x14ac:dyDescent="0.25">
      <c r="A17" s="16" t="s">
        <v>132</v>
      </c>
      <c r="B17" s="56">
        <v>22612.3</v>
      </c>
      <c r="C17" s="56">
        <v>0</v>
      </c>
      <c r="D17" s="56">
        <v>0</v>
      </c>
      <c r="E17" s="56">
        <v>0</v>
      </c>
      <c r="F17" s="56">
        <v>0</v>
      </c>
      <c r="G17" s="56" t="s">
        <v>207</v>
      </c>
    </row>
    <row r="18" spans="1:7" ht="13.5" customHeight="1" x14ac:dyDescent="0.25">
      <c r="A18" s="16" t="s">
        <v>112</v>
      </c>
      <c r="B18" s="56">
        <v>30000</v>
      </c>
      <c r="C18" s="56">
        <v>30000</v>
      </c>
      <c r="D18" s="56">
        <v>30000</v>
      </c>
      <c r="E18" s="56">
        <v>30000</v>
      </c>
      <c r="F18" s="56">
        <f t="shared" si="6"/>
        <v>100</v>
      </c>
      <c r="G18" s="56">
        <f t="shared" si="5"/>
        <v>100</v>
      </c>
    </row>
    <row r="19" spans="1:7" ht="52.5" customHeight="1" x14ac:dyDescent="0.25">
      <c r="A19" s="16" t="s">
        <v>151</v>
      </c>
      <c r="B19" s="56">
        <v>2383.1999999999998</v>
      </c>
      <c r="C19" s="56">
        <v>2383.1999999999998</v>
      </c>
      <c r="D19" s="56">
        <v>2383.1999999999998</v>
      </c>
      <c r="E19" s="56">
        <v>2383.1999999999998</v>
      </c>
      <c r="F19" s="56">
        <f t="shared" si="6"/>
        <v>100</v>
      </c>
      <c r="G19" s="56">
        <f t="shared" si="5"/>
        <v>100</v>
      </c>
    </row>
    <row r="20" spans="1:7" ht="55.5" customHeight="1" x14ac:dyDescent="0.25">
      <c r="A20" s="17" t="s">
        <v>49</v>
      </c>
      <c r="B20" s="55">
        <v>5306.2</v>
      </c>
      <c r="C20" s="55">
        <v>5306.1</v>
      </c>
      <c r="D20" s="55">
        <v>6649.6940000000004</v>
      </c>
      <c r="E20" s="55">
        <v>6649.64</v>
      </c>
      <c r="F20" s="56">
        <f t="shared" si="6"/>
        <v>125.32066866436742</v>
      </c>
      <c r="G20" s="56">
        <f t="shared" si="5"/>
        <v>99.999187932557504</v>
      </c>
    </row>
    <row r="21" spans="1:7" ht="33.75" customHeight="1" x14ac:dyDescent="0.25">
      <c r="A21" s="35" t="s">
        <v>5</v>
      </c>
      <c r="B21" s="54">
        <f t="shared" ref="B21:E21" si="9">SUM(B22:B25)</f>
        <v>59452.7</v>
      </c>
      <c r="C21" s="54">
        <f t="shared" ref="C21" si="10">SUM(C22:C25)</f>
        <v>83591.3</v>
      </c>
      <c r="D21" s="54">
        <f t="shared" si="9"/>
        <v>83245.044900000008</v>
      </c>
      <c r="E21" s="54">
        <f t="shared" si="9"/>
        <v>83245.044900000008</v>
      </c>
      <c r="F21" s="54">
        <f t="shared" si="6"/>
        <v>99.585776151345897</v>
      </c>
      <c r="G21" s="54">
        <f t="shared" si="5"/>
        <v>100</v>
      </c>
    </row>
    <row r="22" spans="1:7" s="4" customFormat="1" ht="18" customHeight="1" x14ac:dyDescent="0.25">
      <c r="A22" s="18" t="s">
        <v>163</v>
      </c>
      <c r="B22" s="56">
        <v>5724.9</v>
      </c>
      <c r="C22" s="56">
        <v>346.3</v>
      </c>
      <c r="D22" s="56">
        <v>0</v>
      </c>
      <c r="E22" s="56">
        <v>0</v>
      </c>
      <c r="F22" s="56">
        <f t="shared" si="6"/>
        <v>0</v>
      </c>
      <c r="G22" s="56" t="s">
        <v>207</v>
      </c>
    </row>
    <row r="23" spans="1:7" s="4" customFormat="1" ht="27" customHeight="1" x14ac:dyDescent="0.25">
      <c r="A23" s="19" t="s">
        <v>50</v>
      </c>
      <c r="B23" s="55">
        <v>207.4</v>
      </c>
      <c r="C23" s="55">
        <v>207.4</v>
      </c>
      <c r="D23" s="55">
        <v>207.4</v>
      </c>
      <c r="E23" s="55">
        <v>207.4</v>
      </c>
      <c r="F23" s="56">
        <f t="shared" si="6"/>
        <v>100</v>
      </c>
      <c r="G23" s="56">
        <f t="shared" si="5"/>
        <v>100</v>
      </c>
    </row>
    <row r="24" spans="1:7" s="4" customFormat="1" ht="27" customHeight="1" x14ac:dyDescent="0.25">
      <c r="A24" s="19" t="s">
        <v>201</v>
      </c>
      <c r="B24" s="55">
        <v>0</v>
      </c>
      <c r="C24" s="55">
        <v>29517.200000000001</v>
      </c>
      <c r="D24" s="55">
        <v>29517.244900000002</v>
      </c>
      <c r="E24" s="55">
        <v>29517.244900000002</v>
      </c>
      <c r="F24" s="56">
        <f t="shared" si="6"/>
        <v>100.00015211469923</v>
      </c>
      <c r="G24" s="56">
        <f t="shared" si="5"/>
        <v>100</v>
      </c>
    </row>
    <row r="25" spans="1:7" ht="14.25" customHeight="1" x14ac:dyDescent="0.25">
      <c r="A25" s="15" t="s">
        <v>51</v>
      </c>
      <c r="B25" s="55">
        <v>53520.4</v>
      </c>
      <c r="C25" s="55">
        <v>53520.4</v>
      </c>
      <c r="D25" s="55">
        <v>53520.4</v>
      </c>
      <c r="E25" s="55">
        <v>53520.4</v>
      </c>
      <c r="F25" s="56">
        <f t="shared" si="6"/>
        <v>100</v>
      </c>
      <c r="G25" s="56">
        <f t="shared" si="5"/>
        <v>100</v>
      </c>
    </row>
    <row r="26" spans="1:7" ht="35.25" customHeight="1" x14ac:dyDescent="0.25">
      <c r="A26" s="35" t="s">
        <v>6</v>
      </c>
      <c r="B26" s="54">
        <f t="shared" ref="B26:E26" si="11">B27+B28</f>
        <v>7625.7</v>
      </c>
      <c r="C26" s="54">
        <f t="shared" ref="C26" si="12">C27+C28</f>
        <v>7625.6</v>
      </c>
      <c r="D26" s="54">
        <f t="shared" si="11"/>
        <v>7625.6</v>
      </c>
      <c r="E26" s="54">
        <f t="shared" si="11"/>
        <v>7625.6</v>
      </c>
      <c r="F26" s="54">
        <f t="shared" si="6"/>
        <v>100</v>
      </c>
      <c r="G26" s="54">
        <f t="shared" si="5"/>
        <v>100</v>
      </c>
    </row>
    <row r="27" spans="1:7" ht="27.75" customHeight="1" x14ac:dyDescent="0.25">
      <c r="A27" s="16" t="s">
        <v>50</v>
      </c>
      <c r="B27" s="56">
        <v>0</v>
      </c>
      <c r="C27" s="56">
        <v>0</v>
      </c>
      <c r="D27" s="56">
        <v>0</v>
      </c>
      <c r="E27" s="56">
        <v>0</v>
      </c>
      <c r="F27" s="56" t="s">
        <v>207</v>
      </c>
      <c r="G27" s="56" t="s">
        <v>207</v>
      </c>
    </row>
    <row r="28" spans="1:7" s="14" customFormat="1" ht="26.25" customHeight="1" x14ac:dyDescent="0.25">
      <c r="A28" s="20" t="s">
        <v>52</v>
      </c>
      <c r="B28" s="55">
        <v>7625.7</v>
      </c>
      <c r="C28" s="55">
        <v>7625.6</v>
      </c>
      <c r="D28" s="55">
        <v>7625.6</v>
      </c>
      <c r="E28" s="55">
        <v>7625.6</v>
      </c>
      <c r="F28" s="56">
        <f t="shared" si="6"/>
        <v>100</v>
      </c>
      <c r="G28" s="56">
        <f t="shared" si="5"/>
        <v>100</v>
      </c>
    </row>
    <row r="29" spans="1:7" ht="42.75" customHeight="1" x14ac:dyDescent="0.25">
      <c r="A29" s="26" t="s">
        <v>7</v>
      </c>
      <c r="B29" s="54">
        <f t="shared" ref="B29:E29" si="13">SUM(B30:B34)</f>
        <v>58956.600000000006</v>
      </c>
      <c r="C29" s="54">
        <f t="shared" ref="C29" si="14">SUM(C30:C34)</f>
        <v>114518.7</v>
      </c>
      <c r="D29" s="54">
        <f t="shared" si="13"/>
        <v>107614.17814999999</v>
      </c>
      <c r="E29" s="54">
        <f t="shared" si="13"/>
        <v>107315.0496</v>
      </c>
      <c r="F29" s="54">
        <f t="shared" si="6"/>
        <v>93.709629606343768</v>
      </c>
      <c r="G29" s="54">
        <f t="shared" si="5"/>
        <v>99.72203611536851</v>
      </c>
    </row>
    <row r="30" spans="1:7" ht="18" customHeight="1" x14ac:dyDescent="0.25">
      <c r="A30" s="15" t="s">
        <v>162</v>
      </c>
      <c r="B30" s="55">
        <v>4329.5</v>
      </c>
      <c r="C30" s="55">
        <v>4662.5</v>
      </c>
      <c r="D30" s="55">
        <f>341.30843+4321.23119</f>
        <v>4662.5396200000005</v>
      </c>
      <c r="E30" s="55">
        <v>4662.5396199999996</v>
      </c>
      <c r="F30" s="56">
        <f t="shared" si="6"/>
        <v>100.00084975871313</v>
      </c>
      <c r="G30" s="56">
        <f t="shared" si="5"/>
        <v>99.999999999999972</v>
      </c>
    </row>
    <row r="31" spans="1:7" ht="25.5" x14ac:dyDescent="0.25">
      <c r="A31" s="15" t="s">
        <v>129</v>
      </c>
      <c r="B31" s="55">
        <v>48724.3</v>
      </c>
      <c r="C31" s="55">
        <f>30341.6+71211.9</f>
        <v>101553.5</v>
      </c>
      <c r="D31" s="55">
        <f>79648.89201+15000</f>
        <v>94648.892009999996</v>
      </c>
      <c r="E31" s="55">
        <v>94349.763460000002</v>
      </c>
      <c r="F31" s="56">
        <f t="shared" si="6"/>
        <v>92.906461579364574</v>
      </c>
      <c r="G31" s="56">
        <f t="shared" si="5"/>
        <v>99.683959797470862</v>
      </c>
    </row>
    <row r="32" spans="1:7" ht="15" customHeight="1" x14ac:dyDescent="0.25">
      <c r="A32" s="15" t="s">
        <v>53</v>
      </c>
      <c r="B32" s="55">
        <v>0</v>
      </c>
      <c r="C32" s="55">
        <v>0</v>
      </c>
      <c r="D32" s="55">
        <v>0</v>
      </c>
      <c r="E32" s="55">
        <v>0</v>
      </c>
      <c r="F32" s="56" t="s">
        <v>207</v>
      </c>
      <c r="G32" s="56" t="s">
        <v>207</v>
      </c>
    </row>
    <row r="33" spans="1:7" x14ac:dyDescent="0.25">
      <c r="A33" s="15" t="s">
        <v>54</v>
      </c>
      <c r="B33" s="55">
        <v>0</v>
      </c>
      <c r="C33" s="55">
        <v>2399.9</v>
      </c>
      <c r="D33" s="55">
        <v>2399.9631800000002</v>
      </c>
      <c r="E33" s="55">
        <v>2399.9631800000002</v>
      </c>
      <c r="F33" s="56">
        <f t="shared" si="6"/>
        <v>100.00263260969207</v>
      </c>
      <c r="G33" s="56">
        <f t="shared" si="5"/>
        <v>100</v>
      </c>
    </row>
    <row r="34" spans="1:7" ht="38.25" x14ac:dyDescent="0.25">
      <c r="A34" s="15" t="s">
        <v>130</v>
      </c>
      <c r="B34" s="55">
        <v>5902.8</v>
      </c>
      <c r="C34" s="55">
        <v>5902.8</v>
      </c>
      <c r="D34" s="55">
        <v>5902.78334</v>
      </c>
      <c r="E34" s="55">
        <v>5902.78334</v>
      </c>
      <c r="F34" s="56">
        <f t="shared" si="6"/>
        <v>99.999717761062541</v>
      </c>
      <c r="G34" s="56">
        <f t="shared" si="5"/>
        <v>100</v>
      </c>
    </row>
    <row r="35" spans="1:7" s="9" customFormat="1" ht="14.25" hidden="1" customHeight="1" x14ac:dyDescent="0.25">
      <c r="A35" s="5" t="s">
        <v>109</v>
      </c>
      <c r="B35" s="58">
        <v>0</v>
      </c>
      <c r="C35" s="59">
        <v>0</v>
      </c>
      <c r="D35" s="59">
        <v>0</v>
      </c>
      <c r="E35" s="59">
        <v>0</v>
      </c>
      <c r="F35" s="56" t="e">
        <f t="shared" si="6"/>
        <v>#DIV/0!</v>
      </c>
      <c r="G35" s="64" t="e">
        <f t="shared" si="5"/>
        <v>#DIV/0!</v>
      </c>
    </row>
    <row r="36" spans="1:7" ht="14.25" hidden="1" customHeight="1" x14ac:dyDescent="0.25">
      <c r="A36" s="2" t="s">
        <v>110</v>
      </c>
      <c r="B36" s="60">
        <v>0</v>
      </c>
      <c r="C36" s="55">
        <v>0</v>
      </c>
      <c r="D36" s="55">
        <v>0</v>
      </c>
      <c r="E36" s="55">
        <v>0</v>
      </c>
      <c r="F36" s="56" t="e">
        <f t="shared" si="6"/>
        <v>#DIV/0!</v>
      </c>
      <c r="G36" s="64" t="e">
        <f t="shared" si="5"/>
        <v>#DIV/0!</v>
      </c>
    </row>
    <row r="37" spans="1:7" ht="20.25" customHeight="1" x14ac:dyDescent="0.25">
      <c r="A37" s="34" t="s">
        <v>8</v>
      </c>
      <c r="B37" s="53">
        <f t="shared" ref="B37:E37" si="15">B38+B40+B43+B46+B48+B50</f>
        <v>2344849</v>
      </c>
      <c r="C37" s="53">
        <f t="shared" ref="C37" si="16">C38+C40+C43+C46+C48+C50</f>
        <v>1712119.1</v>
      </c>
      <c r="D37" s="53">
        <f t="shared" si="15"/>
        <v>1712119.0375000001</v>
      </c>
      <c r="E37" s="53">
        <f t="shared" si="15"/>
        <v>1691995.9222900001</v>
      </c>
      <c r="F37" s="53">
        <f t="shared" si="6"/>
        <v>98.824662506831444</v>
      </c>
      <c r="G37" s="53">
        <f t="shared" si="5"/>
        <v>98.8246661143735</v>
      </c>
    </row>
    <row r="38" spans="1:7" ht="25.5" customHeight="1" x14ac:dyDescent="0.25">
      <c r="A38" s="35" t="s">
        <v>9</v>
      </c>
      <c r="B38" s="54">
        <f t="shared" ref="B38:E38" si="17">SUM(B39:B39)</f>
        <v>359643.5</v>
      </c>
      <c r="C38" s="54">
        <f t="shared" si="17"/>
        <v>445415.7</v>
      </c>
      <c r="D38" s="54">
        <f t="shared" si="17"/>
        <v>445415.74</v>
      </c>
      <c r="E38" s="54">
        <f t="shared" si="17"/>
        <v>445415.7</v>
      </c>
      <c r="F38" s="54">
        <f t="shared" si="6"/>
        <v>100</v>
      </c>
      <c r="G38" s="54">
        <f t="shared" si="5"/>
        <v>99.999991019625838</v>
      </c>
    </row>
    <row r="39" spans="1:7" ht="17.25" customHeight="1" x14ac:dyDescent="0.25">
      <c r="A39" s="17" t="s">
        <v>55</v>
      </c>
      <c r="B39" s="55">
        <v>359643.5</v>
      </c>
      <c r="C39" s="55">
        <v>445415.7</v>
      </c>
      <c r="D39" s="55">
        <v>445415.74</v>
      </c>
      <c r="E39" s="55">
        <v>445415.7</v>
      </c>
      <c r="F39" s="56">
        <f t="shared" si="6"/>
        <v>100</v>
      </c>
      <c r="G39" s="56">
        <f t="shared" si="5"/>
        <v>99.999991019625838</v>
      </c>
    </row>
    <row r="40" spans="1:7" ht="21" customHeight="1" x14ac:dyDescent="0.25">
      <c r="A40" s="35" t="s">
        <v>10</v>
      </c>
      <c r="B40" s="54">
        <f t="shared" ref="B40:E40" si="18">SUM(B41:B42)</f>
        <v>205272.8</v>
      </c>
      <c r="C40" s="54">
        <f t="shared" ref="C40" si="19">SUM(C41:C42)</f>
        <v>254417.5</v>
      </c>
      <c r="D40" s="54">
        <f t="shared" si="18"/>
        <v>254417.5</v>
      </c>
      <c r="E40" s="54">
        <f t="shared" si="18"/>
        <v>254417.4</v>
      </c>
      <c r="F40" s="54">
        <f t="shared" si="6"/>
        <v>99.999960694527687</v>
      </c>
      <c r="G40" s="54">
        <f t="shared" si="5"/>
        <v>99.999960694527687</v>
      </c>
    </row>
    <row r="41" spans="1:7" x14ac:dyDescent="0.25">
      <c r="A41" s="17" t="s">
        <v>56</v>
      </c>
      <c r="B41" s="55">
        <v>121068.9</v>
      </c>
      <c r="C41" s="55">
        <v>170213.6</v>
      </c>
      <c r="D41" s="55">
        <f>170213.6+84203.9</f>
        <v>254417.5</v>
      </c>
      <c r="E41" s="55">
        <v>254417.4</v>
      </c>
      <c r="F41" s="56">
        <f t="shared" si="6"/>
        <v>149.4694900994985</v>
      </c>
      <c r="G41" s="56">
        <f t="shared" si="5"/>
        <v>99.999960694527687</v>
      </c>
    </row>
    <row r="42" spans="1:7" ht="25.5" x14ac:dyDescent="0.25">
      <c r="A42" s="17" t="s">
        <v>57</v>
      </c>
      <c r="B42" s="55">
        <v>84203.9</v>
      </c>
      <c r="C42" s="55">
        <v>84203.9</v>
      </c>
      <c r="D42" s="55">
        <v>0</v>
      </c>
      <c r="E42" s="55">
        <v>0</v>
      </c>
      <c r="F42" s="56">
        <f t="shared" si="6"/>
        <v>0</v>
      </c>
      <c r="G42" s="56" t="s">
        <v>207</v>
      </c>
    </row>
    <row r="43" spans="1:7" ht="15" customHeight="1" x14ac:dyDescent="0.25">
      <c r="A43" s="35" t="s">
        <v>11</v>
      </c>
      <c r="B43" s="54">
        <f t="shared" ref="B43:E43" si="20">SUM(B44:B45)</f>
        <v>31723.5</v>
      </c>
      <c r="C43" s="54">
        <f t="shared" ref="C43" si="21">SUM(C44:C45)</f>
        <v>31543.3</v>
      </c>
      <c r="D43" s="54">
        <f t="shared" si="20"/>
        <v>31543.22</v>
      </c>
      <c r="E43" s="54">
        <f t="shared" si="20"/>
        <v>31543.196690000001</v>
      </c>
      <c r="F43" s="54">
        <f t="shared" si="6"/>
        <v>99.999672481953382</v>
      </c>
      <c r="G43" s="54">
        <f t="shared" si="5"/>
        <v>99.999926101393584</v>
      </c>
    </row>
    <row r="44" spans="1:7" hidden="1" x14ac:dyDescent="0.25">
      <c r="A44" s="17" t="s">
        <v>58</v>
      </c>
      <c r="B44" s="55">
        <v>0</v>
      </c>
      <c r="C44" s="55">
        <v>0</v>
      </c>
      <c r="D44" s="55">
        <v>0</v>
      </c>
      <c r="E44" s="55">
        <v>0</v>
      </c>
      <c r="F44" s="56" t="s">
        <v>212</v>
      </c>
      <c r="G44" s="56" t="s">
        <v>207</v>
      </c>
    </row>
    <row r="45" spans="1:7" ht="24.75" customHeight="1" x14ac:dyDescent="0.25">
      <c r="A45" s="17" t="s">
        <v>59</v>
      </c>
      <c r="B45" s="55">
        <v>31723.5</v>
      </c>
      <c r="C45" s="55">
        <v>31543.3</v>
      </c>
      <c r="D45" s="55">
        <v>31543.22</v>
      </c>
      <c r="E45" s="55">
        <v>31543.196690000001</v>
      </c>
      <c r="F45" s="56">
        <f t="shared" si="6"/>
        <v>99.999672481953382</v>
      </c>
      <c r="G45" s="56">
        <f t="shared" si="5"/>
        <v>99.999926101393584</v>
      </c>
    </row>
    <row r="46" spans="1:7" ht="27.75" hidden="1" customHeight="1" x14ac:dyDescent="0.25">
      <c r="A46" s="35" t="s">
        <v>60</v>
      </c>
      <c r="B46" s="54">
        <f t="shared" ref="B46:E46" si="22">B47</f>
        <v>754679</v>
      </c>
      <c r="C46" s="54">
        <f t="shared" si="22"/>
        <v>0</v>
      </c>
      <c r="D46" s="54">
        <f t="shared" si="22"/>
        <v>0</v>
      </c>
      <c r="E46" s="54">
        <f t="shared" si="22"/>
        <v>0</v>
      </c>
      <c r="F46" s="56" t="e">
        <f t="shared" si="6"/>
        <v>#DIV/0!</v>
      </c>
      <c r="G46" s="64" t="e">
        <f t="shared" si="5"/>
        <v>#DIV/0!</v>
      </c>
    </row>
    <row r="47" spans="1:7" ht="15.75" hidden="1" customHeight="1" x14ac:dyDescent="0.25">
      <c r="A47" s="17" t="s">
        <v>61</v>
      </c>
      <c r="B47" s="55">
        <v>754679</v>
      </c>
      <c r="C47" s="55">
        <v>0</v>
      </c>
      <c r="D47" s="55">
        <v>0</v>
      </c>
      <c r="E47" s="55">
        <v>0</v>
      </c>
      <c r="F47" s="56" t="e">
        <f t="shared" si="6"/>
        <v>#DIV/0!</v>
      </c>
      <c r="G47" s="64" t="e">
        <f t="shared" si="5"/>
        <v>#DIV/0!</v>
      </c>
    </row>
    <row r="48" spans="1:7" ht="25.5" x14ac:dyDescent="0.25">
      <c r="A48" s="78" t="s">
        <v>12</v>
      </c>
      <c r="B48" s="54">
        <f t="shared" ref="B48:E48" si="23">B49</f>
        <v>63927</v>
      </c>
      <c r="C48" s="54">
        <f t="shared" si="23"/>
        <v>63926.9</v>
      </c>
      <c r="D48" s="54">
        <f t="shared" si="23"/>
        <v>63926.899999999994</v>
      </c>
      <c r="E48" s="54">
        <f t="shared" si="23"/>
        <v>63926.9</v>
      </c>
      <c r="F48" s="54">
        <f t="shared" si="6"/>
        <v>100</v>
      </c>
      <c r="G48" s="54">
        <f t="shared" si="5"/>
        <v>100.00000000000003</v>
      </c>
    </row>
    <row r="49" spans="1:7" ht="25.5" x14ac:dyDescent="0.25">
      <c r="A49" s="15" t="s">
        <v>62</v>
      </c>
      <c r="B49" s="55">
        <v>63927</v>
      </c>
      <c r="C49" s="55">
        <f>16397.4+668.2+54.2+46807.1</f>
        <v>63926.9</v>
      </c>
      <c r="D49" s="55">
        <f>16397.47+668.17+54.17+46807.09</f>
        <v>63926.899999999994</v>
      </c>
      <c r="E49" s="55">
        <v>63926.9</v>
      </c>
      <c r="F49" s="56">
        <f t="shared" si="6"/>
        <v>100</v>
      </c>
      <c r="G49" s="56">
        <f t="shared" si="5"/>
        <v>100.00000000000003</v>
      </c>
    </row>
    <row r="50" spans="1:7" ht="27" customHeight="1" x14ac:dyDescent="0.25">
      <c r="A50" s="28" t="s">
        <v>63</v>
      </c>
      <c r="B50" s="54">
        <f t="shared" ref="B50:E50" si="24">B51+B52</f>
        <v>929603.2</v>
      </c>
      <c r="C50" s="54">
        <f t="shared" ref="C50" si="25">C51+C52</f>
        <v>916815.7</v>
      </c>
      <c r="D50" s="54">
        <f t="shared" si="24"/>
        <v>916815.67749999999</v>
      </c>
      <c r="E50" s="54">
        <f t="shared" si="24"/>
        <v>896692.72560000001</v>
      </c>
      <c r="F50" s="54">
        <f t="shared" si="6"/>
        <v>97.805123276139355</v>
      </c>
      <c r="G50" s="54">
        <f t="shared" si="5"/>
        <v>97.805125676420388</v>
      </c>
    </row>
    <row r="51" spans="1:7" x14ac:dyDescent="0.25">
      <c r="A51" s="15" t="s">
        <v>64</v>
      </c>
      <c r="B51" s="55">
        <v>484217.5</v>
      </c>
      <c r="C51" s="55">
        <v>484416.5</v>
      </c>
      <c r="D51" s="55">
        <v>0</v>
      </c>
      <c r="E51" s="55">
        <v>0</v>
      </c>
      <c r="F51" s="56">
        <f t="shared" si="6"/>
        <v>0</v>
      </c>
      <c r="G51" s="56" t="s">
        <v>207</v>
      </c>
    </row>
    <row r="52" spans="1:7" x14ac:dyDescent="0.25">
      <c r="A52" s="15" t="s">
        <v>128</v>
      </c>
      <c r="B52" s="55">
        <v>445385.7</v>
      </c>
      <c r="C52" s="55">
        <v>432399.2</v>
      </c>
      <c r="D52" s="55">
        <f>484416.5+957.7+431441.4775</f>
        <v>916815.67749999999</v>
      </c>
      <c r="E52" s="55">
        <v>896692.72560000001</v>
      </c>
      <c r="F52" s="56">
        <f t="shared" si="6"/>
        <v>207.37612965056363</v>
      </c>
      <c r="G52" s="56">
        <f t="shared" si="5"/>
        <v>97.805125676420388</v>
      </c>
    </row>
    <row r="53" spans="1:7" ht="24" customHeight="1" x14ac:dyDescent="0.25">
      <c r="A53" s="42" t="s">
        <v>13</v>
      </c>
      <c r="B53" s="53">
        <f t="shared" ref="B53:E53" si="26">B54+B67+B73+B79+B81</f>
        <v>6730082.5</v>
      </c>
      <c r="C53" s="53">
        <f t="shared" ref="C53" si="27">C54+C67+C73+C79+C81</f>
        <v>6677976.4000000013</v>
      </c>
      <c r="D53" s="53">
        <f t="shared" si="26"/>
        <v>6661079.9377100002</v>
      </c>
      <c r="E53" s="53">
        <f t="shared" si="26"/>
        <v>6334928.3499699999</v>
      </c>
      <c r="F53" s="53">
        <f t="shared" si="6"/>
        <v>94.862993974791507</v>
      </c>
      <c r="G53" s="53">
        <f t="shared" si="5"/>
        <v>95.103622974203077</v>
      </c>
    </row>
    <row r="54" spans="1:7" x14ac:dyDescent="0.25">
      <c r="A54" s="35" t="s">
        <v>14</v>
      </c>
      <c r="B54" s="54">
        <f t="shared" ref="B54:E54" si="28">SUM(B55:B66)</f>
        <v>6413339</v>
      </c>
      <c r="C54" s="54">
        <f t="shared" ref="C54" si="29">SUM(C55:C66)</f>
        <v>6382075.3000000007</v>
      </c>
      <c r="D54" s="54">
        <f t="shared" si="28"/>
        <v>6366791.1117100008</v>
      </c>
      <c r="E54" s="54">
        <f t="shared" si="28"/>
        <v>6049205.8015900003</v>
      </c>
      <c r="F54" s="54">
        <f t="shared" si="6"/>
        <v>94.784306314749983</v>
      </c>
      <c r="G54" s="54">
        <f t="shared" si="5"/>
        <v>95.011846555859393</v>
      </c>
    </row>
    <row r="55" spans="1:7" ht="26.25" customHeight="1" x14ac:dyDescent="0.25">
      <c r="A55" s="6" t="s">
        <v>120</v>
      </c>
      <c r="B55" s="55">
        <v>101153.2</v>
      </c>
      <c r="C55" s="55">
        <v>101153.2</v>
      </c>
      <c r="D55" s="55">
        <v>101152.9648</v>
      </c>
      <c r="E55" s="55">
        <v>101152.93699</v>
      </c>
      <c r="F55" s="56">
        <f t="shared" si="6"/>
        <v>99.999739988453157</v>
      </c>
      <c r="G55" s="56">
        <f t="shared" si="5"/>
        <v>99.99997250698479</v>
      </c>
    </row>
    <row r="56" spans="1:7" ht="38.25" x14ac:dyDescent="0.25">
      <c r="A56" s="6" t="s">
        <v>164</v>
      </c>
      <c r="B56" s="55">
        <v>106000</v>
      </c>
      <c r="C56" s="55">
        <v>106000</v>
      </c>
      <c r="D56" s="55">
        <v>106000</v>
      </c>
      <c r="E56" s="55">
        <v>106000</v>
      </c>
      <c r="F56" s="56">
        <f t="shared" si="6"/>
        <v>100</v>
      </c>
      <c r="G56" s="56">
        <f t="shared" si="5"/>
        <v>100</v>
      </c>
    </row>
    <row r="57" spans="1:7" ht="25.5" x14ac:dyDescent="0.25">
      <c r="A57" s="6" t="s">
        <v>70</v>
      </c>
      <c r="B57" s="55">
        <v>3971532.9</v>
      </c>
      <c r="C57" s="55">
        <v>3939279.9</v>
      </c>
      <c r="D57" s="55">
        <v>3936218.7560000001</v>
      </c>
      <c r="E57" s="55">
        <v>3911059.3899900001</v>
      </c>
      <c r="F57" s="56">
        <f t="shared" si="6"/>
        <v>99.283612469121579</v>
      </c>
      <c r="G57" s="56">
        <f t="shared" si="5"/>
        <v>99.36082398947849</v>
      </c>
    </row>
    <row r="58" spans="1:7" ht="15.75" customHeight="1" x14ac:dyDescent="0.25">
      <c r="A58" s="6" t="s">
        <v>71</v>
      </c>
      <c r="B58" s="55">
        <v>327058.8</v>
      </c>
      <c r="C58" s="55">
        <v>323820.5</v>
      </c>
      <c r="D58" s="55">
        <v>323820.54944999999</v>
      </c>
      <c r="E58" s="55">
        <v>323820.54979000002</v>
      </c>
      <c r="F58" s="56">
        <f t="shared" si="6"/>
        <v>100.00001537580235</v>
      </c>
      <c r="G58" s="56">
        <f t="shared" si="5"/>
        <v>100.00000010499643</v>
      </c>
    </row>
    <row r="59" spans="1:7" ht="25.5" x14ac:dyDescent="0.25">
      <c r="A59" s="6" t="s">
        <v>72</v>
      </c>
      <c r="B59" s="55">
        <v>231648.6</v>
      </c>
      <c r="C59" s="55">
        <v>0</v>
      </c>
      <c r="D59" s="55">
        <v>0</v>
      </c>
      <c r="E59" s="55">
        <v>0</v>
      </c>
      <c r="F59" s="56" t="s">
        <v>212</v>
      </c>
      <c r="G59" s="56" t="s">
        <v>207</v>
      </c>
    </row>
    <row r="60" spans="1:7" ht="33" hidden="1" customHeight="1" x14ac:dyDescent="0.25">
      <c r="A60" s="2" t="s">
        <v>66</v>
      </c>
      <c r="B60" s="55">
        <v>0</v>
      </c>
      <c r="C60" s="55">
        <v>0</v>
      </c>
      <c r="D60" s="55">
        <v>0</v>
      </c>
      <c r="E60" s="55">
        <v>0</v>
      </c>
      <c r="F60" s="56" t="e">
        <f t="shared" si="6"/>
        <v>#DIV/0!</v>
      </c>
      <c r="G60" s="56" t="e">
        <f t="shared" si="5"/>
        <v>#DIV/0!</v>
      </c>
    </row>
    <row r="61" spans="1:7" hidden="1" x14ac:dyDescent="0.25">
      <c r="A61" s="2" t="s">
        <v>67</v>
      </c>
      <c r="B61" s="55">
        <v>0</v>
      </c>
      <c r="C61" s="55">
        <v>0</v>
      </c>
      <c r="D61" s="55">
        <v>0</v>
      </c>
      <c r="E61" s="55">
        <v>0</v>
      </c>
      <c r="F61" s="56" t="e">
        <f t="shared" si="6"/>
        <v>#DIV/0!</v>
      </c>
      <c r="G61" s="56" t="e">
        <f t="shared" si="5"/>
        <v>#DIV/0!</v>
      </c>
    </row>
    <row r="62" spans="1:7" ht="33" hidden="1" customHeight="1" x14ac:dyDescent="0.25">
      <c r="A62" s="2" t="s">
        <v>68</v>
      </c>
      <c r="B62" s="55">
        <v>0</v>
      </c>
      <c r="C62" s="55">
        <v>0</v>
      </c>
      <c r="D62" s="55">
        <v>0</v>
      </c>
      <c r="E62" s="55">
        <v>0</v>
      </c>
      <c r="F62" s="56" t="e">
        <f t="shared" si="6"/>
        <v>#DIV/0!</v>
      </c>
      <c r="G62" s="56" t="e">
        <f t="shared" si="5"/>
        <v>#DIV/0!</v>
      </c>
    </row>
    <row r="63" spans="1:7" ht="28.5" hidden="1" customHeight="1" x14ac:dyDescent="0.25">
      <c r="A63" s="2" t="s">
        <v>69</v>
      </c>
      <c r="B63" s="55">
        <v>0</v>
      </c>
      <c r="C63" s="55">
        <v>0</v>
      </c>
      <c r="D63" s="55">
        <v>0</v>
      </c>
      <c r="E63" s="55">
        <v>0</v>
      </c>
      <c r="F63" s="56" t="e">
        <f t="shared" si="6"/>
        <v>#DIV/0!</v>
      </c>
      <c r="G63" s="56" t="e">
        <f t="shared" si="5"/>
        <v>#DIV/0!</v>
      </c>
    </row>
    <row r="64" spans="1:7" ht="25.5" x14ac:dyDescent="0.25">
      <c r="A64" s="6" t="s">
        <v>119</v>
      </c>
      <c r="B64" s="55">
        <v>500113.2</v>
      </c>
      <c r="C64" s="55">
        <v>744670.7</v>
      </c>
      <c r="D64" s="55">
        <f>745273.50056+2458.36258</f>
        <v>747731.86313999991</v>
      </c>
      <c r="E64" s="55">
        <v>503493.84989999997</v>
      </c>
      <c r="F64" s="56">
        <f t="shared" si="6"/>
        <v>67.612952933424125</v>
      </c>
      <c r="G64" s="56">
        <f t="shared" si="5"/>
        <v>67.336150125480131</v>
      </c>
    </row>
    <row r="65" spans="1:7" ht="25.5" x14ac:dyDescent="0.25">
      <c r="A65" s="2" t="s">
        <v>65</v>
      </c>
      <c r="B65" s="55">
        <v>1173983.3999999999</v>
      </c>
      <c r="C65" s="55">
        <v>1165302.1000000001</v>
      </c>
      <c r="D65" s="55">
        <v>1150018.0783200001</v>
      </c>
      <c r="E65" s="55">
        <v>1101830.1749199999</v>
      </c>
      <c r="F65" s="56">
        <f t="shared" si="6"/>
        <v>94.553178520831622</v>
      </c>
      <c r="G65" s="56">
        <f t="shared" si="5"/>
        <v>95.809813401334068</v>
      </c>
    </row>
    <row r="66" spans="1:7" ht="25.5" x14ac:dyDescent="0.25">
      <c r="A66" s="2" t="s">
        <v>73</v>
      </c>
      <c r="B66" s="55">
        <v>1848.9</v>
      </c>
      <c r="C66" s="55">
        <v>1848.9</v>
      </c>
      <c r="D66" s="55">
        <v>1848.9</v>
      </c>
      <c r="E66" s="55">
        <v>1848.9</v>
      </c>
      <c r="F66" s="56">
        <f t="shared" si="6"/>
        <v>100</v>
      </c>
      <c r="G66" s="56">
        <f t="shared" si="5"/>
        <v>100</v>
      </c>
    </row>
    <row r="67" spans="1:7" ht="24" customHeight="1" x14ac:dyDescent="0.25">
      <c r="A67" s="35" t="s">
        <v>15</v>
      </c>
      <c r="B67" s="54">
        <f t="shared" ref="B67:E67" si="30">SUM(B68:B72)</f>
        <v>80408.399999999994</v>
      </c>
      <c r="C67" s="54">
        <f t="shared" ref="C67" si="31">SUM(C68:C72)</f>
        <v>80408.399999999994</v>
      </c>
      <c r="D67" s="54">
        <f t="shared" si="30"/>
        <v>78796.100000000006</v>
      </c>
      <c r="E67" s="54">
        <f t="shared" si="30"/>
        <v>77820.824189999999</v>
      </c>
      <c r="F67" s="54">
        <f t="shared" si="6"/>
        <v>96.781958340173418</v>
      </c>
      <c r="G67" s="54">
        <f t="shared" si="5"/>
        <v>98.762279084878557</v>
      </c>
    </row>
    <row r="68" spans="1:7" ht="30.75" hidden="1" customHeight="1" x14ac:dyDescent="0.25">
      <c r="A68" s="6" t="s">
        <v>74</v>
      </c>
      <c r="B68" s="55">
        <v>0</v>
      </c>
      <c r="C68" s="55">
        <v>0</v>
      </c>
      <c r="D68" s="55">
        <v>0</v>
      </c>
      <c r="E68" s="55">
        <v>0</v>
      </c>
      <c r="F68" s="56" t="e">
        <f t="shared" si="6"/>
        <v>#DIV/0!</v>
      </c>
      <c r="G68" s="64" t="e">
        <f t="shared" si="5"/>
        <v>#DIV/0!</v>
      </c>
    </row>
    <row r="69" spans="1:7" ht="32.25" customHeight="1" x14ac:dyDescent="0.25">
      <c r="A69" s="6" t="s">
        <v>121</v>
      </c>
      <c r="B69" s="55">
        <v>20812.400000000001</v>
      </c>
      <c r="C69" s="55">
        <v>20812.400000000001</v>
      </c>
      <c r="D69" s="55">
        <v>20812.400000000001</v>
      </c>
      <c r="E69" s="55">
        <v>19869.964690000001</v>
      </c>
      <c r="F69" s="56">
        <f t="shared" si="6"/>
        <v>95.47176053698756</v>
      </c>
      <c r="G69" s="56">
        <f t="shared" si="5"/>
        <v>95.47176053698756</v>
      </c>
    </row>
    <row r="70" spans="1:7" ht="44.25" customHeight="1" x14ac:dyDescent="0.25">
      <c r="A70" s="6" t="s">
        <v>122</v>
      </c>
      <c r="B70" s="55">
        <v>59596</v>
      </c>
      <c r="C70" s="55">
        <v>59596</v>
      </c>
      <c r="D70" s="55">
        <v>57983.7</v>
      </c>
      <c r="E70" s="55">
        <v>57950.859499999999</v>
      </c>
      <c r="F70" s="56">
        <f t="shared" si="6"/>
        <v>97.239511879991952</v>
      </c>
      <c r="G70" s="56">
        <f t="shared" si="5"/>
        <v>99.943362531194111</v>
      </c>
    </row>
    <row r="71" spans="1:7" ht="17.25" hidden="1" customHeight="1" x14ac:dyDescent="0.25">
      <c r="A71" s="6" t="s">
        <v>75</v>
      </c>
      <c r="B71" s="55">
        <v>0</v>
      </c>
      <c r="C71" s="55">
        <v>0</v>
      </c>
      <c r="D71" s="55">
        <v>0</v>
      </c>
      <c r="E71" s="55">
        <v>0</v>
      </c>
      <c r="F71" s="56" t="e">
        <f t="shared" si="6"/>
        <v>#DIV/0!</v>
      </c>
      <c r="G71" s="64" t="e">
        <f t="shared" si="5"/>
        <v>#DIV/0!</v>
      </c>
    </row>
    <row r="72" spans="1:7" ht="29.25" hidden="1" customHeight="1" x14ac:dyDescent="0.25">
      <c r="A72" s="6" t="s">
        <v>76</v>
      </c>
      <c r="B72" s="55">
        <v>0</v>
      </c>
      <c r="C72" s="55">
        <v>0</v>
      </c>
      <c r="D72" s="55">
        <v>0</v>
      </c>
      <c r="E72" s="55">
        <v>0</v>
      </c>
      <c r="F72" s="56" t="e">
        <f t="shared" si="6"/>
        <v>#DIV/0!</v>
      </c>
      <c r="G72" s="64" t="e">
        <f t="shared" si="5"/>
        <v>#DIV/0!</v>
      </c>
    </row>
    <row r="73" spans="1:7" x14ac:dyDescent="0.25">
      <c r="A73" s="26" t="s">
        <v>16</v>
      </c>
      <c r="B73" s="54">
        <f t="shared" ref="B73:E73" si="32">SUM(B74:B78)</f>
        <v>139143.79999999999</v>
      </c>
      <c r="C73" s="54">
        <f t="shared" ref="C73" si="33">SUM(C74:C78)</f>
        <v>118301.5</v>
      </c>
      <c r="D73" s="54">
        <f t="shared" si="32"/>
        <v>118301.526</v>
      </c>
      <c r="E73" s="54">
        <f t="shared" si="32"/>
        <v>118301.526</v>
      </c>
      <c r="F73" s="54">
        <f t="shared" si="6"/>
        <v>100.00002197774332</v>
      </c>
      <c r="G73" s="54">
        <f t="shared" si="5"/>
        <v>100</v>
      </c>
    </row>
    <row r="74" spans="1:7" hidden="1" x14ac:dyDescent="0.25">
      <c r="A74" s="2" t="s">
        <v>77</v>
      </c>
      <c r="B74" s="55">
        <v>0</v>
      </c>
      <c r="C74" s="55">
        <v>0</v>
      </c>
      <c r="D74" s="55">
        <v>0</v>
      </c>
      <c r="E74" s="55">
        <v>0</v>
      </c>
      <c r="F74" s="56" t="e">
        <f t="shared" si="6"/>
        <v>#DIV/0!</v>
      </c>
      <c r="G74" s="64" t="e">
        <f t="shared" si="5"/>
        <v>#DIV/0!</v>
      </c>
    </row>
    <row r="75" spans="1:7" ht="27.75" customHeight="1" x14ac:dyDescent="0.25">
      <c r="A75" s="2" t="s">
        <v>126</v>
      </c>
      <c r="B75" s="55">
        <v>139143.79999999999</v>
      </c>
      <c r="C75" s="55">
        <v>118301.5</v>
      </c>
      <c r="D75" s="55">
        <v>118301.526</v>
      </c>
      <c r="E75" s="55">
        <v>118301.526</v>
      </c>
      <c r="F75" s="56">
        <f t="shared" si="6"/>
        <v>100.00002197774332</v>
      </c>
      <c r="G75" s="56">
        <f t="shared" si="5"/>
        <v>100</v>
      </c>
    </row>
    <row r="76" spans="1:7" ht="25.5" hidden="1" x14ac:dyDescent="0.25">
      <c r="A76" s="2" t="s">
        <v>78</v>
      </c>
      <c r="B76" s="55">
        <v>0</v>
      </c>
      <c r="C76" s="55">
        <v>0</v>
      </c>
      <c r="D76" s="55">
        <v>0</v>
      </c>
      <c r="E76" s="55">
        <v>0</v>
      </c>
      <c r="F76" s="56" t="e">
        <f t="shared" si="6"/>
        <v>#DIV/0!</v>
      </c>
      <c r="G76" s="64" t="e">
        <f t="shared" ref="G76:G139" si="34">E76/D76*100</f>
        <v>#DIV/0!</v>
      </c>
    </row>
    <row r="77" spans="1:7" hidden="1" x14ac:dyDescent="0.25">
      <c r="A77" s="2" t="s">
        <v>79</v>
      </c>
      <c r="B77" s="55">
        <v>0</v>
      </c>
      <c r="C77" s="55">
        <v>0</v>
      </c>
      <c r="D77" s="55">
        <v>0</v>
      </c>
      <c r="E77" s="55">
        <v>0</v>
      </c>
      <c r="F77" s="56" t="e">
        <f t="shared" ref="F77:F140" si="35">E77/C77*100</f>
        <v>#DIV/0!</v>
      </c>
      <c r="G77" s="64" t="e">
        <f t="shared" si="34"/>
        <v>#DIV/0!</v>
      </c>
    </row>
    <row r="78" spans="1:7" ht="28.5" hidden="1" customHeight="1" x14ac:dyDescent="0.25">
      <c r="A78" s="2" t="s">
        <v>80</v>
      </c>
      <c r="B78" s="55">
        <v>0</v>
      </c>
      <c r="C78" s="55">
        <v>0</v>
      </c>
      <c r="D78" s="55">
        <v>0</v>
      </c>
      <c r="E78" s="55">
        <v>0</v>
      </c>
      <c r="F78" s="56" t="e">
        <f t="shared" si="35"/>
        <v>#DIV/0!</v>
      </c>
      <c r="G78" s="64" t="e">
        <f t="shared" si="34"/>
        <v>#DIV/0!</v>
      </c>
    </row>
    <row r="79" spans="1:7" ht="29.25" hidden="1" customHeight="1" x14ac:dyDescent="0.25">
      <c r="A79" s="26" t="s">
        <v>17</v>
      </c>
      <c r="B79" s="54">
        <f t="shared" ref="B79:E79" si="36">B80</f>
        <v>0</v>
      </c>
      <c r="C79" s="54">
        <f t="shared" si="36"/>
        <v>0</v>
      </c>
      <c r="D79" s="54">
        <f t="shared" si="36"/>
        <v>0</v>
      </c>
      <c r="E79" s="54">
        <f t="shared" si="36"/>
        <v>0</v>
      </c>
      <c r="F79" s="56" t="e">
        <f t="shared" si="35"/>
        <v>#DIV/0!</v>
      </c>
      <c r="G79" s="64" t="e">
        <f t="shared" si="34"/>
        <v>#DIV/0!</v>
      </c>
    </row>
    <row r="80" spans="1:7" ht="30" hidden="1" customHeight="1" x14ac:dyDescent="0.25">
      <c r="A80" s="2" t="s">
        <v>81</v>
      </c>
      <c r="B80" s="55">
        <v>0</v>
      </c>
      <c r="C80" s="55">
        <v>0</v>
      </c>
      <c r="D80" s="55">
        <v>0</v>
      </c>
      <c r="E80" s="55">
        <v>0</v>
      </c>
      <c r="F80" s="56" t="e">
        <f t="shared" si="35"/>
        <v>#DIV/0!</v>
      </c>
      <c r="G80" s="64" t="e">
        <f t="shared" si="34"/>
        <v>#DIV/0!</v>
      </c>
    </row>
    <row r="81" spans="1:7" x14ac:dyDescent="0.25">
      <c r="A81" s="28" t="s">
        <v>123</v>
      </c>
      <c r="B81" s="62">
        <f t="shared" ref="B81:E81" si="37">B82+B83</f>
        <v>97191.3</v>
      </c>
      <c r="C81" s="62">
        <f t="shared" ref="C81" si="38">C82+C83</f>
        <v>97191.200000000012</v>
      </c>
      <c r="D81" s="62">
        <f t="shared" si="37"/>
        <v>97191.200000000012</v>
      </c>
      <c r="E81" s="62">
        <f t="shared" si="37"/>
        <v>89600.198189999996</v>
      </c>
      <c r="F81" s="54">
        <f t="shared" si="35"/>
        <v>92.189620243396504</v>
      </c>
      <c r="G81" s="54">
        <f t="shared" si="34"/>
        <v>92.189620243396504</v>
      </c>
    </row>
    <row r="82" spans="1:7" ht="25.5" x14ac:dyDescent="0.25">
      <c r="A82" s="2" t="s">
        <v>124</v>
      </c>
      <c r="B82" s="55">
        <v>69411.100000000006</v>
      </c>
      <c r="C82" s="55">
        <v>69411.100000000006</v>
      </c>
      <c r="D82" s="55">
        <v>69411.100000000006</v>
      </c>
      <c r="E82" s="55">
        <v>69378.060190000004</v>
      </c>
      <c r="F82" s="56">
        <f t="shared" si="35"/>
        <v>99.952399817896548</v>
      </c>
      <c r="G82" s="56">
        <f t="shared" si="34"/>
        <v>99.952399817896548</v>
      </c>
    </row>
    <row r="83" spans="1:7" ht="25.5" x14ac:dyDescent="0.25">
      <c r="A83" s="2" t="s">
        <v>125</v>
      </c>
      <c r="B83" s="55">
        <v>27780.2</v>
      </c>
      <c r="C83" s="55">
        <v>27780.1</v>
      </c>
      <c r="D83" s="55">
        <v>27780.1</v>
      </c>
      <c r="E83" s="55">
        <v>20222.137999999999</v>
      </c>
      <c r="F83" s="56">
        <f t="shared" si="35"/>
        <v>72.793611254099162</v>
      </c>
      <c r="G83" s="56">
        <f t="shared" si="34"/>
        <v>72.793611254099162</v>
      </c>
    </row>
    <row r="84" spans="1:7" ht="20.25" customHeight="1" x14ac:dyDescent="0.25">
      <c r="A84" s="42" t="s">
        <v>18</v>
      </c>
      <c r="B84" s="53">
        <f t="shared" ref="B84:E84" si="39">B85+B87+B90+B93</f>
        <v>1584907.1</v>
      </c>
      <c r="C84" s="53">
        <f t="shared" ref="C84" si="40">C85+C87+C90+C93</f>
        <v>1810098.7</v>
      </c>
      <c r="D84" s="53">
        <f t="shared" si="39"/>
        <v>1646143.9164100001</v>
      </c>
      <c r="E84" s="53">
        <f t="shared" si="39"/>
        <v>1641218.1469899998</v>
      </c>
      <c r="F84" s="53">
        <f t="shared" si="35"/>
        <v>90.670091470150211</v>
      </c>
      <c r="G84" s="53">
        <f t="shared" si="34"/>
        <v>99.70076921155578</v>
      </c>
    </row>
    <row r="85" spans="1:7" ht="15.75" hidden="1" customHeight="1" x14ac:dyDescent="0.25">
      <c r="A85" s="26" t="s">
        <v>19</v>
      </c>
      <c r="B85" s="54">
        <f t="shared" ref="B85:E85" si="41">B86</f>
        <v>0</v>
      </c>
      <c r="C85" s="54">
        <f t="shared" si="41"/>
        <v>0</v>
      </c>
      <c r="D85" s="54">
        <f t="shared" si="41"/>
        <v>0</v>
      </c>
      <c r="E85" s="54">
        <f t="shared" si="41"/>
        <v>0</v>
      </c>
      <c r="F85" s="57" t="e">
        <f t="shared" si="35"/>
        <v>#DIV/0!</v>
      </c>
      <c r="G85" s="53" t="e">
        <f t="shared" si="34"/>
        <v>#DIV/0!</v>
      </c>
    </row>
    <row r="86" spans="1:7" ht="4.5" hidden="1" customHeight="1" x14ac:dyDescent="0.25">
      <c r="A86" s="15" t="s">
        <v>82</v>
      </c>
      <c r="B86" s="55">
        <v>0</v>
      </c>
      <c r="C86" s="55">
        <v>0</v>
      </c>
      <c r="D86" s="55">
        <v>0</v>
      </c>
      <c r="E86" s="55">
        <v>0</v>
      </c>
      <c r="F86" s="57" t="e">
        <f t="shared" si="35"/>
        <v>#DIV/0!</v>
      </c>
      <c r="G86" s="53" t="e">
        <f t="shared" si="34"/>
        <v>#DIV/0!</v>
      </c>
    </row>
    <row r="87" spans="1:7" x14ac:dyDescent="0.25">
      <c r="A87" s="35" t="s">
        <v>20</v>
      </c>
      <c r="B87" s="54">
        <f t="shared" ref="B87:E87" si="42">SUM(B88:B89)</f>
        <v>732223</v>
      </c>
      <c r="C87" s="54">
        <f t="shared" ref="C87" si="43">SUM(C88:C89)</f>
        <v>732223</v>
      </c>
      <c r="D87" s="54">
        <f t="shared" si="42"/>
        <v>732223</v>
      </c>
      <c r="E87" s="54">
        <f t="shared" si="42"/>
        <v>732222.99</v>
      </c>
      <c r="F87" s="54">
        <f t="shared" si="35"/>
        <v>99.999998634295835</v>
      </c>
      <c r="G87" s="54">
        <f t="shared" si="34"/>
        <v>99.999998634295835</v>
      </c>
    </row>
    <row r="88" spans="1:7" ht="27" customHeight="1" x14ac:dyDescent="0.25">
      <c r="A88" s="15" t="s">
        <v>117</v>
      </c>
      <c r="B88" s="55">
        <v>484250</v>
      </c>
      <c r="C88" s="55">
        <v>484250</v>
      </c>
      <c r="D88" s="55">
        <v>484250</v>
      </c>
      <c r="E88" s="55">
        <v>484250</v>
      </c>
      <c r="F88" s="56">
        <f t="shared" si="35"/>
        <v>100</v>
      </c>
      <c r="G88" s="56">
        <f t="shared" si="34"/>
        <v>100</v>
      </c>
    </row>
    <row r="89" spans="1:7" x14ac:dyDescent="0.25">
      <c r="A89" s="15" t="s">
        <v>83</v>
      </c>
      <c r="B89" s="55">
        <v>247973</v>
      </c>
      <c r="C89" s="55">
        <v>247973</v>
      </c>
      <c r="D89" s="55">
        <v>247973</v>
      </c>
      <c r="E89" s="55">
        <v>247972.99</v>
      </c>
      <c r="F89" s="56">
        <f t="shared" si="35"/>
        <v>99.999995967302894</v>
      </c>
      <c r="G89" s="56">
        <f t="shared" si="34"/>
        <v>99.999995967302894</v>
      </c>
    </row>
    <row r="90" spans="1:7" ht="25.5" x14ac:dyDescent="0.25">
      <c r="A90" s="26" t="s">
        <v>21</v>
      </c>
      <c r="B90" s="54">
        <f t="shared" ref="B90:E90" si="44">SUM(B91:B92)</f>
        <v>0</v>
      </c>
      <c r="C90" s="54">
        <f t="shared" ref="C90" si="45">SUM(C91:C92)</f>
        <v>209079.2</v>
      </c>
      <c r="D90" s="54">
        <f t="shared" si="44"/>
        <v>209079.1692</v>
      </c>
      <c r="E90" s="54">
        <f t="shared" si="44"/>
        <v>209079.11</v>
      </c>
      <c r="F90" s="54">
        <f t="shared" si="35"/>
        <v>99.999956954111155</v>
      </c>
      <c r="G90" s="54">
        <f t="shared" si="34"/>
        <v>99.999971685366717</v>
      </c>
    </row>
    <row r="91" spans="1:7" ht="27" customHeight="1" x14ac:dyDescent="0.25">
      <c r="A91" s="2" t="s">
        <v>84</v>
      </c>
      <c r="B91" s="55">
        <v>0</v>
      </c>
      <c r="C91" s="55">
        <f>171548.9+37530.3</f>
        <v>209079.2</v>
      </c>
      <c r="D91" s="55">
        <f>113852.83172+95226.33748</f>
        <v>209079.1692</v>
      </c>
      <c r="E91" s="55">
        <v>209079.11</v>
      </c>
      <c r="F91" s="56">
        <f t="shared" si="35"/>
        <v>99.999956954111155</v>
      </c>
      <c r="G91" s="56">
        <f t="shared" si="34"/>
        <v>99.999971685366717</v>
      </c>
    </row>
    <row r="92" spans="1:7" x14ac:dyDescent="0.25">
      <c r="A92" s="2" t="s">
        <v>116</v>
      </c>
      <c r="B92" s="55">
        <v>0</v>
      </c>
      <c r="C92" s="55">
        <v>0</v>
      </c>
      <c r="D92" s="55">
        <v>0</v>
      </c>
      <c r="E92" s="55">
        <v>0</v>
      </c>
      <c r="F92" s="56">
        <v>0</v>
      </c>
      <c r="G92" s="56" t="s">
        <v>207</v>
      </c>
    </row>
    <row r="93" spans="1:7" x14ac:dyDescent="0.25">
      <c r="A93" s="26" t="s">
        <v>22</v>
      </c>
      <c r="B93" s="54">
        <f t="shared" ref="B93:E93" si="46">SUM(B94:B94)</f>
        <v>852684.1</v>
      </c>
      <c r="C93" s="54">
        <f t="shared" si="46"/>
        <v>868796.5</v>
      </c>
      <c r="D93" s="54">
        <f t="shared" si="46"/>
        <v>704841.74720999994</v>
      </c>
      <c r="E93" s="54">
        <f t="shared" si="46"/>
        <v>699916.04698999994</v>
      </c>
      <c r="F93" s="54">
        <f t="shared" si="35"/>
        <v>80.561563840323942</v>
      </c>
      <c r="G93" s="54">
        <f t="shared" si="34"/>
        <v>99.301162248192938</v>
      </c>
    </row>
    <row r="94" spans="1:7" x14ac:dyDescent="0.25">
      <c r="A94" s="2" t="s">
        <v>85</v>
      </c>
      <c r="B94" s="55">
        <v>852684.1</v>
      </c>
      <c r="C94" s="55">
        <v>868796.5</v>
      </c>
      <c r="D94" s="55">
        <v>704841.74720999994</v>
      </c>
      <c r="E94" s="55">
        <v>699916.04698999994</v>
      </c>
      <c r="F94" s="56">
        <f t="shared" si="35"/>
        <v>80.561563840323942</v>
      </c>
      <c r="G94" s="56">
        <f t="shared" si="34"/>
        <v>99.301162248192938</v>
      </c>
    </row>
    <row r="95" spans="1:7" ht="23.25" customHeight="1" x14ac:dyDescent="0.25">
      <c r="A95" s="34" t="s">
        <v>23</v>
      </c>
      <c r="B95" s="53">
        <f t="shared" ref="B95:E95" si="47">B96+B105+B107+B110+B101</f>
        <v>3088721.8</v>
      </c>
      <c r="C95" s="53">
        <f t="shared" ref="C95" si="48">C96+C105+C107+C110+C101</f>
        <v>3204534.3000000003</v>
      </c>
      <c r="D95" s="53">
        <f t="shared" si="47"/>
        <v>3130673.7253900003</v>
      </c>
      <c r="E95" s="53">
        <f t="shared" si="47"/>
        <v>3087841.2499700002</v>
      </c>
      <c r="F95" s="53">
        <f t="shared" si="35"/>
        <v>96.358502075324964</v>
      </c>
      <c r="G95" s="53">
        <f t="shared" si="34"/>
        <v>98.631844798369585</v>
      </c>
    </row>
    <row r="96" spans="1:7" x14ac:dyDescent="0.25">
      <c r="A96" s="26" t="s">
        <v>24</v>
      </c>
      <c r="B96" s="54">
        <f t="shared" ref="B96:E96" si="49">SUM(B97:B100)</f>
        <v>832468.89999999991</v>
      </c>
      <c r="C96" s="54">
        <f t="shared" ref="C96" si="50">SUM(C97:C100)</f>
        <v>767705.7</v>
      </c>
      <c r="D96" s="54">
        <f t="shared" si="49"/>
        <v>764007.01430000004</v>
      </c>
      <c r="E96" s="54">
        <f t="shared" si="49"/>
        <v>763006.90998999996</v>
      </c>
      <c r="F96" s="54">
        <f t="shared" si="35"/>
        <v>99.387943842282269</v>
      </c>
      <c r="G96" s="54">
        <f t="shared" si="34"/>
        <v>99.869097496321231</v>
      </c>
    </row>
    <row r="97" spans="1:7" ht="27" hidden="1" customHeight="1" x14ac:dyDescent="0.25">
      <c r="A97" s="3" t="s">
        <v>86</v>
      </c>
      <c r="B97" s="56">
        <v>0</v>
      </c>
      <c r="C97" s="56">
        <v>0</v>
      </c>
      <c r="D97" s="56">
        <v>0</v>
      </c>
      <c r="E97" s="56">
        <v>0</v>
      </c>
      <c r="F97" s="56" t="e">
        <f t="shared" si="35"/>
        <v>#DIV/0!</v>
      </c>
      <c r="G97" s="64" t="e">
        <f t="shared" si="34"/>
        <v>#DIV/0!</v>
      </c>
    </row>
    <row r="98" spans="1:7" ht="15" hidden="1" customHeight="1" x14ac:dyDescent="0.25">
      <c r="A98" s="12" t="s">
        <v>118</v>
      </c>
      <c r="B98" s="56">
        <v>65763.199999999997</v>
      </c>
      <c r="C98" s="56">
        <v>0</v>
      </c>
      <c r="D98" s="56">
        <v>0</v>
      </c>
      <c r="E98" s="56">
        <v>0</v>
      </c>
      <c r="F98" s="56" t="e">
        <f t="shared" si="35"/>
        <v>#DIV/0!</v>
      </c>
      <c r="G98" s="64" t="e">
        <f t="shared" si="34"/>
        <v>#DIV/0!</v>
      </c>
    </row>
    <row r="99" spans="1:7" ht="25.5" x14ac:dyDescent="0.25">
      <c r="A99" s="12" t="s">
        <v>197</v>
      </c>
      <c r="B99" s="56">
        <v>0</v>
      </c>
      <c r="C99" s="56">
        <v>1000</v>
      </c>
      <c r="D99" s="56">
        <v>1000</v>
      </c>
      <c r="E99" s="56">
        <v>0</v>
      </c>
      <c r="F99" s="56">
        <f t="shared" si="35"/>
        <v>0</v>
      </c>
      <c r="G99" s="56">
        <f t="shared" si="34"/>
        <v>0</v>
      </c>
    </row>
    <row r="100" spans="1:7" ht="25.5" x14ac:dyDescent="0.25">
      <c r="A100" s="2" t="s">
        <v>158</v>
      </c>
      <c r="B100" s="55">
        <v>766705.7</v>
      </c>
      <c r="C100" s="55">
        <v>766705.7</v>
      </c>
      <c r="D100" s="55">
        <v>763007.01430000004</v>
      </c>
      <c r="E100" s="55">
        <v>763006.90998999996</v>
      </c>
      <c r="F100" s="56">
        <f t="shared" si="35"/>
        <v>99.517573690922092</v>
      </c>
      <c r="G100" s="56">
        <f t="shared" si="34"/>
        <v>99.999986329090291</v>
      </c>
    </row>
    <row r="101" spans="1:7" ht="25.5" x14ac:dyDescent="0.25">
      <c r="A101" s="28" t="s">
        <v>45</v>
      </c>
      <c r="B101" s="54">
        <f t="shared" ref="B101:E101" si="51">SUM(B102:B104)</f>
        <v>6000</v>
      </c>
      <c r="C101" s="54">
        <f t="shared" ref="C101" si="52">SUM(C102:C104)</f>
        <v>118641.5</v>
      </c>
      <c r="D101" s="54">
        <f t="shared" si="51"/>
        <v>118641.48519000001</v>
      </c>
      <c r="E101" s="54">
        <f t="shared" si="51"/>
        <v>118641.49639</v>
      </c>
      <c r="F101" s="54">
        <f t="shared" si="35"/>
        <v>99.999996957219864</v>
      </c>
      <c r="G101" s="54">
        <f t="shared" si="34"/>
        <v>100.00000944020549</v>
      </c>
    </row>
    <row r="102" spans="1:7" ht="25.5" customHeight="1" x14ac:dyDescent="0.25">
      <c r="A102" s="13" t="s">
        <v>114</v>
      </c>
      <c r="B102" s="56">
        <v>6000</v>
      </c>
      <c r="C102" s="56">
        <v>0</v>
      </c>
      <c r="D102" s="56">
        <v>0</v>
      </c>
      <c r="E102" s="56">
        <v>0</v>
      </c>
      <c r="F102" s="56" t="s">
        <v>212</v>
      </c>
      <c r="G102" s="56" t="s">
        <v>207</v>
      </c>
    </row>
    <row r="103" spans="1:7" ht="25.5" x14ac:dyDescent="0.25">
      <c r="A103" s="13" t="s">
        <v>198</v>
      </c>
      <c r="B103" s="56">
        <v>0</v>
      </c>
      <c r="C103" s="56">
        <v>112641.5</v>
      </c>
      <c r="D103" s="56">
        <v>112641.48519000001</v>
      </c>
      <c r="E103" s="56">
        <v>112641.49639</v>
      </c>
      <c r="F103" s="56">
        <f t="shared" si="35"/>
        <v>99.99999679514211</v>
      </c>
      <c r="G103" s="56">
        <f t="shared" si="34"/>
        <v>100.00000994305071</v>
      </c>
    </row>
    <row r="104" spans="1:7" ht="16.5" customHeight="1" x14ac:dyDescent="0.25">
      <c r="A104" s="13" t="s">
        <v>199</v>
      </c>
      <c r="B104" s="55">
        <v>0</v>
      </c>
      <c r="C104" s="55">
        <v>6000</v>
      </c>
      <c r="D104" s="55">
        <v>6000</v>
      </c>
      <c r="E104" s="55">
        <v>6000</v>
      </c>
      <c r="F104" s="56">
        <f t="shared" si="35"/>
        <v>100</v>
      </c>
      <c r="G104" s="56">
        <f t="shared" si="34"/>
        <v>100</v>
      </c>
    </row>
    <row r="105" spans="1:7" x14ac:dyDescent="0.25">
      <c r="A105" s="26" t="s">
        <v>25</v>
      </c>
      <c r="B105" s="54">
        <f t="shared" ref="B105:E105" si="53">SUM(B106:B106)</f>
        <v>2103631</v>
      </c>
      <c r="C105" s="54">
        <f t="shared" si="53"/>
        <v>2103631</v>
      </c>
      <c r="D105" s="54">
        <f t="shared" si="53"/>
        <v>2030214.3</v>
      </c>
      <c r="E105" s="54">
        <f t="shared" si="53"/>
        <v>2030214.2990000001</v>
      </c>
      <c r="F105" s="54">
        <f t="shared" si="35"/>
        <v>96.510000993520265</v>
      </c>
      <c r="G105" s="54">
        <f t="shared" si="34"/>
        <v>99.999999950744126</v>
      </c>
    </row>
    <row r="106" spans="1:7" x14ac:dyDescent="0.25">
      <c r="A106" s="3" t="s">
        <v>157</v>
      </c>
      <c r="B106" s="56">
        <v>2103631</v>
      </c>
      <c r="C106" s="56">
        <v>2103631</v>
      </c>
      <c r="D106" s="56">
        <v>2030214.3</v>
      </c>
      <c r="E106" s="56">
        <v>2030214.2990000001</v>
      </c>
      <c r="F106" s="56">
        <f t="shared" si="35"/>
        <v>96.510000993520265</v>
      </c>
      <c r="G106" s="56">
        <f t="shared" si="34"/>
        <v>99.999999950744126</v>
      </c>
    </row>
    <row r="107" spans="1:7" x14ac:dyDescent="0.25">
      <c r="A107" s="26" t="s">
        <v>26</v>
      </c>
      <c r="B107" s="54">
        <f t="shared" ref="B107:E107" si="54">SUM(B108:B109)</f>
        <v>0</v>
      </c>
      <c r="C107" s="54">
        <f t="shared" ref="C107" si="55">SUM(C108:C109)</f>
        <v>67934.2</v>
      </c>
      <c r="D107" s="54">
        <f t="shared" si="54"/>
        <v>71188.9859</v>
      </c>
      <c r="E107" s="54">
        <f t="shared" si="54"/>
        <v>29356.64459</v>
      </c>
      <c r="F107" s="54">
        <f t="shared" si="35"/>
        <v>43.213351434181902</v>
      </c>
      <c r="G107" s="61">
        <f t="shared" si="34"/>
        <v>41.237621548981778</v>
      </c>
    </row>
    <row r="108" spans="1:7" ht="25.5" hidden="1" x14ac:dyDescent="0.25">
      <c r="A108" s="12" t="s">
        <v>114</v>
      </c>
      <c r="B108" s="56">
        <v>0</v>
      </c>
      <c r="C108" s="56">
        <v>0</v>
      </c>
      <c r="D108" s="56">
        <v>0</v>
      </c>
      <c r="E108" s="56">
        <v>0</v>
      </c>
      <c r="F108" s="56" t="e">
        <f t="shared" si="35"/>
        <v>#DIV/0!</v>
      </c>
      <c r="G108" s="64" t="e">
        <f t="shared" si="34"/>
        <v>#DIV/0!</v>
      </c>
    </row>
    <row r="109" spans="1:7" ht="51" x14ac:dyDescent="0.25">
      <c r="A109" s="2" t="s">
        <v>87</v>
      </c>
      <c r="B109" s="55">
        <v>0</v>
      </c>
      <c r="C109" s="55">
        <v>67934.2</v>
      </c>
      <c r="D109" s="55">
        <v>71188.9859</v>
      </c>
      <c r="E109" s="55">
        <v>29356.64459</v>
      </c>
      <c r="F109" s="56">
        <f t="shared" si="35"/>
        <v>43.213351434181902</v>
      </c>
      <c r="G109" s="56">
        <f t="shared" si="34"/>
        <v>41.237621548981778</v>
      </c>
    </row>
    <row r="110" spans="1:7" x14ac:dyDescent="0.25">
      <c r="A110" s="26" t="s">
        <v>27</v>
      </c>
      <c r="B110" s="54">
        <f t="shared" ref="B110:E110" si="56">SUM(B111:B113)</f>
        <v>146621.9</v>
      </c>
      <c r="C110" s="54">
        <f t="shared" ref="C110" si="57">SUM(C111:C113)</f>
        <v>146621.9</v>
      </c>
      <c r="D110" s="54">
        <f t="shared" si="56"/>
        <v>146621.94</v>
      </c>
      <c r="E110" s="54">
        <f t="shared" si="56"/>
        <v>146621.9</v>
      </c>
      <c r="F110" s="54">
        <f t="shared" si="35"/>
        <v>100</v>
      </c>
      <c r="G110" s="54">
        <f t="shared" si="34"/>
        <v>99.999972718953245</v>
      </c>
    </row>
    <row r="111" spans="1:7" x14ac:dyDescent="0.25">
      <c r="A111" s="2" t="s">
        <v>88</v>
      </c>
      <c r="B111" s="55">
        <v>72575.399999999994</v>
      </c>
      <c r="C111" s="55">
        <v>72575.399999999994</v>
      </c>
      <c r="D111" s="55">
        <v>72575.399999999994</v>
      </c>
      <c r="E111" s="55">
        <v>72575.399999999994</v>
      </c>
      <c r="F111" s="56">
        <f t="shared" si="35"/>
        <v>100</v>
      </c>
      <c r="G111" s="56">
        <f t="shared" si="34"/>
        <v>100</v>
      </c>
    </row>
    <row r="112" spans="1:7" ht="15" hidden="1" customHeight="1" x14ac:dyDescent="0.25">
      <c r="A112" s="2" t="s">
        <v>89</v>
      </c>
      <c r="B112" s="55">
        <v>0</v>
      </c>
      <c r="C112" s="55">
        <v>0</v>
      </c>
      <c r="D112" s="55">
        <v>0</v>
      </c>
      <c r="E112" s="55">
        <v>0</v>
      </c>
      <c r="F112" s="56" t="e">
        <f t="shared" si="35"/>
        <v>#DIV/0!</v>
      </c>
      <c r="G112" s="56" t="e">
        <f t="shared" si="34"/>
        <v>#DIV/0!</v>
      </c>
    </row>
    <row r="113" spans="1:7" ht="25.5" x14ac:dyDescent="0.25">
      <c r="A113" s="2" t="s">
        <v>152</v>
      </c>
      <c r="B113" s="55">
        <v>74046.5</v>
      </c>
      <c r="C113" s="55">
        <v>74046.5</v>
      </c>
      <c r="D113" s="55">
        <v>74046.539999999994</v>
      </c>
      <c r="E113" s="55">
        <v>74046.5</v>
      </c>
      <c r="F113" s="56">
        <f t="shared" si="35"/>
        <v>100</v>
      </c>
      <c r="G113" s="56">
        <f t="shared" si="34"/>
        <v>99.999945979920199</v>
      </c>
    </row>
    <row r="114" spans="1:7" ht="22.5" customHeight="1" x14ac:dyDescent="0.25">
      <c r="A114" s="42" t="s">
        <v>28</v>
      </c>
      <c r="B114" s="63">
        <f t="shared" ref="B114:E114" si="58">B115+B119+B124</f>
        <v>7883784.2000000002</v>
      </c>
      <c r="C114" s="63">
        <f t="shared" ref="C114" si="59">C115+C119+C124</f>
        <v>8630599.3000000007</v>
      </c>
      <c r="D114" s="63">
        <f t="shared" si="58"/>
        <v>8649017.7844399996</v>
      </c>
      <c r="E114" s="63">
        <f t="shared" si="58"/>
        <v>8381764.2419700008</v>
      </c>
      <c r="F114" s="53">
        <f t="shared" si="35"/>
        <v>97.116827587743529</v>
      </c>
      <c r="G114" s="53">
        <f t="shared" si="34"/>
        <v>96.910012799941271</v>
      </c>
    </row>
    <row r="115" spans="1:7" x14ac:dyDescent="0.25">
      <c r="A115" s="29" t="s">
        <v>44</v>
      </c>
      <c r="B115" s="65">
        <f t="shared" ref="B115:E115" si="60">SUM(B116:B118)</f>
        <v>6995628.9000000004</v>
      </c>
      <c r="C115" s="65">
        <f t="shared" ref="C115" si="61">SUM(C116:C118)</f>
        <v>7743327</v>
      </c>
      <c r="D115" s="65">
        <f t="shared" si="60"/>
        <v>8366202.4983700002</v>
      </c>
      <c r="E115" s="65">
        <f t="shared" si="60"/>
        <v>8103751.2899900004</v>
      </c>
      <c r="F115" s="54">
        <f t="shared" si="35"/>
        <v>104.65464379833114</v>
      </c>
      <c r="G115" s="54">
        <f t="shared" si="34"/>
        <v>96.862958929919117</v>
      </c>
    </row>
    <row r="116" spans="1:7" s="4" customFormat="1" hidden="1" x14ac:dyDescent="0.25">
      <c r="A116" s="30" t="s">
        <v>90</v>
      </c>
      <c r="B116" s="66">
        <v>0</v>
      </c>
      <c r="C116" s="66">
        <v>0</v>
      </c>
      <c r="D116" s="66">
        <v>0</v>
      </c>
      <c r="E116" s="66">
        <v>0</v>
      </c>
      <c r="F116" s="56" t="e">
        <f t="shared" si="35"/>
        <v>#DIV/0!</v>
      </c>
      <c r="G116" s="64" t="e">
        <f t="shared" si="34"/>
        <v>#DIV/0!</v>
      </c>
    </row>
    <row r="117" spans="1:7" ht="25.5" x14ac:dyDescent="0.25">
      <c r="A117" s="31" t="s">
        <v>91</v>
      </c>
      <c r="B117" s="67">
        <v>6995628.9000000004</v>
      </c>
      <c r="C117" s="68">
        <v>7743327</v>
      </c>
      <c r="D117" s="68">
        <v>8366202.4983700002</v>
      </c>
      <c r="E117" s="68">
        <v>8103751.2899900004</v>
      </c>
      <c r="F117" s="56">
        <f t="shared" si="35"/>
        <v>104.65464379833114</v>
      </c>
      <c r="G117" s="56">
        <f t="shared" si="34"/>
        <v>96.862958929919117</v>
      </c>
    </row>
    <row r="118" spans="1:7" ht="12.75" hidden="1" customHeight="1" x14ac:dyDescent="0.25">
      <c r="A118" s="31" t="s">
        <v>92</v>
      </c>
      <c r="B118" s="67">
        <v>0</v>
      </c>
      <c r="C118" s="67">
        <v>0</v>
      </c>
      <c r="D118" s="67">
        <v>0</v>
      </c>
      <c r="E118" s="67">
        <v>0</v>
      </c>
      <c r="F118" s="56" t="e">
        <f t="shared" si="35"/>
        <v>#DIV/0!</v>
      </c>
      <c r="G118" s="64" t="e">
        <f t="shared" si="34"/>
        <v>#DIV/0!</v>
      </c>
    </row>
    <row r="119" spans="1:7" x14ac:dyDescent="0.25">
      <c r="A119" s="36" t="s">
        <v>29</v>
      </c>
      <c r="B119" s="65">
        <f t="shared" ref="B119:E119" si="62">SUM(B120:B123)</f>
        <v>888155.3</v>
      </c>
      <c r="C119" s="65">
        <f t="shared" ref="C119" si="63">SUM(C120:C123)</f>
        <v>887272.3</v>
      </c>
      <c r="D119" s="65">
        <f t="shared" si="62"/>
        <v>282815.28606999997</v>
      </c>
      <c r="E119" s="65">
        <f t="shared" si="62"/>
        <v>278012.95198000001</v>
      </c>
      <c r="F119" s="54">
        <f t="shared" si="35"/>
        <v>31.333442053809186</v>
      </c>
      <c r="G119" s="54">
        <f t="shared" si="34"/>
        <v>98.301953845305476</v>
      </c>
    </row>
    <row r="120" spans="1:7" ht="28.5" hidden="1" customHeight="1" x14ac:dyDescent="0.25">
      <c r="A120" s="31" t="s">
        <v>93</v>
      </c>
      <c r="B120" s="67">
        <v>0</v>
      </c>
      <c r="C120" s="67">
        <v>0</v>
      </c>
      <c r="D120" s="67">
        <v>0</v>
      </c>
      <c r="E120" s="67">
        <v>0</v>
      </c>
      <c r="F120" s="56" t="e">
        <f t="shared" si="35"/>
        <v>#DIV/0!</v>
      </c>
      <c r="G120" s="64" t="e">
        <f t="shared" si="34"/>
        <v>#DIV/0!</v>
      </c>
    </row>
    <row r="121" spans="1:7" ht="25.5" x14ac:dyDescent="0.25">
      <c r="A121" s="31" t="s">
        <v>153</v>
      </c>
      <c r="B121" s="67">
        <v>88080</v>
      </c>
      <c r="C121" s="67">
        <v>102083.3</v>
      </c>
      <c r="D121" s="67">
        <v>102083.34336</v>
      </c>
      <c r="E121" s="67">
        <v>102083.3</v>
      </c>
      <c r="F121" s="56">
        <f t="shared" si="35"/>
        <v>100</v>
      </c>
      <c r="G121" s="56">
        <f t="shared" si="34"/>
        <v>99.999957524902143</v>
      </c>
    </row>
    <row r="122" spans="1:7" ht="25.5" x14ac:dyDescent="0.25">
      <c r="A122" s="2" t="s">
        <v>115</v>
      </c>
      <c r="B122" s="69">
        <v>749626.9</v>
      </c>
      <c r="C122" s="69">
        <v>733038.8</v>
      </c>
      <c r="D122" s="69">
        <v>128581.84271</v>
      </c>
      <c r="E122" s="69">
        <v>123779.45699000001</v>
      </c>
      <c r="F122" s="56">
        <f t="shared" si="35"/>
        <v>16.885798813105119</v>
      </c>
      <c r="G122" s="56">
        <f t="shared" si="34"/>
        <v>96.265113628188431</v>
      </c>
    </row>
    <row r="123" spans="1:7" ht="25.5" x14ac:dyDescent="0.25">
      <c r="A123" s="2" t="s">
        <v>94</v>
      </c>
      <c r="B123" s="55">
        <v>50448.4</v>
      </c>
      <c r="C123" s="55">
        <v>52150.2</v>
      </c>
      <c r="D123" s="55">
        <v>52150.1</v>
      </c>
      <c r="E123" s="55">
        <v>52150.194990000004</v>
      </c>
      <c r="F123" s="56">
        <f t="shared" si="35"/>
        <v>99.999990393133686</v>
      </c>
      <c r="G123" s="56">
        <f t="shared" si="34"/>
        <v>100.00018214730173</v>
      </c>
    </row>
    <row r="124" spans="1:7" x14ac:dyDescent="0.25">
      <c r="A124" s="28" t="s">
        <v>95</v>
      </c>
      <c r="B124" s="70">
        <f t="shared" ref="B124:E124" si="64">SUM(B125)</f>
        <v>0</v>
      </c>
      <c r="C124" s="62">
        <f t="shared" si="64"/>
        <v>0</v>
      </c>
      <c r="D124" s="62">
        <f t="shared" si="64"/>
        <v>0</v>
      </c>
      <c r="E124" s="62">
        <f t="shared" si="64"/>
        <v>0</v>
      </c>
      <c r="F124" s="61" t="s">
        <v>212</v>
      </c>
      <c r="G124" s="61" t="s">
        <v>207</v>
      </c>
    </row>
    <row r="125" spans="1:7" x14ac:dyDescent="0.25">
      <c r="A125" s="2" t="s">
        <v>58</v>
      </c>
      <c r="B125" s="60">
        <v>0</v>
      </c>
      <c r="C125" s="55">
        <v>0</v>
      </c>
      <c r="D125" s="55">
        <v>0</v>
      </c>
      <c r="E125" s="55">
        <v>0</v>
      </c>
      <c r="F125" s="56" t="s">
        <v>212</v>
      </c>
      <c r="G125" s="56" t="s">
        <v>207</v>
      </c>
    </row>
    <row r="126" spans="1:7" ht="21.75" customHeight="1" x14ac:dyDescent="0.25">
      <c r="A126" s="34" t="s">
        <v>30</v>
      </c>
      <c r="B126" s="53">
        <f t="shared" ref="B126:E126" si="65">B127+B135+B138</f>
        <v>649569.6</v>
      </c>
      <c r="C126" s="53">
        <f t="shared" ref="C126" si="66">C127+C135+C138</f>
        <v>640087</v>
      </c>
      <c r="D126" s="53">
        <f t="shared" si="65"/>
        <v>634279.72587999993</v>
      </c>
      <c r="E126" s="53">
        <f t="shared" si="65"/>
        <v>620029.7479800001</v>
      </c>
      <c r="F126" s="53">
        <f t="shared" si="35"/>
        <v>96.866480334704519</v>
      </c>
      <c r="G126" s="53">
        <f t="shared" si="34"/>
        <v>97.753360651685753</v>
      </c>
    </row>
    <row r="127" spans="1:7" ht="27.75" customHeight="1" x14ac:dyDescent="0.25">
      <c r="A127" s="35" t="s">
        <v>31</v>
      </c>
      <c r="B127" s="54">
        <f t="shared" ref="B127:E127" si="67">SUM(B128:B134)</f>
        <v>642226.89999999991</v>
      </c>
      <c r="C127" s="54">
        <f t="shared" ref="C127" si="68">SUM(C128:C134)</f>
        <v>632744.29999999993</v>
      </c>
      <c r="D127" s="54">
        <f t="shared" si="67"/>
        <v>626937.03687999991</v>
      </c>
      <c r="E127" s="54">
        <f t="shared" si="67"/>
        <v>612687.14898000006</v>
      </c>
      <c r="F127" s="54">
        <f t="shared" si="35"/>
        <v>96.830133275005423</v>
      </c>
      <c r="G127" s="54">
        <f t="shared" si="34"/>
        <v>97.727062358460188</v>
      </c>
    </row>
    <row r="128" spans="1:7" x14ac:dyDescent="0.25">
      <c r="A128" s="2" t="s">
        <v>96</v>
      </c>
      <c r="B128" s="55">
        <v>16000</v>
      </c>
      <c r="C128" s="55">
        <v>16000</v>
      </c>
      <c r="D128" s="55">
        <v>16000</v>
      </c>
      <c r="E128" s="55">
        <v>16000</v>
      </c>
      <c r="F128" s="56">
        <f t="shared" si="35"/>
        <v>100</v>
      </c>
      <c r="G128" s="56">
        <f t="shared" si="34"/>
        <v>100</v>
      </c>
    </row>
    <row r="129" spans="1:7" ht="14.25" customHeight="1" x14ac:dyDescent="0.25">
      <c r="A129" s="2" t="s">
        <v>97</v>
      </c>
      <c r="B129" s="55">
        <v>442071.6</v>
      </c>
      <c r="C129" s="55">
        <f>383489.8+58581.8</f>
        <v>442071.6</v>
      </c>
      <c r="D129" s="55">
        <v>436264.32154999999</v>
      </c>
      <c r="E129" s="55">
        <v>422014.44</v>
      </c>
      <c r="F129" s="56">
        <f t="shared" si="35"/>
        <v>95.462915962029683</v>
      </c>
      <c r="G129" s="56">
        <f t="shared" si="34"/>
        <v>96.733658737122553</v>
      </c>
    </row>
    <row r="130" spans="1:7" ht="16.5" customHeight="1" x14ac:dyDescent="0.25">
      <c r="A130" s="2" t="s">
        <v>98</v>
      </c>
      <c r="B130" s="55">
        <v>70274.2</v>
      </c>
      <c r="C130" s="55">
        <v>70274.2</v>
      </c>
      <c r="D130" s="55">
        <v>70274.175829999993</v>
      </c>
      <c r="E130" s="55">
        <v>70274.179990000004</v>
      </c>
      <c r="F130" s="56">
        <f t="shared" si="35"/>
        <v>99.999971525823142</v>
      </c>
      <c r="G130" s="56">
        <f t="shared" si="34"/>
        <v>100.000005919671</v>
      </c>
    </row>
    <row r="131" spans="1:7" x14ac:dyDescent="0.25">
      <c r="A131" s="2" t="s">
        <v>161</v>
      </c>
      <c r="B131" s="55">
        <v>60719.5</v>
      </c>
      <c r="C131" s="55">
        <v>54355</v>
      </c>
      <c r="D131" s="55">
        <v>54355.064899999998</v>
      </c>
      <c r="E131" s="55">
        <v>54355.04999</v>
      </c>
      <c r="F131" s="56">
        <f t="shared" si="35"/>
        <v>100.00009196946003</v>
      </c>
      <c r="G131" s="56">
        <f t="shared" si="34"/>
        <v>99.999972569253615</v>
      </c>
    </row>
    <row r="132" spans="1:7" ht="15.75" customHeight="1" x14ac:dyDescent="0.25">
      <c r="A132" s="2" t="s">
        <v>159</v>
      </c>
      <c r="B132" s="55">
        <v>12895.5</v>
      </c>
      <c r="C132" s="55">
        <v>12895.5</v>
      </c>
      <c r="D132" s="55">
        <v>12895.510200000001</v>
      </c>
      <c r="E132" s="55">
        <v>12895.549000000001</v>
      </c>
      <c r="F132" s="56">
        <f t="shared" si="35"/>
        <v>100.00037997751154</v>
      </c>
      <c r="G132" s="56">
        <f t="shared" si="34"/>
        <v>100.00030087991401</v>
      </c>
    </row>
    <row r="133" spans="1:7" ht="15" customHeight="1" x14ac:dyDescent="0.25">
      <c r="A133" s="2" t="s">
        <v>127</v>
      </c>
      <c r="B133" s="55">
        <v>12919.1</v>
      </c>
      <c r="C133" s="55">
        <v>9801</v>
      </c>
      <c r="D133" s="55">
        <v>9801.02441</v>
      </c>
      <c r="E133" s="55">
        <v>9801</v>
      </c>
      <c r="F133" s="56">
        <f t="shared" si="35"/>
        <v>100</v>
      </c>
      <c r="G133" s="56">
        <f t="shared" si="34"/>
        <v>99.999750944401526</v>
      </c>
    </row>
    <row r="134" spans="1:7" x14ac:dyDescent="0.25">
      <c r="A134" s="2" t="s">
        <v>99</v>
      </c>
      <c r="B134" s="55">
        <v>27347</v>
      </c>
      <c r="C134" s="55">
        <v>27347</v>
      </c>
      <c r="D134" s="55">
        <v>27346.939989999999</v>
      </c>
      <c r="E134" s="55">
        <v>27346.93</v>
      </c>
      <c r="F134" s="56">
        <f t="shared" si="35"/>
        <v>99.999744030423813</v>
      </c>
      <c r="G134" s="56">
        <f t="shared" si="34"/>
        <v>99.999963469404605</v>
      </c>
    </row>
    <row r="135" spans="1:7" ht="27.75" customHeight="1" x14ac:dyDescent="0.25">
      <c r="A135" s="26" t="s">
        <v>32</v>
      </c>
      <c r="B135" s="54">
        <f t="shared" ref="B135:E135" si="69">SUM(B136:B137)</f>
        <v>2648.8</v>
      </c>
      <c r="C135" s="54">
        <f t="shared" ref="C135" si="70">SUM(C136:C137)</f>
        <v>2648.8</v>
      </c>
      <c r="D135" s="54">
        <f t="shared" si="69"/>
        <v>2648.84</v>
      </c>
      <c r="E135" s="54">
        <f t="shared" si="69"/>
        <v>2648.74</v>
      </c>
      <c r="F135" s="54">
        <f t="shared" si="35"/>
        <v>99.997734823316208</v>
      </c>
      <c r="G135" s="54">
        <f t="shared" si="34"/>
        <v>99.996224762537551</v>
      </c>
    </row>
    <row r="136" spans="1:7" ht="39" customHeight="1" x14ac:dyDescent="0.25">
      <c r="A136" s="2" t="s">
        <v>160</v>
      </c>
      <c r="B136" s="55">
        <v>710</v>
      </c>
      <c r="C136" s="55">
        <v>710</v>
      </c>
      <c r="D136" s="55">
        <f>710</f>
        <v>710</v>
      </c>
      <c r="E136" s="55">
        <f>710</f>
        <v>710</v>
      </c>
      <c r="F136" s="56">
        <f t="shared" si="35"/>
        <v>100</v>
      </c>
      <c r="G136" s="56">
        <f t="shared" si="34"/>
        <v>100</v>
      </c>
    </row>
    <row r="137" spans="1:7" x14ac:dyDescent="0.25">
      <c r="A137" s="2" t="s">
        <v>161</v>
      </c>
      <c r="B137" s="55">
        <v>1938.8</v>
      </c>
      <c r="C137" s="55">
        <v>1938.8</v>
      </c>
      <c r="D137" s="55">
        <v>1938.84</v>
      </c>
      <c r="E137" s="55">
        <v>1938.74</v>
      </c>
      <c r="F137" s="56">
        <f t="shared" si="35"/>
        <v>99.99690530224882</v>
      </c>
      <c r="G137" s="56">
        <f t="shared" si="34"/>
        <v>99.994842276825324</v>
      </c>
    </row>
    <row r="138" spans="1:7" ht="25.5" x14ac:dyDescent="0.25">
      <c r="A138" s="26" t="s">
        <v>33</v>
      </c>
      <c r="B138" s="54">
        <f t="shared" ref="B138:E138" si="71">B139</f>
        <v>4693.8999999999996</v>
      </c>
      <c r="C138" s="54">
        <f t="shared" si="71"/>
        <v>4693.8999999999996</v>
      </c>
      <c r="D138" s="54">
        <f t="shared" si="71"/>
        <v>4693.8490000000002</v>
      </c>
      <c r="E138" s="54">
        <f t="shared" si="71"/>
        <v>4693.8590000000004</v>
      </c>
      <c r="F138" s="54">
        <f t="shared" si="35"/>
        <v>99.999126525916623</v>
      </c>
      <c r="G138" s="54">
        <f t="shared" si="34"/>
        <v>100.00021304477413</v>
      </c>
    </row>
    <row r="139" spans="1:7" x14ac:dyDescent="0.25">
      <c r="A139" s="2" t="s">
        <v>100</v>
      </c>
      <c r="B139" s="55">
        <v>4693.8999999999996</v>
      </c>
      <c r="C139" s="55">
        <f>2040.8+2653.1</f>
        <v>4693.8999999999996</v>
      </c>
      <c r="D139" s="55">
        <v>4693.8490000000002</v>
      </c>
      <c r="E139" s="55">
        <v>4693.8590000000004</v>
      </c>
      <c r="F139" s="56">
        <f t="shared" si="35"/>
        <v>99.999126525916623</v>
      </c>
      <c r="G139" s="56">
        <f t="shared" si="34"/>
        <v>100.00021304477413</v>
      </c>
    </row>
    <row r="140" spans="1:7" ht="35.25" customHeight="1" x14ac:dyDescent="0.25">
      <c r="A140" s="34" t="s">
        <v>34</v>
      </c>
      <c r="B140" s="53">
        <f t="shared" ref="B140:E140" si="72">B141+B143+B145</f>
        <v>239352</v>
      </c>
      <c r="C140" s="53">
        <f t="shared" ref="C140" si="73">C141+C143+C145</f>
        <v>239352</v>
      </c>
      <c r="D140" s="53">
        <f t="shared" si="72"/>
        <v>237519.04444</v>
      </c>
      <c r="E140" s="53">
        <f t="shared" si="72"/>
        <v>237519.13998000001</v>
      </c>
      <c r="F140" s="53">
        <f t="shared" si="35"/>
        <v>99.234240775092758</v>
      </c>
      <c r="G140" s="53">
        <f t="shared" ref="G140:G203" si="74">E140/D140*100</f>
        <v>100.00004022414298</v>
      </c>
    </row>
    <row r="141" spans="1:7" ht="25.5" x14ac:dyDescent="0.25">
      <c r="A141" s="26" t="s">
        <v>35</v>
      </c>
      <c r="B141" s="54">
        <f t="shared" ref="B141:E141" si="75">B142</f>
        <v>6785</v>
      </c>
      <c r="C141" s="54">
        <f t="shared" si="75"/>
        <v>6785</v>
      </c>
      <c r="D141" s="54">
        <f t="shared" si="75"/>
        <v>6785</v>
      </c>
      <c r="E141" s="54">
        <f t="shared" si="75"/>
        <v>6785.04</v>
      </c>
      <c r="F141" s="54">
        <f t="shared" ref="F141:F204" si="76">E141/C141*100</f>
        <v>100.0005895357406</v>
      </c>
      <c r="G141" s="54">
        <f t="shared" si="74"/>
        <v>100.0005895357406</v>
      </c>
    </row>
    <row r="142" spans="1:7" ht="26.25" customHeight="1" x14ac:dyDescent="0.25">
      <c r="A142" s="2" t="s">
        <v>155</v>
      </c>
      <c r="B142" s="55">
        <v>6785</v>
      </c>
      <c r="C142" s="55">
        <v>6785</v>
      </c>
      <c r="D142" s="55">
        <v>6785</v>
      </c>
      <c r="E142" s="55">
        <v>6785.04</v>
      </c>
      <c r="F142" s="56">
        <f t="shared" si="76"/>
        <v>100.0005895357406</v>
      </c>
      <c r="G142" s="56">
        <f t="shared" si="74"/>
        <v>100.0005895357406</v>
      </c>
    </row>
    <row r="143" spans="1:7" x14ac:dyDescent="0.25">
      <c r="A143" s="35" t="s">
        <v>36</v>
      </c>
      <c r="B143" s="54">
        <f t="shared" ref="B143:E143" si="77">B144</f>
        <v>19661.2</v>
      </c>
      <c r="C143" s="54">
        <f t="shared" si="77"/>
        <v>19661.2</v>
      </c>
      <c r="D143" s="54">
        <f t="shared" si="77"/>
        <v>19661.224490000001</v>
      </c>
      <c r="E143" s="54">
        <f t="shared" si="77"/>
        <v>19661.24999</v>
      </c>
      <c r="F143" s="54">
        <f t="shared" si="76"/>
        <v>100.00025425711554</v>
      </c>
      <c r="G143" s="54">
        <f t="shared" si="74"/>
        <v>100.0001296969068</v>
      </c>
    </row>
    <row r="144" spans="1:7" ht="25.5" x14ac:dyDescent="0.25">
      <c r="A144" s="2" t="s">
        <v>131</v>
      </c>
      <c r="B144" s="55">
        <v>19661.2</v>
      </c>
      <c r="C144" s="55">
        <v>19661.2</v>
      </c>
      <c r="D144" s="55">
        <v>19661.224490000001</v>
      </c>
      <c r="E144" s="55">
        <v>19661.24999</v>
      </c>
      <c r="F144" s="56">
        <f t="shared" si="76"/>
        <v>100.00025425711554</v>
      </c>
      <c r="G144" s="56">
        <f t="shared" si="74"/>
        <v>100.0001296969068</v>
      </c>
    </row>
    <row r="145" spans="1:7" ht="18" customHeight="1" x14ac:dyDescent="0.25">
      <c r="A145" s="48" t="s">
        <v>37</v>
      </c>
      <c r="B145" s="71">
        <f t="shared" ref="B145:E145" si="78">SUM(B146:B148)</f>
        <v>212905.8</v>
      </c>
      <c r="C145" s="71">
        <f t="shared" ref="C145" si="79">SUM(C146:C148)</f>
        <v>212905.8</v>
      </c>
      <c r="D145" s="71">
        <f t="shared" si="78"/>
        <v>211072.81995</v>
      </c>
      <c r="E145" s="71">
        <f t="shared" si="78"/>
        <v>211072.84999000002</v>
      </c>
      <c r="F145" s="54">
        <f t="shared" si="76"/>
        <v>99.139079344010369</v>
      </c>
      <c r="G145" s="54">
        <f t="shared" si="74"/>
        <v>100.00001423205509</v>
      </c>
    </row>
    <row r="146" spans="1:7" ht="25.5" x14ac:dyDescent="0.25">
      <c r="A146" s="21" t="s">
        <v>155</v>
      </c>
      <c r="B146" s="67">
        <v>33918.5</v>
      </c>
      <c r="C146" s="67">
        <v>33918.5</v>
      </c>
      <c r="D146" s="67">
        <v>33918.400000000001</v>
      </c>
      <c r="E146" s="67">
        <v>33918.42</v>
      </c>
      <c r="F146" s="56">
        <f t="shared" si="76"/>
        <v>99.999764140513278</v>
      </c>
      <c r="G146" s="56">
        <f t="shared" si="74"/>
        <v>100.00005896504551</v>
      </c>
    </row>
    <row r="147" spans="1:7" ht="17.25" customHeight="1" x14ac:dyDescent="0.25">
      <c r="A147" s="50" t="s">
        <v>101</v>
      </c>
      <c r="B147" s="67">
        <v>155337.79999999999</v>
      </c>
      <c r="C147" s="67">
        <v>155337.79999999999</v>
      </c>
      <c r="D147" s="67">
        <v>155235.72</v>
      </c>
      <c r="E147" s="67">
        <v>155235.73000000001</v>
      </c>
      <c r="F147" s="56">
        <f t="shared" si="76"/>
        <v>99.934291589040157</v>
      </c>
      <c r="G147" s="56">
        <f t="shared" si="74"/>
        <v>100.00000644181637</v>
      </c>
    </row>
    <row r="148" spans="1:7" ht="25.5" x14ac:dyDescent="0.25">
      <c r="A148" s="51" t="s">
        <v>156</v>
      </c>
      <c r="B148" s="67">
        <v>23649.5</v>
      </c>
      <c r="C148" s="67">
        <v>23649.5</v>
      </c>
      <c r="D148" s="67">
        <v>21918.699949999998</v>
      </c>
      <c r="E148" s="67">
        <v>21918.699990000001</v>
      </c>
      <c r="F148" s="56">
        <f t="shared" si="76"/>
        <v>92.681451996870976</v>
      </c>
      <c r="G148" s="56">
        <f t="shared" si="74"/>
        <v>100.00000018249257</v>
      </c>
    </row>
    <row r="149" spans="1:7" ht="27" customHeight="1" x14ac:dyDescent="0.25">
      <c r="A149" s="49" t="s">
        <v>38</v>
      </c>
      <c r="B149" s="72">
        <f t="shared" ref="B149:E149" si="80">B150</f>
        <v>213.4</v>
      </c>
      <c r="C149" s="72">
        <f t="shared" si="80"/>
        <v>213.4</v>
      </c>
      <c r="D149" s="72">
        <f t="shared" si="80"/>
        <v>213.34</v>
      </c>
      <c r="E149" s="72">
        <f t="shared" si="80"/>
        <v>213.34</v>
      </c>
      <c r="F149" s="53">
        <f t="shared" si="76"/>
        <v>99.971883786316766</v>
      </c>
      <c r="G149" s="53">
        <f t="shared" si="74"/>
        <v>100</v>
      </c>
    </row>
    <row r="150" spans="1:7" ht="16.5" customHeight="1" x14ac:dyDescent="0.25">
      <c r="A150" s="35" t="s">
        <v>39</v>
      </c>
      <c r="B150" s="54">
        <f t="shared" ref="B150:E150" si="81">SUM(B151:B153)</f>
        <v>213.4</v>
      </c>
      <c r="C150" s="54">
        <f t="shared" ref="C150" si="82">SUM(C151:C153)</f>
        <v>213.4</v>
      </c>
      <c r="D150" s="54">
        <f t="shared" si="81"/>
        <v>213.34</v>
      </c>
      <c r="E150" s="54">
        <f t="shared" si="81"/>
        <v>213.34</v>
      </c>
      <c r="F150" s="54">
        <f t="shared" si="76"/>
        <v>99.971883786316766</v>
      </c>
      <c r="G150" s="54">
        <f t="shared" si="74"/>
        <v>100</v>
      </c>
    </row>
    <row r="151" spans="1:7" ht="16.5" customHeight="1" x14ac:dyDescent="0.25">
      <c r="A151" s="2" t="s">
        <v>102</v>
      </c>
      <c r="B151" s="55">
        <v>0</v>
      </c>
      <c r="C151" s="55">
        <v>0</v>
      </c>
      <c r="D151" s="55">
        <v>0</v>
      </c>
      <c r="E151" s="55">
        <v>0</v>
      </c>
      <c r="F151" s="56" t="s">
        <v>212</v>
      </c>
      <c r="G151" s="56" t="s">
        <v>207</v>
      </c>
    </row>
    <row r="152" spans="1:7" x14ac:dyDescent="0.25">
      <c r="A152" s="2" t="s">
        <v>113</v>
      </c>
      <c r="B152" s="55">
        <v>213.4</v>
      </c>
      <c r="C152" s="55">
        <v>213.4</v>
      </c>
      <c r="D152" s="55">
        <v>213.34</v>
      </c>
      <c r="E152" s="55">
        <v>213.34</v>
      </c>
      <c r="F152" s="56">
        <f t="shared" si="76"/>
        <v>99.971883786316766</v>
      </c>
      <c r="G152" s="56">
        <f t="shared" si="74"/>
        <v>100</v>
      </c>
    </row>
    <row r="153" spans="1:7" ht="16.5" customHeight="1" x14ac:dyDescent="0.25">
      <c r="A153" s="2" t="s">
        <v>103</v>
      </c>
      <c r="B153" s="55">
        <v>0</v>
      </c>
      <c r="C153" s="55">
        <v>0</v>
      </c>
      <c r="D153" s="55">
        <v>0</v>
      </c>
      <c r="E153" s="55">
        <v>0</v>
      </c>
      <c r="F153" s="56" t="s">
        <v>212</v>
      </c>
      <c r="G153" s="56" t="s">
        <v>207</v>
      </c>
    </row>
    <row r="154" spans="1:7" ht="21" customHeight="1" x14ac:dyDescent="0.25">
      <c r="A154" s="34" t="s">
        <v>104</v>
      </c>
      <c r="B154" s="53">
        <f t="shared" ref="B154:E154" si="83">B155+B158</f>
        <v>44122.7</v>
      </c>
      <c r="C154" s="53">
        <f t="shared" ref="C154" si="84">C155+C158</f>
        <v>47856.799999999996</v>
      </c>
      <c r="D154" s="53">
        <f t="shared" si="83"/>
        <v>47853.249380000001</v>
      </c>
      <c r="E154" s="53">
        <f t="shared" si="83"/>
        <v>47853.24</v>
      </c>
      <c r="F154" s="53">
        <f t="shared" si="76"/>
        <v>99.992561140736541</v>
      </c>
      <c r="G154" s="53">
        <f t="shared" si="74"/>
        <v>99.999980398405285</v>
      </c>
    </row>
    <row r="155" spans="1:7" hidden="1" x14ac:dyDescent="0.25">
      <c r="A155" s="26" t="s">
        <v>40</v>
      </c>
      <c r="B155" s="54">
        <f t="shared" ref="B155:E155" si="85">SUM(B156:B157)</f>
        <v>0</v>
      </c>
      <c r="C155" s="54">
        <f t="shared" ref="C155" si="86">SUM(C156:C157)</f>
        <v>0</v>
      </c>
      <c r="D155" s="54">
        <f t="shared" si="85"/>
        <v>0</v>
      </c>
      <c r="E155" s="54">
        <f t="shared" si="85"/>
        <v>0</v>
      </c>
      <c r="F155" s="56" t="e">
        <f t="shared" si="76"/>
        <v>#DIV/0!</v>
      </c>
      <c r="G155" s="53" t="e">
        <f t="shared" si="74"/>
        <v>#DIV/0!</v>
      </c>
    </row>
    <row r="156" spans="1:7" ht="52.5" hidden="1" customHeight="1" x14ac:dyDescent="0.25">
      <c r="A156" s="2" t="s">
        <v>105</v>
      </c>
      <c r="B156" s="55">
        <v>0</v>
      </c>
      <c r="C156" s="55">
        <v>0</v>
      </c>
      <c r="D156" s="55">
        <v>0</v>
      </c>
      <c r="E156" s="55">
        <v>0</v>
      </c>
      <c r="F156" s="56" t="e">
        <f t="shared" si="76"/>
        <v>#DIV/0!</v>
      </c>
      <c r="G156" s="53" t="e">
        <f t="shared" si="74"/>
        <v>#DIV/0!</v>
      </c>
    </row>
    <row r="157" spans="1:7" ht="25.5" hidden="1" x14ac:dyDescent="0.25">
      <c r="A157" s="2" t="s">
        <v>106</v>
      </c>
      <c r="B157" s="55">
        <v>0</v>
      </c>
      <c r="C157" s="55">
        <v>0</v>
      </c>
      <c r="D157" s="55">
        <v>0</v>
      </c>
      <c r="E157" s="55">
        <v>0</v>
      </c>
      <c r="F157" s="56" t="e">
        <f t="shared" si="76"/>
        <v>#DIV/0!</v>
      </c>
      <c r="G157" s="53" t="e">
        <f t="shared" si="74"/>
        <v>#DIV/0!</v>
      </c>
    </row>
    <row r="158" spans="1:7" x14ac:dyDescent="0.25">
      <c r="A158" s="28" t="s">
        <v>107</v>
      </c>
      <c r="B158" s="62">
        <f t="shared" ref="B158:E158" si="87">SUM(B159:B160)</f>
        <v>44122.7</v>
      </c>
      <c r="C158" s="62">
        <f t="shared" ref="C158" si="88">SUM(C159:C160)</f>
        <v>47856.799999999996</v>
      </c>
      <c r="D158" s="62">
        <f t="shared" si="87"/>
        <v>47853.249380000001</v>
      </c>
      <c r="E158" s="62">
        <f t="shared" si="87"/>
        <v>47853.24</v>
      </c>
      <c r="F158" s="54">
        <f t="shared" si="76"/>
        <v>99.992561140736541</v>
      </c>
      <c r="G158" s="53">
        <f t="shared" si="74"/>
        <v>99.999980398405285</v>
      </c>
    </row>
    <row r="159" spans="1:7" ht="28.5" customHeight="1" x14ac:dyDescent="0.25">
      <c r="A159" s="2" t="s">
        <v>108</v>
      </c>
      <c r="B159" s="55">
        <v>6750</v>
      </c>
      <c r="C159" s="55">
        <v>10484.1</v>
      </c>
      <c r="D159" s="55">
        <v>10484.11</v>
      </c>
      <c r="E159" s="55">
        <v>10484.14</v>
      </c>
      <c r="F159" s="56">
        <f t="shared" si="76"/>
        <v>100.00038153012656</v>
      </c>
      <c r="G159" s="56">
        <f t="shared" si="74"/>
        <v>100.00028614732199</v>
      </c>
    </row>
    <row r="160" spans="1:7" x14ac:dyDescent="0.25">
      <c r="A160" s="2" t="s">
        <v>154</v>
      </c>
      <c r="B160" s="55">
        <v>37372.699999999997</v>
      </c>
      <c r="C160" s="55">
        <v>37372.699999999997</v>
      </c>
      <c r="D160" s="55">
        <v>37369.139380000001</v>
      </c>
      <c r="E160" s="55">
        <v>37369.1</v>
      </c>
      <c r="F160" s="56">
        <f t="shared" si="76"/>
        <v>99.990367300195075</v>
      </c>
      <c r="G160" s="56">
        <f t="shared" si="74"/>
        <v>99.999894618927129</v>
      </c>
    </row>
    <row r="161" spans="1:7" ht="27" customHeight="1" x14ac:dyDescent="0.25">
      <c r="A161" s="40" t="s">
        <v>46</v>
      </c>
      <c r="B161" s="63">
        <f t="shared" ref="B161" si="89">B162</f>
        <v>0</v>
      </c>
      <c r="C161" s="63">
        <f t="shared" ref="C161:E162" si="90">C162</f>
        <v>28634.2</v>
      </c>
      <c r="D161" s="63">
        <f t="shared" si="90"/>
        <v>31415.049930000001</v>
      </c>
      <c r="E161" s="63">
        <f t="shared" si="90"/>
        <v>7733.1499899999999</v>
      </c>
      <c r="F161" s="53">
        <f t="shared" si="76"/>
        <v>27.00669126429235</v>
      </c>
      <c r="G161" s="53">
        <f t="shared" si="74"/>
        <v>24.616067799450413</v>
      </c>
    </row>
    <row r="162" spans="1:7" x14ac:dyDescent="0.25">
      <c r="A162" s="43" t="s">
        <v>41</v>
      </c>
      <c r="B162" s="65">
        <f>B163</f>
        <v>0</v>
      </c>
      <c r="C162" s="65">
        <f t="shared" si="90"/>
        <v>28634.2</v>
      </c>
      <c r="D162" s="65">
        <f t="shared" si="90"/>
        <v>31415.049930000001</v>
      </c>
      <c r="E162" s="65">
        <f t="shared" si="90"/>
        <v>7733.1499899999999</v>
      </c>
      <c r="F162" s="54">
        <f t="shared" si="76"/>
        <v>27.00669126429235</v>
      </c>
      <c r="G162" s="54">
        <f t="shared" si="74"/>
        <v>24.616067799450413</v>
      </c>
    </row>
    <row r="163" spans="1:7" ht="27" customHeight="1" x14ac:dyDescent="0.25">
      <c r="A163" s="21" t="s">
        <v>193</v>
      </c>
      <c r="B163" s="67">
        <v>0</v>
      </c>
      <c r="C163" s="67">
        <v>28634.2</v>
      </c>
      <c r="D163" s="67">
        <v>31415.049930000001</v>
      </c>
      <c r="E163" s="67">
        <v>7733.1499899999999</v>
      </c>
      <c r="F163" s="56">
        <f t="shared" si="76"/>
        <v>27.00669126429235</v>
      </c>
      <c r="G163" s="56">
        <f t="shared" si="74"/>
        <v>24.616067799450413</v>
      </c>
    </row>
    <row r="164" spans="1:7" x14ac:dyDescent="0.25">
      <c r="A164" s="41" t="s">
        <v>176</v>
      </c>
      <c r="B164" s="73">
        <f t="shared" ref="B164:E164" si="91">B165</f>
        <v>57016.600000000006</v>
      </c>
      <c r="C164" s="73">
        <f t="shared" si="91"/>
        <v>50274.6</v>
      </c>
      <c r="D164" s="73">
        <f t="shared" si="91"/>
        <v>50274.548999999999</v>
      </c>
      <c r="E164" s="73">
        <f t="shared" si="91"/>
        <v>50274.548999999999</v>
      </c>
      <c r="F164" s="53">
        <f t="shared" si="76"/>
        <v>99.999898557124283</v>
      </c>
      <c r="G164" s="53">
        <f t="shared" si="74"/>
        <v>100</v>
      </c>
    </row>
    <row r="165" spans="1:7" x14ac:dyDescent="0.25">
      <c r="A165" s="38" t="s">
        <v>177</v>
      </c>
      <c r="B165" s="74">
        <f t="shared" ref="B165:E165" si="92">SUM(B166:B167)</f>
        <v>57016.600000000006</v>
      </c>
      <c r="C165" s="74">
        <f t="shared" ref="C165" si="93">SUM(C166:C167)</f>
        <v>50274.6</v>
      </c>
      <c r="D165" s="74">
        <f t="shared" si="92"/>
        <v>50274.548999999999</v>
      </c>
      <c r="E165" s="74">
        <f t="shared" si="92"/>
        <v>50274.548999999999</v>
      </c>
      <c r="F165" s="54">
        <f t="shared" si="76"/>
        <v>99.999898557124283</v>
      </c>
      <c r="G165" s="54">
        <f t="shared" si="74"/>
        <v>100</v>
      </c>
    </row>
    <row r="166" spans="1:7" x14ac:dyDescent="0.25">
      <c r="A166" s="22" t="s">
        <v>186</v>
      </c>
      <c r="B166" s="67">
        <v>8595.7999999999993</v>
      </c>
      <c r="C166" s="67">
        <v>8595.9</v>
      </c>
      <c r="D166" s="67">
        <v>8595.9490000000005</v>
      </c>
      <c r="E166" s="67">
        <v>8595.9490000000005</v>
      </c>
      <c r="F166" s="56">
        <f t="shared" si="76"/>
        <v>100.00057003920475</v>
      </c>
      <c r="G166" s="56">
        <f t="shared" si="74"/>
        <v>100</v>
      </c>
    </row>
    <row r="167" spans="1:7" x14ac:dyDescent="0.25">
      <c r="A167" s="22" t="s">
        <v>187</v>
      </c>
      <c r="B167" s="67">
        <v>48420.800000000003</v>
      </c>
      <c r="C167" s="67">
        <v>41678.699999999997</v>
      </c>
      <c r="D167" s="67">
        <v>41678.6</v>
      </c>
      <c r="E167" s="67">
        <v>41678.6</v>
      </c>
      <c r="F167" s="56">
        <f t="shared" si="76"/>
        <v>99.999760069291995</v>
      </c>
      <c r="G167" s="56">
        <f t="shared" si="74"/>
        <v>100</v>
      </c>
    </row>
    <row r="168" spans="1:7" ht="27.75" customHeight="1" x14ac:dyDescent="0.25">
      <c r="A168" s="37" t="s">
        <v>175</v>
      </c>
      <c r="B168" s="46">
        <f>B169</f>
        <v>57000</v>
      </c>
      <c r="C168" s="46">
        <f t="shared" ref="B168:E169" si="94">C169</f>
        <v>57000</v>
      </c>
      <c r="D168" s="46">
        <f t="shared" si="94"/>
        <v>56995.54</v>
      </c>
      <c r="E168" s="46">
        <f t="shared" si="94"/>
        <v>28497.74</v>
      </c>
      <c r="F168" s="53">
        <f t="shared" si="76"/>
        <v>49.996035087719306</v>
      </c>
      <c r="G168" s="53">
        <f t="shared" si="74"/>
        <v>49.999947364302542</v>
      </c>
    </row>
    <row r="169" spans="1:7" x14ac:dyDescent="0.25">
      <c r="A169" s="38" t="s">
        <v>172</v>
      </c>
      <c r="B169" s="74">
        <f t="shared" si="94"/>
        <v>57000</v>
      </c>
      <c r="C169" s="74">
        <f t="shared" si="94"/>
        <v>57000</v>
      </c>
      <c r="D169" s="74">
        <f>D170</f>
        <v>56995.54</v>
      </c>
      <c r="E169" s="74">
        <f t="shared" si="94"/>
        <v>28497.74</v>
      </c>
      <c r="F169" s="54">
        <f t="shared" si="76"/>
        <v>49.996035087719306</v>
      </c>
      <c r="G169" s="54">
        <f t="shared" si="74"/>
        <v>49.999947364302542</v>
      </c>
    </row>
    <row r="170" spans="1:7" ht="24.75" customHeight="1" x14ac:dyDescent="0.25">
      <c r="A170" s="33" t="s">
        <v>188</v>
      </c>
      <c r="B170" s="67">
        <v>57000</v>
      </c>
      <c r="C170" s="67">
        <v>57000</v>
      </c>
      <c r="D170" s="67">
        <v>56995.54</v>
      </c>
      <c r="E170" s="67">
        <v>28497.74</v>
      </c>
      <c r="F170" s="56">
        <f t="shared" si="76"/>
        <v>49.996035087719306</v>
      </c>
      <c r="G170" s="56">
        <f t="shared" si="74"/>
        <v>49.999947364302542</v>
      </c>
    </row>
    <row r="171" spans="1:7" s="44" customFormat="1" ht="37.5" customHeight="1" x14ac:dyDescent="0.25">
      <c r="A171" s="37" t="s">
        <v>203</v>
      </c>
      <c r="B171" s="46">
        <f t="shared" ref="B171" si="95">B10+B37+B53+B84+B95+B114+B126+B140+B149+B154+B161+B164+B168</f>
        <v>24070795.599999998</v>
      </c>
      <c r="C171" s="46">
        <f t="shared" ref="C171" si="96">C10+C37+C53+C84+C95+C114+C126+C140+C149+C154+C161+C164+C168</f>
        <v>24232602</v>
      </c>
      <c r="D171" s="46">
        <f>D10+D37+D53+D84+D95+D114+D126+D140+D149+D154+D161+D164+D168</f>
        <v>23959798.947129998</v>
      </c>
      <c r="E171" s="46">
        <v>23231780.399999999</v>
      </c>
      <c r="F171" s="53">
        <f t="shared" si="76"/>
        <v>95.869937532915358</v>
      </c>
      <c r="G171" s="53">
        <f t="shared" si="74"/>
        <v>96.961499765768252</v>
      </c>
    </row>
    <row r="172" spans="1:7" hidden="1" x14ac:dyDescent="0.25">
      <c r="A172" s="52" t="s">
        <v>204</v>
      </c>
      <c r="B172" s="75">
        <f>SUM(B173:B211)</f>
        <v>6943370.5999999987</v>
      </c>
      <c r="C172" s="75">
        <f>SUM(C173:C211)</f>
        <v>10856113.100000001</v>
      </c>
      <c r="D172" s="75">
        <f>SUM(D173:D211)</f>
        <v>11165981.678599998</v>
      </c>
      <c r="E172" s="75">
        <f>SUM(E173:E211)</f>
        <v>10836133.249619998</v>
      </c>
      <c r="F172" s="54">
        <f t="shared" si="76"/>
        <v>99.815957606594907</v>
      </c>
      <c r="G172" s="54">
        <f t="shared" si="74"/>
        <v>97.045952263989761</v>
      </c>
    </row>
    <row r="173" spans="1:7" ht="27" hidden="1" customHeight="1" x14ac:dyDescent="0.25">
      <c r="A173" s="32" t="s">
        <v>136</v>
      </c>
      <c r="B173" s="76">
        <v>40224</v>
      </c>
      <c r="C173" s="67">
        <v>40224</v>
      </c>
      <c r="D173" s="67">
        <v>40224</v>
      </c>
      <c r="E173" s="67">
        <v>40224</v>
      </c>
      <c r="F173" s="56">
        <f t="shared" si="76"/>
        <v>100</v>
      </c>
      <c r="G173" s="56">
        <f t="shared" si="74"/>
        <v>100</v>
      </c>
    </row>
    <row r="174" spans="1:7" ht="27" hidden="1" customHeight="1" x14ac:dyDescent="0.25">
      <c r="A174" s="32" t="s">
        <v>137</v>
      </c>
      <c r="B174" s="76">
        <v>60336.1</v>
      </c>
      <c r="C174" s="67">
        <v>60336.1</v>
      </c>
      <c r="D174" s="67">
        <v>60336.1</v>
      </c>
      <c r="E174" s="67">
        <v>60336.1</v>
      </c>
      <c r="F174" s="56">
        <f t="shared" si="76"/>
        <v>100</v>
      </c>
      <c r="G174" s="56">
        <f t="shared" si="74"/>
        <v>100</v>
      </c>
    </row>
    <row r="175" spans="1:7" ht="15.75" hidden="1" customHeight="1" x14ac:dyDescent="0.25">
      <c r="A175" s="32" t="s">
        <v>138</v>
      </c>
      <c r="B175" s="76">
        <v>923286.4</v>
      </c>
      <c r="C175" s="67">
        <v>908897.4</v>
      </c>
      <c r="D175" s="67">
        <f>912144.70095+438303.93167</f>
        <v>1350448.63262</v>
      </c>
      <c r="E175" s="67">
        <f>900762.27241+438303.91252</f>
        <v>1339066.18493</v>
      </c>
      <c r="F175" s="56">
        <f t="shared" si="76"/>
        <v>147.32864071676298</v>
      </c>
      <c r="G175" s="56">
        <f t="shared" si="74"/>
        <v>99.157135827675503</v>
      </c>
    </row>
    <row r="176" spans="1:7" ht="15.75" hidden="1" customHeight="1" x14ac:dyDescent="0.25">
      <c r="A176" s="32" t="s">
        <v>139</v>
      </c>
      <c r="B176" s="76">
        <v>183799</v>
      </c>
      <c r="C176" s="67">
        <v>122421.2</v>
      </c>
      <c r="D176" s="67">
        <v>90307.779129999995</v>
      </c>
      <c r="E176" s="67">
        <v>89138.147240000006</v>
      </c>
      <c r="F176" s="56">
        <f t="shared" si="76"/>
        <v>72.812672347599928</v>
      </c>
      <c r="G176" s="56">
        <f t="shared" si="74"/>
        <v>98.704838164255733</v>
      </c>
    </row>
    <row r="177" spans="1:7" ht="15.75" hidden="1" customHeight="1" x14ac:dyDescent="0.25">
      <c r="A177" s="32" t="s">
        <v>140</v>
      </c>
      <c r="B177" s="76">
        <v>4317</v>
      </c>
      <c r="C177" s="67">
        <v>4317</v>
      </c>
      <c r="D177" s="67">
        <v>4317</v>
      </c>
      <c r="E177" s="67">
        <v>4317</v>
      </c>
      <c r="F177" s="56">
        <f t="shared" si="76"/>
        <v>100</v>
      </c>
      <c r="G177" s="56">
        <f t="shared" si="74"/>
        <v>100</v>
      </c>
    </row>
    <row r="178" spans="1:7" ht="27.75" hidden="1" customHeight="1" x14ac:dyDescent="0.25">
      <c r="A178" s="32" t="s">
        <v>173</v>
      </c>
      <c r="B178" s="76">
        <v>22449</v>
      </c>
      <c r="C178" s="67">
        <v>66261.600000000006</v>
      </c>
      <c r="D178" s="67">
        <v>66261.545710000006</v>
      </c>
      <c r="E178" s="67">
        <v>66261.545710000006</v>
      </c>
      <c r="F178" s="56">
        <f t="shared" si="76"/>
        <v>99.999918067176168</v>
      </c>
      <c r="G178" s="56">
        <f t="shared" si="74"/>
        <v>100</v>
      </c>
    </row>
    <row r="179" spans="1:7" ht="27" hidden="1" customHeight="1" x14ac:dyDescent="0.25">
      <c r="A179" s="32" t="s">
        <v>178</v>
      </c>
      <c r="B179" s="76">
        <v>434395.9</v>
      </c>
      <c r="C179" s="67">
        <v>586154.5</v>
      </c>
      <c r="D179" s="67">
        <v>586154.5</v>
      </c>
      <c r="E179" s="67">
        <v>586154.5</v>
      </c>
      <c r="F179" s="56">
        <f t="shared" si="76"/>
        <v>100</v>
      </c>
      <c r="G179" s="56">
        <f t="shared" si="74"/>
        <v>100</v>
      </c>
    </row>
    <row r="180" spans="1:7" ht="25.5" hidden="1" customHeight="1" x14ac:dyDescent="0.25">
      <c r="A180" s="32" t="s">
        <v>141</v>
      </c>
      <c r="B180" s="76">
        <v>756660.7</v>
      </c>
      <c r="C180" s="67">
        <v>868372.4</v>
      </c>
      <c r="D180" s="67">
        <f>157243.5+677143.3</f>
        <v>834386.8</v>
      </c>
      <c r="E180" s="67">
        <f>157243.5+676360</f>
        <v>833603.5</v>
      </c>
      <c r="F180" s="56">
        <f t="shared" si="76"/>
        <v>95.996084168497291</v>
      </c>
      <c r="G180" s="56">
        <f t="shared" si="74"/>
        <v>99.90612267595796</v>
      </c>
    </row>
    <row r="181" spans="1:7" ht="15.75" hidden="1" customHeight="1" x14ac:dyDescent="0.25">
      <c r="A181" s="32" t="s">
        <v>174</v>
      </c>
      <c r="B181" s="76">
        <v>36444.5</v>
      </c>
      <c r="C181" s="67">
        <v>28491.4</v>
      </c>
      <c r="D181" s="67">
        <v>28491.4</v>
      </c>
      <c r="E181" s="67">
        <v>28491.4</v>
      </c>
      <c r="F181" s="56">
        <f t="shared" si="76"/>
        <v>100</v>
      </c>
      <c r="G181" s="56">
        <f t="shared" si="74"/>
        <v>100</v>
      </c>
    </row>
    <row r="182" spans="1:7" ht="15.75" hidden="1" customHeight="1" x14ac:dyDescent="0.25">
      <c r="A182" s="32" t="s">
        <v>142</v>
      </c>
      <c r="B182" s="76">
        <v>12957.2</v>
      </c>
      <c r="C182" s="67">
        <v>14667.2</v>
      </c>
      <c r="D182" s="67">
        <v>14667.2</v>
      </c>
      <c r="E182" s="67">
        <v>14667.2</v>
      </c>
      <c r="F182" s="56">
        <f t="shared" si="76"/>
        <v>100</v>
      </c>
      <c r="G182" s="56">
        <f t="shared" si="74"/>
        <v>100</v>
      </c>
    </row>
    <row r="183" spans="1:7" ht="28.5" hidden="1" customHeight="1" x14ac:dyDescent="0.25">
      <c r="A183" s="32" t="s">
        <v>143</v>
      </c>
      <c r="B183" s="76">
        <v>34152.400000000001</v>
      </c>
      <c r="C183" s="67">
        <v>334679</v>
      </c>
      <c r="D183" s="67">
        <f>37954.296+175454.71429</f>
        <v>213409.01029000001</v>
      </c>
      <c r="E183" s="67">
        <f>37954.296+117048.20281</f>
        <v>155002.49881000002</v>
      </c>
      <c r="F183" s="56">
        <f t="shared" si="76"/>
        <v>46.313780909468484</v>
      </c>
      <c r="G183" s="56">
        <f t="shared" si="74"/>
        <v>72.631656273260532</v>
      </c>
    </row>
    <row r="184" spans="1:7" ht="15" hidden="1" customHeight="1" x14ac:dyDescent="0.25">
      <c r="A184" s="32" t="s">
        <v>144</v>
      </c>
      <c r="B184" s="76">
        <v>663801.80000000005</v>
      </c>
      <c r="C184" s="67">
        <v>710948.3</v>
      </c>
      <c r="D184" s="67">
        <v>710948.27633000002</v>
      </c>
      <c r="E184" s="67">
        <v>710844.52431999997</v>
      </c>
      <c r="F184" s="56">
        <f t="shared" si="76"/>
        <v>99.985403203017711</v>
      </c>
      <c r="G184" s="56">
        <f t="shared" si="74"/>
        <v>99.985406531887861</v>
      </c>
    </row>
    <row r="185" spans="1:7" ht="15.75" hidden="1" customHeight="1" x14ac:dyDescent="0.25">
      <c r="A185" s="32" t="s">
        <v>145</v>
      </c>
      <c r="B185" s="76">
        <v>20586.5</v>
      </c>
      <c r="C185" s="67">
        <v>20586.5</v>
      </c>
      <c r="D185" s="67">
        <v>20586.5</v>
      </c>
      <c r="E185" s="67">
        <v>20586.5</v>
      </c>
      <c r="F185" s="56">
        <f t="shared" si="76"/>
        <v>100</v>
      </c>
      <c r="G185" s="56">
        <f t="shared" si="74"/>
        <v>100</v>
      </c>
    </row>
    <row r="186" spans="1:7" ht="15.75" hidden="1" customHeight="1" x14ac:dyDescent="0.25">
      <c r="A186" s="32" t="s">
        <v>146</v>
      </c>
      <c r="B186" s="76">
        <v>483049.4</v>
      </c>
      <c r="C186" s="67">
        <f>40650+39096.3+391256.2</f>
        <v>471002.5</v>
      </c>
      <c r="D186" s="67">
        <f>40650+34546.70331+383303.1+4549.67032+7953.1</f>
        <v>471002.57362999994</v>
      </c>
      <c r="E186" s="67">
        <f>40650+34546.70331+383303.1+4549.67032+7953.1</f>
        <v>471002.57362999994</v>
      </c>
      <c r="F186" s="56">
        <f t="shared" si="76"/>
        <v>100.0000156326134</v>
      </c>
      <c r="G186" s="56">
        <f>E186/D186*100</f>
        <v>100</v>
      </c>
    </row>
    <row r="187" spans="1:7" ht="15.75" hidden="1" customHeight="1" x14ac:dyDescent="0.25">
      <c r="A187" s="32" t="s">
        <v>147</v>
      </c>
      <c r="B187" s="76">
        <v>149891.70000000001</v>
      </c>
      <c r="C187" s="67">
        <v>149726.9</v>
      </c>
      <c r="D187" s="67">
        <v>149726.94808999999</v>
      </c>
      <c r="E187" s="67">
        <v>146971.58984</v>
      </c>
      <c r="F187" s="56">
        <f t="shared" si="76"/>
        <v>98.159776125732918</v>
      </c>
      <c r="G187" s="56">
        <f t="shared" si="74"/>
        <v>98.159744598317886</v>
      </c>
    </row>
    <row r="188" spans="1:7" ht="15.75" hidden="1" customHeight="1" x14ac:dyDescent="0.25">
      <c r="A188" s="32" t="s">
        <v>148</v>
      </c>
      <c r="B188" s="76">
        <v>85714.3</v>
      </c>
      <c r="C188" s="67">
        <v>85714.3</v>
      </c>
      <c r="D188" s="67">
        <v>85714.3</v>
      </c>
      <c r="E188" s="67">
        <v>85714.3</v>
      </c>
      <c r="F188" s="56">
        <f t="shared" si="76"/>
        <v>100</v>
      </c>
      <c r="G188" s="56">
        <f t="shared" si="74"/>
        <v>100</v>
      </c>
    </row>
    <row r="189" spans="1:7" ht="15.75" hidden="1" customHeight="1" x14ac:dyDescent="0.25">
      <c r="A189" s="32" t="s">
        <v>149</v>
      </c>
      <c r="B189" s="76">
        <v>183974</v>
      </c>
      <c r="C189" s="67">
        <v>96292</v>
      </c>
      <c r="D189" s="67">
        <f>6662.32047+89629.65</f>
        <v>96291.97047</v>
      </c>
      <c r="E189" s="67">
        <f>6662.32047+32783.82587</f>
        <v>39446.146339999999</v>
      </c>
      <c r="F189" s="56">
        <f t="shared" si="76"/>
        <v>40.96513348980185</v>
      </c>
      <c r="G189" s="56">
        <f t="shared" si="74"/>
        <v>40.965146052639497</v>
      </c>
    </row>
    <row r="190" spans="1:7" ht="28.5" hidden="1" customHeight="1" x14ac:dyDescent="0.25">
      <c r="A190" s="32" t="s">
        <v>179</v>
      </c>
      <c r="B190" s="76">
        <v>187668.2</v>
      </c>
      <c r="C190" s="67">
        <v>354442.5</v>
      </c>
      <c r="D190" s="67">
        <f>354442.4744+420</f>
        <v>354862.47440000001</v>
      </c>
      <c r="E190" s="67">
        <v>353700.46435999998</v>
      </c>
      <c r="F190" s="56">
        <f t="shared" si="76"/>
        <v>99.790647103549929</v>
      </c>
      <c r="G190" s="56">
        <f t="shared" si="74"/>
        <v>99.672546373925627</v>
      </c>
    </row>
    <row r="191" spans="1:7" ht="15.75" hidden="1" customHeight="1" x14ac:dyDescent="0.25">
      <c r="A191" s="32" t="s">
        <v>150</v>
      </c>
      <c r="B191" s="76">
        <v>50000</v>
      </c>
      <c r="C191" s="67">
        <v>50000</v>
      </c>
      <c r="D191" s="67">
        <v>50000</v>
      </c>
      <c r="E191" s="67">
        <v>50000</v>
      </c>
      <c r="F191" s="56">
        <f t="shared" si="76"/>
        <v>100</v>
      </c>
      <c r="G191" s="56">
        <f t="shared" si="74"/>
        <v>100</v>
      </c>
    </row>
    <row r="192" spans="1:7" ht="27.75" hidden="1" customHeight="1" x14ac:dyDescent="0.25">
      <c r="A192" s="33" t="s">
        <v>189</v>
      </c>
      <c r="B192" s="76">
        <v>868.6</v>
      </c>
      <c r="C192" s="67">
        <v>868.6</v>
      </c>
      <c r="D192" s="67">
        <f>210+658.6</f>
        <v>868.6</v>
      </c>
      <c r="E192" s="67">
        <f>210+658.57142</f>
        <v>868.57141999999999</v>
      </c>
      <c r="F192" s="56">
        <f t="shared" si="76"/>
        <v>99.996709647708954</v>
      </c>
      <c r="G192" s="56">
        <f t="shared" si="74"/>
        <v>99.996709647708954</v>
      </c>
    </row>
    <row r="193" spans="1:7" ht="14.25" hidden="1" customHeight="1" x14ac:dyDescent="0.25">
      <c r="A193" s="32" t="s">
        <v>165</v>
      </c>
      <c r="B193" s="76">
        <f t="shared" ref="B193" si="97">710.4+470.1</f>
        <v>1180.5</v>
      </c>
      <c r="C193" s="67">
        <f>710.4+470.1</f>
        <v>1180.5</v>
      </c>
      <c r="D193" s="67">
        <f>476.00816+470.10204</f>
        <v>946.11019999999996</v>
      </c>
      <c r="E193" s="67">
        <f>471.15+470.10204</f>
        <v>941.25203999999997</v>
      </c>
      <c r="F193" s="56">
        <f t="shared" si="76"/>
        <v>79.73333672172808</v>
      </c>
      <c r="G193" s="56">
        <f t="shared" si="74"/>
        <v>99.486512247727589</v>
      </c>
    </row>
    <row r="194" spans="1:7" hidden="1" x14ac:dyDescent="0.25">
      <c r="A194" s="32" t="s">
        <v>166</v>
      </c>
      <c r="B194" s="76">
        <v>28259.1</v>
      </c>
      <c r="C194" s="67">
        <v>125123.1</v>
      </c>
      <c r="D194" s="67">
        <v>124323.9</v>
      </c>
      <c r="E194" s="67">
        <v>124244.91709</v>
      </c>
      <c r="F194" s="56">
        <f t="shared" si="76"/>
        <v>99.298144858942905</v>
      </c>
      <c r="G194" s="56">
        <f t="shared" si="74"/>
        <v>99.936470051213007</v>
      </c>
    </row>
    <row r="195" spans="1:7" ht="27" hidden="1" customHeight="1" x14ac:dyDescent="0.25">
      <c r="A195" s="32" t="s">
        <v>168</v>
      </c>
      <c r="B195" s="76">
        <v>6898.2</v>
      </c>
      <c r="C195" s="67">
        <v>6898.2</v>
      </c>
      <c r="D195" s="67">
        <v>6898.16327</v>
      </c>
      <c r="E195" s="67">
        <v>6898.16327</v>
      </c>
      <c r="F195" s="56">
        <f t="shared" si="76"/>
        <v>99.999467542257406</v>
      </c>
      <c r="G195" s="56">
        <f t="shared" si="74"/>
        <v>100</v>
      </c>
    </row>
    <row r="196" spans="1:7" ht="15" hidden="1" customHeight="1" x14ac:dyDescent="0.25">
      <c r="A196" s="32" t="s">
        <v>169</v>
      </c>
      <c r="B196" s="76">
        <v>612950.1</v>
      </c>
      <c r="C196" s="67">
        <v>636347.5</v>
      </c>
      <c r="D196" s="67">
        <v>621287.5564</v>
      </c>
      <c r="E196" s="67">
        <v>615152.31836999999</v>
      </c>
      <c r="F196" s="56">
        <f t="shared" si="76"/>
        <v>96.669244142547896</v>
      </c>
      <c r="G196" s="56">
        <f t="shared" si="74"/>
        <v>99.012496231930001</v>
      </c>
    </row>
    <row r="197" spans="1:7" ht="24.75" hidden="1" customHeight="1" x14ac:dyDescent="0.25">
      <c r="A197" s="32" t="s">
        <v>170</v>
      </c>
      <c r="B197" s="76">
        <v>20711</v>
      </c>
      <c r="C197" s="67">
        <v>20711</v>
      </c>
      <c r="D197" s="67">
        <f>6400+1110.21978+6990.76923+802.30769+5407.69231</f>
        <v>20710.989009999998</v>
      </c>
      <c r="E197" s="67">
        <f>6400+1110.21978+6990.76923+803.30769+5407.689</f>
        <v>20711.985699999997</v>
      </c>
      <c r="F197" s="56">
        <f t="shared" si="76"/>
        <v>100.00475930664862</v>
      </c>
      <c r="G197" s="56">
        <f t="shared" si="74"/>
        <v>100.00481237279166</v>
      </c>
    </row>
    <row r="198" spans="1:7" hidden="1" x14ac:dyDescent="0.25">
      <c r="A198" s="32" t="s">
        <v>180</v>
      </c>
      <c r="B198" s="76">
        <v>151800</v>
      </c>
      <c r="C198" s="67">
        <v>138138</v>
      </c>
      <c r="D198" s="67">
        <v>138138</v>
      </c>
      <c r="E198" s="67">
        <v>0</v>
      </c>
      <c r="F198" s="56">
        <f t="shared" si="76"/>
        <v>0</v>
      </c>
      <c r="G198" s="56">
        <f t="shared" si="74"/>
        <v>0</v>
      </c>
    </row>
    <row r="199" spans="1:7" hidden="1" x14ac:dyDescent="0.25">
      <c r="A199" s="32" t="s">
        <v>181</v>
      </c>
      <c r="B199" s="76">
        <v>356015.2</v>
      </c>
      <c r="C199" s="67">
        <v>356015.2</v>
      </c>
      <c r="D199" s="67">
        <v>356015.2</v>
      </c>
      <c r="E199" s="67">
        <v>356015.2</v>
      </c>
      <c r="F199" s="56">
        <f t="shared" si="76"/>
        <v>100</v>
      </c>
      <c r="G199" s="56">
        <f t="shared" si="74"/>
        <v>100</v>
      </c>
    </row>
    <row r="200" spans="1:7" hidden="1" x14ac:dyDescent="0.25">
      <c r="A200" s="32" t="s">
        <v>183</v>
      </c>
      <c r="B200" s="76">
        <v>8570.6</v>
      </c>
      <c r="C200" s="67">
        <v>8522.2000000000007</v>
      </c>
      <c r="D200" s="67">
        <v>8522.2210799999993</v>
      </c>
      <c r="E200" s="67">
        <v>8522.2210799999993</v>
      </c>
      <c r="F200" s="56">
        <f t="shared" si="76"/>
        <v>100.00024735396961</v>
      </c>
      <c r="G200" s="56">
        <f t="shared" si="74"/>
        <v>100</v>
      </c>
    </row>
    <row r="201" spans="1:7" hidden="1" x14ac:dyDescent="0.25">
      <c r="A201" s="32" t="s">
        <v>182</v>
      </c>
      <c r="B201" s="76">
        <v>200000</v>
      </c>
      <c r="C201" s="67">
        <v>195405.5</v>
      </c>
      <c r="D201" s="67">
        <v>195405.47399</v>
      </c>
      <c r="E201" s="67">
        <v>195405.47399</v>
      </c>
      <c r="F201" s="56">
        <f t="shared" si="76"/>
        <v>99.999986689218062</v>
      </c>
      <c r="G201" s="56">
        <f t="shared" si="74"/>
        <v>100</v>
      </c>
    </row>
    <row r="202" spans="1:7" hidden="1" x14ac:dyDescent="0.25">
      <c r="A202" s="32" t="s">
        <v>171</v>
      </c>
      <c r="B202" s="76">
        <f>135172+85646.8+58125.9</f>
        <v>278944.7</v>
      </c>
      <c r="C202" s="67">
        <f>58125.9+3490.7+10500+288523.2+85646.8</f>
        <v>446286.60000000003</v>
      </c>
      <c r="D202" s="67">
        <f>85646.8107+58125.91+3490.65436+10500+288523.16267</f>
        <v>446286.53772999998</v>
      </c>
      <c r="E202" s="67">
        <f>85646.8107+58125.88999+3487.72675+580+262697.19357</f>
        <v>410537.62101</v>
      </c>
      <c r="F202" s="56">
        <f t="shared" si="76"/>
        <v>91.989681296727255</v>
      </c>
      <c r="G202" s="56">
        <f t="shared" si="74"/>
        <v>91.989694131973167</v>
      </c>
    </row>
    <row r="203" spans="1:7" hidden="1" x14ac:dyDescent="0.25">
      <c r="A203" s="32" t="s">
        <v>184</v>
      </c>
      <c r="B203" s="76">
        <v>600604</v>
      </c>
      <c r="C203" s="67">
        <v>336770</v>
      </c>
      <c r="D203" s="67">
        <v>408130</v>
      </c>
      <c r="E203" s="67">
        <v>408130</v>
      </c>
      <c r="F203" s="56">
        <f t="shared" si="76"/>
        <v>121.18953588502539</v>
      </c>
      <c r="G203" s="56">
        <f t="shared" si="74"/>
        <v>100</v>
      </c>
    </row>
    <row r="204" spans="1:7" ht="25.5" hidden="1" x14ac:dyDescent="0.25">
      <c r="A204" s="32" t="s">
        <v>185</v>
      </c>
      <c r="B204" s="76">
        <v>317831.3</v>
      </c>
      <c r="C204" s="67">
        <f>675221.6+314653</f>
        <v>989874.6</v>
      </c>
      <c r="D204" s="67">
        <f>675221.6+314653.015</f>
        <v>989874.61499999999</v>
      </c>
      <c r="E204" s="67">
        <f>675221.6+314653.015</f>
        <v>989874.61499999999</v>
      </c>
      <c r="F204" s="56">
        <f t="shared" si="76"/>
        <v>100.00000151534346</v>
      </c>
      <c r="G204" s="56">
        <f t="shared" ref="G204:G212" si="98">E204/D204*100</f>
        <v>100</v>
      </c>
    </row>
    <row r="205" spans="1:7" ht="15" hidden="1" customHeight="1" x14ac:dyDescent="0.25">
      <c r="A205" s="32" t="s">
        <v>195</v>
      </c>
      <c r="B205" s="76">
        <v>0</v>
      </c>
      <c r="C205" s="67">
        <v>55000</v>
      </c>
      <c r="D205" s="67">
        <v>55000</v>
      </c>
      <c r="E205" s="67">
        <v>55000</v>
      </c>
      <c r="F205" s="56">
        <f t="shared" ref="F205:F212" si="99">E205/C205*100</f>
        <v>100</v>
      </c>
      <c r="G205" s="56">
        <f t="shared" si="98"/>
        <v>100</v>
      </c>
    </row>
    <row r="206" spans="1:7" ht="15" hidden="1" customHeight="1" x14ac:dyDescent="0.25">
      <c r="A206" s="32" t="s">
        <v>194</v>
      </c>
      <c r="B206" s="76">
        <v>0</v>
      </c>
      <c r="C206" s="67">
        <v>1819890</v>
      </c>
      <c r="D206" s="67">
        <v>1819890</v>
      </c>
      <c r="E206" s="67">
        <v>1819890</v>
      </c>
      <c r="F206" s="56">
        <f t="shared" si="99"/>
        <v>100</v>
      </c>
      <c r="G206" s="56">
        <f t="shared" si="98"/>
        <v>100</v>
      </c>
    </row>
    <row r="207" spans="1:7" ht="16.5" hidden="1" customHeight="1" x14ac:dyDescent="0.25">
      <c r="A207" s="32" t="s">
        <v>196</v>
      </c>
      <c r="B207" s="76">
        <v>0</v>
      </c>
      <c r="C207" s="67">
        <v>20000</v>
      </c>
      <c r="D207" s="67">
        <v>20000</v>
      </c>
      <c r="E207" s="67">
        <v>20000</v>
      </c>
      <c r="F207" s="56">
        <f t="shared" si="99"/>
        <v>100</v>
      </c>
      <c r="G207" s="56">
        <f t="shared" si="98"/>
        <v>100</v>
      </c>
    </row>
    <row r="208" spans="1:7" ht="18" hidden="1" customHeight="1" x14ac:dyDescent="0.25">
      <c r="A208" s="32" t="s">
        <v>206</v>
      </c>
      <c r="B208" s="76">
        <v>0</v>
      </c>
      <c r="C208" s="67">
        <v>28967.4</v>
      </c>
      <c r="D208" s="67">
        <v>28967.401249999999</v>
      </c>
      <c r="E208" s="67">
        <v>28967.401249999999</v>
      </c>
      <c r="F208" s="56">
        <f t="shared" si="99"/>
        <v>100.0000043151957</v>
      </c>
      <c r="G208" s="56">
        <f t="shared" si="98"/>
        <v>100</v>
      </c>
    </row>
    <row r="209" spans="1:7" ht="16.5" hidden="1" customHeight="1" x14ac:dyDescent="0.25">
      <c r="A209" s="32" t="s">
        <v>200</v>
      </c>
      <c r="B209" s="76">
        <v>0</v>
      </c>
      <c r="C209" s="67">
        <v>557408.1</v>
      </c>
      <c r="D209" s="67">
        <v>557408.1</v>
      </c>
      <c r="E209" s="67">
        <v>557408.1</v>
      </c>
      <c r="F209" s="56">
        <f t="shared" si="99"/>
        <v>100</v>
      </c>
      <c r="G209" s="56">
        <f t="shared" si="98"/>
        <v>100</v>
      </c>
    </row>
    <row r="210" spans="1:7" ht="16.5" hidden="1" customHeight="1" x14ac:dyDescent="0.25">
      <c r="A210" s="32" t="s">
        <v>208</v>
      </c>
      <c r="B210" s="76">
        <v>0</v>
      </c>
      <c r="C210" s="67">
        <v>105000</v>
      </c>
      <c r="D210" s="67">
        <v>105000</v>
      </c>
      <c r="E210" s="67">
        <v>87867.339219999994</v>
      </c>
      <c r="F210" s="56">
        <f t="shared" si="99"/>
        <v>83.683180209523798</v>
      </c>
      <c r="G210" s="56">
        <f t="shared" si="98"/>
        <v>83.683180209523798</v>
      </c>
    </row>
    <row r="211" spans="1:7" ht="17.25" hidden="1" customHeight="1" x14ac:dyDescent="0.25">
      <c r="A211" s="32" t="s">
        <v>167</v>
      </c>
      <c r="B211" s="76">
        <v>25029.200000000001</v>
      </c>
      <c r="C211" s="67">
        <v>34171.800000000003</v>
      </c>
      <c r="D211" s="67">
        <v>34171.800000000003</v>
      </c>
      <c r="E211" s="67">
        <v>34169.894999999997</v>
      </c>
      <c r="F211" s="56">
        <f t="shared" si="99"/>
        <v>99.99442522781942</v>
      </c>
      <c r="G211" s="56">
        <f t="shared" si="98"/>
        <v>99.99442522781942</v>
      </c>
    </row>
    <row r="212" spans="1:7" ht="15.75" hidden="1" x14ac:dyDescent="0.25">
      <c r="A212" s="47" t="s">
        <v>202</v>
      </c>
      <c r="B212" s="45">
        <f t="shared" ref="B212:E212" si="100">B10+B37+B53+B84+B95+B114+B126+B140+B149+B154+B161+B164+B168+B172</f>
        <v>31014166.199999996</v>
      </c>
      <c r="C212" s="45">
        <f>C10+C37+C53+C84+C95+C114+C126+C140+C149+C154+C161+C164+C168+C172</f>
        <v>35088715.100000001</v>
      </c>
      <c r="D212" s="45">
        <f t="shared" si="100"/>
        <v>35125780.625729993</v>
      </c>
      <c r="E212" s="45">
        <f t="shared" si="100"/>
        <v>34067913.426259995</v>
      </c>
      <c r="F212" s="53">
        <f t="shared" si="99"/>
        <v>97.090797794017803</v>
      </c>
      <c r="G212" s="53">
        <f t="shared" si="98"/>
        <v>96.988345367347932</v>
      </c>
    </row>
    <row r="213" spans="1:7" x14ac:dyDescent="0.25">
      <c r="A213" s="7"/>
      <c r="B213" s="24"/>
      <c r="C213" s="24"/>
      <c r="D213" s="24"/>
      <c r="E213" s="24"/>
      <c r="F213" s="8"/>
      <c r="G213" s="8"/>
    </row>
  </sheetData>
  <mergeCells count="13">
    <mergeCell ref="F1:G1"/>
    <mergeCell ref="F3:G3"/>
    <mergeCell ref="C2:G2"/>
    <mergeCell ref="A6:A8"/>
    <mergeCell ref="A4:G4"/>
    <mergeCell ref="A5:G5"/>
    <mergeCell ref="F6:G6"/>
    <mergeCell ref="F7:F8"/>
    <mergeCell ref="G7:G8"/>
    <mergeCell ref="E6:E8"/>
    <mergeCell ref="D6:D8"/>
    <mergeCell ref="C6:C8"/>
    <mergeCell ref="B6:B8"/>
  </mergeCells>
  <pageMargins left="0.19685039370078741" right="0.19685039370078741" top="0.98425196850393704" bottom="0.39370078740157483" header="0.31496062992125984" footer="0.31496062992125984"/>
  <pageSetup paperSize="9" scale="77" fitToHeight="0" orientation="landscape" r:id="rId1"/>
  <headerFooter differentFirst="1">
    <oddHeader>&amp;C&amp;P</oddHeader>
    <evenHeader>&amp;C&amp;P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MAKET_GENERATOR&lt;/Code&gt;&#10;  &lt;ObjectCode&gt;MAKET_GENERATOR&lt;/ObjectCode&gt;&#10;  &lt;DocName&gt;Отчет о реализации региональных проектов (Мероприятия 2021)&lt;/DocName&gt;&#10;  &lt;VariantName&gt;Отчет о реализации региональных проектов (Мероприятия 2021)&lt;/VariantName&gt;&#10;  &lt;VariantLink&gt;1102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71E9F81-D1FE-4326-8EA4-D772726DE50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Пляскин Семен Геннадьевич</dc:creator>
  <cp:lastModifiedBy>Анна Николаевна Гантимурова</cp:lastModifiedBy>
  <cp:lastPrinted>2025-05-25T07:11:51Z</cp:lastPrinted>
  <dcterms:created xsi:type="dcterms:W3CDTF">2021-04-07T03:44:12Z</dcterms:created>
  <dcterms:modified xsi:type="dcterms:W3CDTF">2025-05-27T08:52:21Z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 реализации региональных проектов (Мероприятия 2021).xlsx</vt:lpwstr>
  </property>
  <property fmtid="{D5CDD505-2E9C-101B-9397-08002B2CF9AE}" pid="3" name="Название отчета">
    <vt:lpwstr>Отчет о реализации региональных проектов (Мероприятия 2021).xlsx</vt:lpwstr>
  </property>
  <property fmtid="{D5CDD505-2E9C-101B-9397-08002B2CF9AE}" pid="4" name="Версия клиента">
    <vt:lpwstr>20.2.14.1140 (.NET 4.0)</vt:lpwstr>
  </property>
  <property fmtid="{D5CDD505-2E9C-101B-9397-08002B2CF9AE}" pid="5" name="Версия базы">
    <vt:lpwstr>20.2.2923.1479711127</vt:lpwstr>
  </property>
  <property fmtid="{D5CDD505-2E9C-101B-9397-08002B2CF9AE}" pid="6" name="Тип сервера">
    <vt:lpwstr>MSSQL</vt:lpwstr>
  </property>
  <property fmtid="{D5CDD505-2E9C-101B-9397-08002B2CF9AE}" pid="7" name="Сервер">
    <vt:lpwstr>10.1.3.12</vt:lpwstr>
  </property>
  <property fmtid="{D5CDD505-2E9C-101B-9397-08002B2CF9AE}" pid="8" name="База">
    <vt:lpwstr>bud_2021</vt:lpwstr>
  </property>
  <property fmtid="{D5CDD505-2E9C-101B-9397-08002B2CF9AE}" pid="9" name="Пользователь">
    <vt:lpwstr>пляскин</vt:lpwstr>
  </property>
  <property fmtid="{D5CDD505-2E9C-101B-9397-08002B2CF9AE}" pid="10" name="Шаблон">
    <vt:lpwstr>np_po_merop.xlt</vt:lpwstr>
  </property>
  <property fmtid="{D5CDD505-2E9C-101B-9397-08002B2CF9AE}" pid="11" name="Локальная база">
    <vt:lpwstr>используется</vt:lpwstr>
  </property>
</Properties>
</file>