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680" windowHeight="91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Лист1!$A$1:$KF$44</definedName>
  </definedNames>
  <calcPr calcId="145621"/>
</workbook>
</file>

<file path=xl/calcChain.xml><?xml version="1.0" encoding="utf-8"?>
<calcChain xmlns="http://schemas.openxmlformats.org/spreadsheetml/2006/main">
  <c r="EP44" i="1" l="1"/>
  <c r="EM44" i="1"/>
  <c r="EJ44" i="1"/>
  <c r="EG43" i="1"/>
  <c r="EG44" i="1" s="1"/>
  <c r="EH44" i="1"/>
  <c r="HJ44" i="1"/>
  <c r="KD38" i="1"/>
  <c r="KE6" i="1"/>
  <c r="KD6" i="1"/>
  <c r="KD8" i="1"/>
  <c r="KE8" i="1"/>
  <c r="KD9" i="1"/>
  <c r="KE9" i="1"/>
  <c r="KD10" i="1"/>
  <c r="KE10" i="1"/>
  <c r="KD11" i="1"/>
  <c r="KE11" i="1"/>
  <c r="KD12" i="1"/>
  <c r="KE12" i="1"/>
  <c r="KD13" i="1"/>
  <c r="KE13" i="1"/>
  <c r="KD14" i="1"/>
  <c r="KE14" i="1"/>
  <c r="KD15" i="1"/>
  <c r="KE15" i="1"/>
  <c r="KD16" i="1"/>
  <c r="KE16" i="1"/>
  <c r="KD17" i="1"/>
  <c r="KE17" i="1"/>
  <c r="KD18" i="1"/>
  <c r="KE18" i="1"/>
  <c r="KD19" i="1"/>
  <c r="KE19" i="1"/>
  <c r="KD20" i="1"/>
  <c r="KE20" i="1"/>
  <c r="KD21" i="1"/>
  <c r="KE21" i="1"/>
  <c r="KD22" i="1"/>
  <c r="KE22" i="1"/>
  <c r="KD23" i="1"/>
  <c r="KE23" i="1"/>
  <c r="KD24" i="1"/>
  <c r="KE24" i="1"/>
  <c r="KD25" i="1"/>
  <c r="KE25" i="1"/>
  <c r="KD26" i="1"/>
  <c r="KE26" i="1"/>
  <c r="KD27" i="1"/>
  <c r="KE27" i="1"/>
  <c r="KD28" i="1"/>
  <c r="KE28" i="1"/>
  <c r="KD29" i="1"/>
  <c r="KE29" i="1"/>
  <c r="KD30" i="1"/>
  <c r="KE30" i="1"/>
  <c r="KD31" i="1"/>
  <c r="KE31" i="1"/>
  <c r="KD32" i="1"/>
  <c r="KE32" i="1"/>
  <c r="KD33" i="1"/>
  <c r="KE33" i="1"/>
  <c r="KD34" i="1"/>
  <c r="KE34" i="1"/>
  <c r="KD35" i="1"/>
  <c r="KE35" i="1"/>
  <c r="KD36" i="1"/>
  <c r="KE36" i="1"/>
  <c r="KD37" i="1"/>
  <c r="KE37" i="1"/>
  <c r="KE7" i="1"/>
  <c r="KD7" i="1"/>
  <c r="KE44" i="1"/>
  <c r="KE38" i="1"/>
  <c r="HK44" i="1"/>
  <c r="O44" i="1"/>
  <c r="N44" i="1"/>
  <c r="O38" i="1"/>
  <c r="N38" i="1"/>
  <c r="N40" i="1"/>
  <c r="O40" i="1"/>
  <c r="N41" i="1"/>
  <c r="O41" i="1"/>
  <c r="N42" i="1"/>
  <c r="O42" i="1"/>
  <c r="N43" i="1"/>
  <c r="O43" i="1"/>
  <c r="O39" i="1"/>
  <c r="KE39" i="1" s="1"/>
  <c r="N39" i="1"/>
  <c r="KD39" i="1" s="1"/>
  <c r="O6" i="1"/>
  <c r="N6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O7" i="1"/>
  <c r="N7" i="1"/>
  <c r="D44" i="1"/>
  <c r="C44" i="1"/>
  <c r="B44" i="1"/>
  <c r="KD40" i="1"/>
  <c r="KE40" i="1"/>
  <c r="KD41" i="1"/>
  <c r="KE41" i="1"/>
  <c r="KD42" i="1"/>
  <c r="KE42" i="1"/>
  <c r="KE43" i="1"/>
  <c r="JM35" i="1"/>
  <c r="ES44" i="1"/>
  <c r="ET38" i="1"/>
  <c r="ET44" i="1"/>
  <c r="KD43" i="1" l="1"/>
  <c r="KD44" i="1" s="1"/>
  <c r="IJ43" i="1"/>
  <c r="EZ43" i="1"/>
  <c r="EW43" i="1" s="1"/>
  <c r="ET43" i="1" s="1"/>
  <c r="EQ43" i="1" s="1"/>
  <c r="EN43" i="1" s="1"/>
  <c r="EK43" i="1" s="1"/>
  <c r="CG43" i="1"/>
  <c r="AK43" i="1"/>
  <c r="C43" i="1"/>
  <c r="JU6" i="1" l="1"/>
  <c r="JU44" i="1" s="1"/>
  <c r="HK7" i="1" l="1"/>
  <c r="HK8" i="1"/>
  <c r="HK9" i="1"/>
  <c r="HK10" i="1"/>
  <c r="HK11" i="1"/>
  <c r="HK12" i="1"/>
  <c r="HK13" i="1"/>
  <c r="HK14" i="1"/>
  <c r="HK15" i="1"/>
  <c r="HK16" i="1"/>
  <c r="HK17" i="1"/>
  <c r="HK18" i="1"/>
  <c r="HK19" i="1"/>
  <c r="HK20" i="1"/>
  <c r="HK21" i="1"/>
  <c r="HK22" i="1"/>
  <c r="HK23" i="1"/>
  <c r="HK24" i="1"/>
  <c r="HK25" i="1"/>
  <c r="HK26" i="1"/>
  <c r="HK27" i="1"/>
  <c r="HK28" i="1"/>
  <c r="HK29" i="1"/>
  <c r="HK30" i="1"/>
  <c r="HK31" i="1"/>
  <c r="HK32" i="1"/>
  <c r="HK33" i="1"/>
  <c r="HK34" i="1"/>
  <c r="HK35" i="1"/>
  <c r="HK36" i="1"/>
  <c r="HK37" i="1"/>
  <c r="HK38" i="1"/>
  <c r="HK39" i="1"/>
  <c r="HK40" i="1"/>
  <c r="HK41" i="1"/>
  <c r="HK42" i="1"/>
  <c r="HJ7" i="1"/>
  <c r="HJ8" i="1"/>
  <c r="HJ9" i="1"/>
  <c r="HJ10" i="1"/>
  <c r="HJ11" i="1"/>
  <c r="HJ12" i="1"/>
  <c r="HJ13" i="1"/>
  <c r="HJ14" i="1"/>
  <c r="HJ15" i="1"/>
  <c r="HJ16" i="1"/>
  <c r="HJ17" i="1"/>
  <c r="HJ18" i="1"/>
  <c r="HJ19" i="1"/>
  <c r="HJ20" i="1"/>
  <c r="HJ21" i="1"/>
  <c r="HJ22" i="1"/>
  <c r="HJ23" i="1"/>
  <c r="HJ24" i="1"/>
  <c r="HJ25" i="1"/>
  <c r="HJ26" i="1"/>
  <c r="HJ27" i="1"/>
  <c r="HJ28" i="1"/>
  <c r="HJ29" i="1"/>
  <c r="HJ30" i="1"/>
  <c r="HJ31" i="1"/>
  <c r="HJ32" i="1"/>
  <c r="HJ33" i="1"/>
  <c r="HJ34" i="1"/>
  <c r="HJ35" i="1"/>
  <c r="HJ36" i="1"/>
  <c r="HJ37" i="1"/>
  <c r="HJ38" i="1"/>
  <c r="HJ39" i="1"/>
  <c r="HJ40" i="1"/>
  <c r="HJ41" i="1"/>
  <c r="HJ42" i="1"/>
  <c r="HJ43" i="1"/>
  <c r="P43" i="1"/>
  <c r="KC26" i="1"/>
  <c r="KC35" i="1"/>
  <c r="KB38" i="1"/>
  <c r="KA38" i="1"/>
  <c r="KB6" i="1"/>
  <c r="KA6" i="1"/>
  <c r="HL43" i="1" l="1"/>
  <c r="KB44" i="1"/>
  <c r="KA44" i="1"/>
  <c r="KC6" i="1"/>
  <c r="JT37" i="1"/>
  <c r="JT23" i="1"/>
  <c r="DQ8" i="1"/>
  <c r="DQ10" i="1"/>
  <c r="DQ12" i="1"/>
  <c r="DQ14" i="1"/>
  <c r="DQ15" i="1"/>
  <c r="DQ19" i="1"/>
  <c r="DQ21" i="1"/>
  <c r="DQ22" i="1"/>
  <c r="DQ23" i="1"/>
  <c r="DQ29" i="1"/>
  <c r="DQ32" i="1"/>
  <c r="DQ35" i="1"/>
  <c r="DQ37" i="1"/>
  <c r="CV40" i="1"/>
  <c r="CV41" i="1"/>
  <c r="G7" i="1"/>
  <c r="C7" i="1"/>
  <c r="C39" i="1"/>
  <c r="KC44" i="1" l="1"/>
  <c r="JH41" i="1"/>
  <c r="Q6" i="1"/>
  <c r="R6" i="1"/>
  <c r="U6" i="1"/>
  <c r="AA6" i="1"/>
  <c r="AD6" i="1"/>
  <c r="AG6" i="1"/>
  <c r="AI6" i="1"/>
  <c r="AJ6" i="1"/>
  <c r="AM6" i="1"/>
  <c r="AP6" i="1"/>
  <c r="AS6" i="1"/>
  <c r="AU6" i="1"/>
  <c r="AX6" i="1"/>
  <c r="AY6" i="1"/>
  <c r="BA6" i="1"/>
  <c r="BB6" i="1"/>
  <c r="BD6" i="1"/>
  <c r="BE6" i="1"/>
  <c r="BK6" i="1"/>
  <c r="BM6" i="1"/>
  <c r="BN6" i="1"/>
  <c r="BQ6" i="1"/>
  <c r="BS6" i="1"/>
  <c r="BT6" i="1"/>
  <c r="BW6" i="1"/>
  <c r="BY6" i="1"/>
  <c r="CA6" i="1" s="1"/>
  <c r="BZ6" i="1"/>
  <c r="II41" i="1"/>
  <c r="IM15" i="1"/>
  <c r="IY15" i="1"/>
  <c r="IR6" i="1"/>
  <c r="IS15" i="1"/>
  <c r="IS21" i="1"/>
  <c r="IS24" i="1"/>
  <c r="IS33" i="1"/>
  <c r="IS35" i="1"/>
  <c r="JE21" i="1"/>
  <c r="JE33" i="1"/>
  <c r="AZ6" i="1" l="1"/>
  <c r="S6" i="1"/>
  <c r="JM28" i="1"/>
  <c r="JY38" i="1"/>
  <c r="JY44" i="1" s="1"/>
  <c r="JX38" i="1"/>
  <c r="JY6" i="1"/>
  <c r="JX6" i="1"/>
  <c r="HX8" i="1"/>
  <c r="HX9" i="1"/>
  <c r="HX10" i="1"/>
  <c r="HX11" i="1"/>
  <c r="HX13" i="1"/>
  <c r="HX16" i="1"/>
  <c r="HX17" i="1"/>
  <c r="HX19" i="1"/>
  <c r="HX20" i="1"/>
  <c r="HX22" i="1"/>
  <c r="HX23" i="1"/>
  <c r="HX24" i="1"/>
  <c r="HX25" i="1"/>
  <c r="HX26" i="1"/>
  <c r="HX27" i="1"/>
  <c r="HX28" i="1"/>
  <c r="HX29" i="1"/>
  <c r="HX30" i="1"/>
  <c r="HX31" i="1"/>
  <c r="HX32" i="1"/>
  <c r="HX34" i="1"/>
  <c r="HX35" i="1"/>
  <c r="HX36" i="1"/>
  <c r="HX37" i="1"/>
  <c r="HX7" i="1"/>
  <c r="HW6" i="1"/>
  <c r="HV6" i="1"/>
  <c r="HX40" i="1"/>
  <c r="HX41" i="1"/>
  <c r="HW38" i="1"/>
  <c r="HV38" i="1"/>
  <c r="HU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25" i="1"/>
  <c r="HU26" i="1"/>
  <c r="HU27" i="1"/>
  <c r="HU28" i="1"/>
  <c r="HU29" i="1"/>
  <c r="HU30" i="1"/>
  <c r="HU31" i="1"/>
  <c r="HU32" i="1"/>
  <c r="HU33" i="1"/>
  <c r="HU34" i="1"/>
  <c r="HU35" i="1"/>
  <c r="HU36" i="1"/>
  <c r="HU37" i="1"/>
  <c r="HU39" i="1"/>
  <c r="HU40" i="1"/>
  <c r="HU41" i="1"/>
  <c r="HU42" i="1"/>
  <c r="HU7" i="1"/>
  <c r="HT38" i="1"/>
  <c r="HS38" i="1"/>
  <c r="HT6" i="1"/>
  <c r="HS6" i="1"/>
  <c r="JX44" i="1" l="1"/>
  <c r="JZ44" i="1" s="1"/>
  <c r="HX6" i="1"/>
  <c r="HV44" i="1"/>
  <c r="HX38" i="1"/>
  <c r="HW44" i="1"/>
  <c r="HT44" i="1"/>
  <c r="HU6" i="1"/>
  <c r="HU38" i="1"/>
  <c r="HS44" i="1"/>
  <c r="HU44" i="1" l="1"/>
  <c r="HX44" i="1"/>
  <c r="HP6" i="1"/>
  <c r="HQ44" i="1"/>
  <c r="HQ38" i="1"/>
  <c r="HP38" i="1"/>
  <c r="HP44" i="1" s="1"/>
  <c r="HR44" i="1" s="1"/>
  <c r="HO8" i="1"/>
  <c r="HO9" i="1"/>
  <c r="HO10" i="1"/>
  <c r="HO11" i="1"/>
  <c r="HO12" i="1"/>
  <c r="HO13" i="1"/>
  <c r="HO14" i="1"/>
  <c r="HO15" i="1"/>
  <c r="HO16" i="1"/>
  <c r="HO17" i="1"/>
  <c r="HO18" i="1"/>
  <c r="HO19" i="1"/>
  <c r="HO20" i="1"/>
  <c r="HO21" i="1"/>
  <c r="HO22" i="1"/>
  <c r="HO23" i="1"/>
  <c r="HO24" i="1"/>
  <c r="HO25" i="1"/>
  <c r="HO26" i="1"/>
  <c r="HO27" i="1"/>
  <c r="HO28" i="1"/>
  <c r="HO29" i="1"/>
  <c r="HO30" i="1"/>
  <c r="HO31" i="1"/>
  <c r="HO32" i="1"/>
  <c r="HO33" i="1"/>
  <c r="HO34" i="1"/>
  <c r="HO35" i="1"/>
  <c r="HO36" i="1"/>
  <c r="HO37" i="1"/>
  <c r="HO39" i="1"/>
  <c r="HO40" i="1"/>
  <c r="HO41" i="1"/>
  <c r="HO42" i="1"/>
  <c r="HO7" i="1"/>
  <c r="GL38" i="1"/>
  <c r="FK38" i="1" l="1"/>
  <c r="FI29" i="1"/>
  <c r="FB6" i="1"/>
  <c r="FC6" i="1"/>
  <c r="FD7" i="1"/>
  <c r="FD8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24" i="1"/>
  <c r="FD25" i="1"/>
  <c r="FD26" i="1"/>
  <c r="FD27" i="1"/>
  <c r="FD28" i="1"/>
  <c r="FD29" i="1"/>
  <c r="FD30" i="1"/>
  <c r="FD31" i="1"/>
  <c r="FD32" i="1"/>
  <c r="FD33" i="1"/>
  <c r="FD34" i="1"/>
  <c r="FD35" i="1"/>
  <c r="FD36" i="1"/>
  <c r="FD37" i="1"/>
  <c r="FB38" i="1"/>
  <c r="FB44" i="1" s="1"/>
  <c r="FC38" i="1"/>
  <c r="FD39" i="1"/>
  <c r="FD40" i="1"/>
  <c r="FD41" i="1"/>
  <c r="FD42" i="1"/>
  <c r="FD6" i="1" l="1"/>
  <c r="FD38" i="1"/>
  <c r="FC44" i="1"/>
  <c r="FD44" i="1" s="1"/>
  <c r="EP7" i="1" l="1"/>
  <c r="EP8" i="1"/>
  <c r="EP10" i="1"/>
  <c r="EP11" i="1"/>
  <c r="EP15" i="1"/>
  <c r="EP17" i="1"/>
  <c r="EP18" i="1"/>
  <c r="EP20" i="1"/>
  <c r="EP21" i="1"/>
  <c r="EP23" i="1"/>
  <c r="EP24" i="1"/>
  <c r="EP29" i="1"/>
  <c r="EP34" i="1"/>
  <c r="EP35" i="1"/>
  <c r="EP37" i="1"/>
  <c r="DG41" i="1"/>
  <c r="AO10" i="1"/>
  <c r="AO7" i="1"/>
  <c r="AO41" i="1"/>
  <c r="Z41" i="1"/>
  <c r="Q40" i="1"/>
  <c r="AO34" i="1"/>
  <c r="AO27" i="1"/>
  <c r="AO26" i="1"/>
  <c r="AO15" i="1"/>
  <c r="AF15" i="1"/>
  <c r="AF6" i="1" s="1"/>
  <c r="AH6" i="1" s="1"/>
  <c r="AC15" i="1"/>
  <c r="Z35" i="1"/>
  <c r="Z34" i="1"/>
  <c r="Z14" i="1"/>
  <c r="Z11" i="1"/>
  <c r="X26" i="1"/>
  <c r="W41" i="1"/>
  <c r="EE41" i="1"/>
  <c r="DG35" i="1"/>
  <c r="DG23" i="1"/>
  <c r="DG24" i="1"/>
  <c r="Z6" i="1" l="1"/>
  <c r="AB6" i="1" s="1"/>
  <c r="AC6" i="1"/>
  <c r="AE6" i="1" s="1"/>
  <c r="X6" i="1"/>
  <c r="AO6" i="1"/>
  <c r="AQ6" i="1" s="1"/>
  <c r="CV24" i="1"/>
  <c r="CV16" i="1"/>
  <c r="CO29" i="1"/>
  <c r="CO37" i="1"/>
  <c r="CO34" i="1"/>
  <c r="CO14" i="1"/>
  <c r="CO15" i="1"/>
  <c r="CO13" i="1"/>
  <c r="CO40" i="1"/>
  <c r="CO23" i="1"/>
  <c r="CO11" i="1"/>
  <c r="CO22" i="1"/>
  <c r="CC37" i="1"/>
  <c r="CC36" i="1"/>
  <c r="CC33" i="1"/>
  <c r="CC29" i="1"/>
  <c r="CC27" i="1"/>
  <c r="CC26" i="1"/>
  <c r="CC25" i="1"/>
  <c r="CC23" i="1"/>
  <c r="CC21" i="1"/>
  <c r="CC20" i="1"/>
  <c r="CC19" i="1"/>
  <c r="CB15" i="1"/>
  <c r="CC15" i="1"/>
  <c r="CC12" i="1"/>
  <c r="CC9" i="1"/>
  <c r="CB37" i="1"/>
  <c r="CB36" i="1"/>
  <c r="CB33" i="1"/>
  <c r="CB29" i="1"/>
  <c r="CB27" i="1"/>
  <c r="CB26" i="1"/>
  <c r="CB25" i="1"/>
  <c r="CB23" i="1"/>
  <c r="CB21" i="1"/>
  <c r="CB20" i="1"/>
  <c r="CB19" i="1"/>
  <c r="CB13" i="1"/>
  <c r="CB12" i="1"/>
  <c r="CB10" i="1"/>
  <c r="CB9" i="1"/>
  <c r="CB7" i="1"/>
  <c r="CF11" i="1"/>
  <c r="CF37" i="1"/>
  <c r="CF19" i="1"/>
  <c r="CF13" i="1"/>
  <c r="CF10" i="1"/>
  <c r="CF7" i="1"/>
  <c r="CF38" i="1"/>
  <c r="CA42" i="1"/>
  <c r="CA39" i="1"/>
  <c r="CA11" i="1"/>
  <c r="CA14" i="1"/>
  <c r="CA15" i="1"/>
  <c r="CA17" i="1"/>
  <c r="CA21" i="1"/>
  <c r="CA25" i="1"/>
  <c r="CA27" i="1"/>
  <c r="CA28" i="1"/>
  <c r="CA29" i="1"/>
  <c r="CA31" i="1"/>
  <c r="CA32" i="1"/>
  <c r="CA33" i="1"/>
  <c r="CA34" i="1"/>
  <c r="CA35" i="1"/>
  <c r="CA37" i="1"/>
  <c r="CA7" i="1"/>
  <c r="BZ38" i="1"/>
  <c r="BY38" i="1"/>
  <c r="CA38" i="1" s="1"/>
  <c r="BU41" i="1"/>
  <c r="CB6" i="1" l="1"/>
  <c r="CC6" i="1"/>
  <c r="BH7" i="1"/>
  <c r="BH9" i="1"/>
  <c r="BH11" i="1"/>
  <c r="BH18" i="1"/>
  <c r="BH19" i="1"/>
  <c r="BH20" i="1"/>
  <c r="BH21" i="1"/>
  <c r="BH23" i="1"/>
  <c r="BH25" i="1"/>
  <c r="BH26" i="1"/>
  <c r="BH27" i="1"/>
  <c r="BH29" i="1"/>
  <c r="BH34" i="1"/>
  <c r="BH38" i="1"/>
  <c r="AZ40" i="1"/>
  <c r="AZ41" i="1"/>
  <c r="AZ42" i="1"/>
  <c r="AZ39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7" i="1"/>
  <c r="AY38" i="1"/>
  <c r="AX38" i="1"/>
  <c r="AV7" i="1"/>
  <c r="AV13" i="1"/>
  <c r="AV18" i="1"/>
  <c r="AV19" i="1"/>
  <c r="AV20" i="1"/>
  <c r="AV21" i="1"/>
  <c r="AV23" i="1"/>
  <c r="AV25" i="1"/>
  <c r="AV26" i="1"/>
  <c r="AV27" i="1"/>
  <c r="AV29" i="1"/>
  <c r="AV30" i="1"/>
  <c r="AV32" i="1"/>
  <c r="AV35" i="1"/>
  <c r="AV37" i="1"/>
  <c r="AV33" i="1"/>
  <c r="AV34" i="1"/>
  <c r="AM38" i="1"/>
  <c r="AL17" i="1"/>
  <c r="W9" i="1"/>
  <c r="W13" i="1"/>
  <c r="W25" i="1"/>
  <c r="W27" i="1"/>
  <c r="W26" i="1"/>
  <c r="BH6" i="1" l="1"/>
  <c r="AV6" i="1"/>
  <c r="AW6" i="1" s="1"/>
  <c r="W6" i="1"/>
  <c r="Y6" i="1" s="1"/>
  <c r="AL6" i="1"/>
  <c r="AN6" i="1" s="1"/>
  <c r="AZ38" i="1"/>
  <c r="AX44" i="1"/>
  <c r="AY44" i="1"/>
  <c r="AZ44" i="1" l="1"/>
  <c r="IJ41" i="1" l="1"/>
  <c r="JV38" i="1"/>
  <c r="JW41" i="1"/>
  <c r="JW35" i="1"/>
  <c r="JW17" i="1"/>
  <c r="JV6" i="1"/>
  <c r="JS38" i="1"/>
  <c r="JR38" i="1"/>
  <c r="JS6" i="1"/>
  <c r="JR6" i="1"/>
  <c r="JN10" i="1"/>
  <c r="JN11" i="1"/>
  <c r="JN15" i="1"/>
  <c r="JN28" i="1"/>
  <c r="JN14" i="1"/>
  <c r="JK12" i="1"/>
  <c r="JK15" i="1"/>
  <c r="JK24" i="1"/>
  <c r="JJ38" i="1"/>
  <c r="JI38" i="1"/>
  <c r="JJ6" i="1"/>
  <c r="JI6" i="1"/>
  <c r="JK41" i="1"/>
  <c r="JH40" i="1"/>
  <c r="JH39" i="1"/>
  <c r="JH35" i="1"/>
  <c r="JH29" i="1"/>
  <c r="JH27" i="1"/>
  <c r="JH26" i="1"/>
  <c r="JH22" i="1"/>
  <c r="JH14" i="1"/>
  <c r="JH13" i="1"/>
  <c r="JH11" i="1"/>
  <c r="JH7" i="1"/>
  <c r="JG38" i="1"/>
  <c r="JG6" i="1"/>
  <c r="JH9" i="1"/>
  <c r="JH36" i="1"/>
  <c r="JD6" i="1"/>
  <c r="JD38" i="1"/>
  <c r="JC38" i="1"/>
  <c r="JB12" i="1"/>
  <c r="JB15" i="1"/>
  <c r="JB24" i="1"/>
  <c r="JB41" i="1"/>
  <c r="JA6" i="1"/>
  <c r="IZ6" i="1"/>
  <c r="JA38" i="1"/>
  <c r="IZ38" i="1"/>
  <c r="IX38" i="1"/>
  <c r="IW38" i="1"/>
  <c r="IX6" i="1"/>
  <c r="IW6" i="1"/>
  <c r="IU6" i="1"/>
  <c r="IV36" i="1"/>
  <c r="IV29" i="1"/>
  <c r="IV27" i="1"/>
  <c r="IV26" i="1"/>
  <c r="IV14" i="1"/>
  <c r="IV9" i="1"/>
  <c r="IV7" i="1"/>
  <c r="IV13" i="1"/>
  <c r="IV22" i="1"/>
  <c r="IT38" i="1"/>
  <c r="IO6" i="1"/>
  <c r="IO44" i="1" s="1"/>
  <c r="IN15" i="1"/>
  <c r="IH38" i="1"/>
  <c r="IJ7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25" i="1"/>
  <c r="IJ26" i="1"/>
  <c r="IJ27" i="1"/>
  <c r="IJ28" i="1"/>
  <c r="IJ29" i="1"/>
  <c r="IJ30" i="1"/>
  <c r="IJ31" i="1"/>
  <c r="IJ32" i="1"/>
  <c r="IJ33" i="1"/>
  <c r="IJ34" i="1"/>
  <c r="IJ35" i="1"/>
  <c r="IJ36" i="1"/>
  <c r="IJ37" i="1"/>
  <c r="IJ39" i="1"/>
  <c r="IJ40" i="1"/>
  <c r="IJ42" i="1"/>
  <c r="IF38" i="1"/>
  <c r="IG21" i="1"/>
  <c r="IE38" i="1"/>
  <c r="IE6" i="1"/>
  <c r="ID37" i="1"/>
  <c r="ID34" i="1"/>
  <c r="ID33" i="1"/>
  <c r="ID30" i="1"/>
  <c r="ID29" i="1"/>
  <c r="ID26" i="1"/>
  <c r="ID25" i="1"/>
  <c r="ID22" i="1"/>
  <c r="ID21" i="1"/>
  <c r="ID10" i="1"/>
  <c r="ID9" i="1"/>
  <c r="ID42" i="1"/>
  <c r="ID41" i="1"/>
  <c r="ID7" i="1"/>
  <c r="ID8" i="1"/>
  <c r="ID11" i="1"/>
  <c r="ID12" i="1"/>
  <c r="ID15" i="1"/>
  <c r="ID16" i="1"/>
  <c r="ID19" i="1"/>
  <c r="ID20" i="1"/>
  <c r="ID23" i="1"/>
  <c r="ID24" i="1"/>
  <c r="ID27" i="1"/>
  <c r="ID28" i="1"/>
  <c r="ID31" i="1"/>
  <c r="ID32" i="1"/>
  <c r="ID35" i="1"/>
  <c r="ID36" i="1"/>
  <c r="ID39" i="1"/>
  <c r="ID40" i="1"/>
  <c r="IC6" i="1"/>
  <c r="IC38" i="1"/>
  <c r="HZ6" i="1"/>
  <c r="HY6" i="1"/>
  <c r="HY44" i="1" s="1"/>
  <c r="HN6" i="1"/>
  <c r="HN38" i="1"/>
  <c r="IN6" i="1" l="1"/>
  <c r="IN44" i="1" s="1"/>
  <c r="IP44" i="1" s="1"/>
  <c r="IP15" i="1"/>
  <c r="IP6" i="1" s="1"/>
  <c r="HL15" i="1"/>
  <c r="JN35" i="1"/>
  <c r="IY6" i="1"/>
  <c r="JT6" i="1"/>
  <c r="JD44" i="1"/>
  <c r="HL12" i="1"/>
  <c r="HN44" i="1"/>
  <c r="HL23" i="1"/>
  <c r="HL25" i="1"/>
  <c r="HL21" i="1"/>
  <c r="HL33" i="1"/>
  <c r="HL9" i="1"/>
  <c r="HL26" i="1"/>
  <c r="HL34" i="1"/>
  <c r="IV40" i="1"/>
  <c r="IW44" i="1"/>
  <c r="JC6" i="1"/>
  <c r="JC44" i="1" s="1"/>
  <c r="HL8" i="1"/>
  <c r="HL7" i="1"/>
  <c r="HL29" i="1"/>
  <c r="HL37" i="1"/>
  <c r="HL18" i="1"/>
  <c r="ID18" i="1"/>
  <c r="IV11" i="1"/>
  <c r="IX44" i="1"/>
  <c r="IY44" i="1" s="1"/>
  <c r="JJ44" i="1"/>
  <c r="ID14" i="1"/>
  <c r="HL13" i="1"/>
  <c r="HL17" i="1"/>
  <c r="JV44" i="1"/>
  <c r="IG38" i="1"/>
  <c r="HL27" i="1"/>
  <c r="IZ44" i="1"/>
  <c r="JK38" i="1"/>
  <c r="HL30" i="1"/>
  <c r="HL22" i="1"/>
  <c r="HL10" i="1"/>
  <c r="HL42" i="1"/>
  <c r="HL11" i="1"/>
  <c r="HL24" i="1"/>
  <c r="HL36" i="1"/>
  <c r="IF6" i="1"/>
  <c r="IG6" i="1" s="1"/>
  <c r="JF38" i="1"/>
  <c r="JH38" i="1" s="1"/>
  <c r="JI44" i="1"/>
  <c r="JK6" i="1"/>
  <c r="IG39" i="1"/>
  <c r="JM6" i="1"/>
  <c r="HK6" i="1" s="1"/>
  <c r="ID17" i="1"/>
  <c r="ID13" i="1"/>
  <c r="JF6" i="1"/>
  <c r="JR44" i="1"/>
  <c r="HL32" i="1"/>
  <c r="HL28" i="1"/>
  <c r="HL20" i="1"/>
  <c r="HL16" i="1"/>
  <c r="HL19" i="1"/>
  <c r="IB38" i="1"/>
  <c r="ID38" i="1" s="1"/>
  <c r="HM38" i="1"/>
  <c r="HO38" i="1" s="1"/>
  <c r="IG7" i="1"/>
  <c r="IV35" i="1"/>
  <c r="HL31" i="1"/>
  <c r="JB38" i="1"/>
  <c r="IE44" i="1"/>
  <c r="JU38" i="1"/>
  <c r="JW38" i="1" s="1"/>
  <c r="JS44" i="1"/>
  <c r="JG44" i="1"/>
  <c r="JA44" i="1"/>
  <c r="JB6" i="1"/>
  <c r="IU38" i="1"/>
  <c r="IV39" i="1"/>
  <c r="IT6" i="1"/>
  <c r="IB6" i="1"/>
  <c r="IC44" i="1"/>
  <c r="HM6" i="1"/>
  <c r="HO6" i="1" s="1"/>
  <c r="JW6" i="1" l="1"/>
  <c r="HJ6" i="1"/>
  <c r="JE6" i="1"/>
  <c r="IV38" i="1"/>
  <c r="JB44" i="1"/>
  <c r="JK44" i="1"/>
  <c r="JF44" i="1"/>
  <c r="JH44" i="1" s="1"/>
  <c r="JH6" i="1"/>
  <c r="IU44" i="1"/>
  <c r="HL40" i="1"/>
  <c r="IF44" i="1"/>
  <c r="HL39" i="1"/>
  <c r="HL14" i="1"/>
  <c r="HL35" i="1"/>
  <c r="HL41" i="1"/>
  <c r="IB44" i="1"/>
  <c r="ID44" i="1" s="1"/>
  <c r="HM44" i="1"/>
  <c r="HO44" i="1" s="1"/>
  <c r="JT44" i="1"/>
  <c r="IV6" i="1"/>
  <c r="IT44" i="1"/>
  <c r="IV44" i="1" s="1"/>
  <c r="ID6" i="1"/>
  <c r="IG44" i="1" l="1"/>
  <c r="JW44" i="1"/>
  <c r="EH11" i="1"/>
  <c r="EH12" i="1"/>
  <c r="EH13" i="1"/>
  <c r="EH14" i="1"/>
  <c r="EH15" i="1"/>
  <c r="EH17" i="1"/>
  <c r="EH18" i="1"/>
  <c r="EH21" i="1"/>
  <c r="EH24" i="1"/>
  <c r="EH25" i="1"/>
  <c r="EH26" i="1"/>
  <c r="EH28" i="1"/>
  <c r="EH31" i="1"/>
  <c r="EH32" i="1"/>
  <c r="EH33" i="1"/>
  <c r="EH34" i="1"/>
  <c r="EH35" i="1"/>
  <c r="EH36" i="1"/>
  <c r="EH39" i="1"/>
  <c r="EH43" i="1"/>
  <c r="GN7" i="1" l="1"/>
  <c r="GN8" i="1"/>
  <c r="GN9" i="1"/>
  <c r="GN10" i="1"/>
  <c r="GN11" i="1"/>
  <c r="GN12" i="1"/>
  <c r="GN13" i="1"/>
  <c r="GN14" i="1"/>
  <c r="GN15" i="1"/>
  <c r="GN16" i="1"/>
  <c r="GN17" i="1"/>
  <c r="GN18" i="1"/>
  <c r="GN19" i="1"/>
  <c r="GN20" i="1"/>
  <c r="GN21" i="1"/>
  <c r="GN22" i="1"/>
  <c r="GN23" i="1"/>
  <c r="GN24" i="1"/>
  <c r="GN25" i="1"/>
  <c r="GN26" i="1"/>
  <c r="GN27" i="1"/>
  <c r="GN28" i="1"/>
  <c r="GN29" i="1"/>
  <c r="GN30" i="1"/>
  <c r="GN31" i="1"/>
  <c r="GN32" i="1"/>
  <c r="GN33" i="1"/>
  <c r="GN34" i="1"/>
  <c r="GN35" i="1"/>
  <c r="GN36" i="1"/>
  <c r="GN37" i="1"/>
  <c r="GN42" i="1"/>
  <c r="EH42" i="1"/>
  <c r="EH37" i="1"/>
  <c r="EH23" i="1"/>
  <c r="EH40" i="1"/>
  <c r="EW6" i="1"/>
  <c r="EV6" i="1"/>
  <c r="EV38" i="1"/>
  <c r="EH30" i="1"/>
  <c r="EH27" i="1"/>
  <c r="EH22" i="1"/>
  <c r="EH19" i="1"/>
  <c r="EH16" i="1"/>
  <c r="EH10" i="1"/>
  <c r="EH9" i="1"/>
  <c r="EH8" i="1"/>
  <c r="EH7" i="1"/>
  <c r="EH41" i="1"/>
  <c r="DH22" i="1"/>
  <c r="DH24" i="1"/>
  <c r="DH31" i="1"/>
  <c r="DH34" i="1"/>
  <c r="DH41" i="1"/>
  <c r="DH35" i="1"/>
  <c r="DH32" i="1"/>
  <c r="DH29" i="1"/>
  <c r="DH26" i="1"/>
  <c r="DH17" i="1"/>
  <c r="DH9" i="1"/>
  <c r="DH37" i="1"/>
  <c r="EV44" i="1" l="1"/>
  <c r="EW38" i="1"/>
  <c r="EX38" i="1" s="1"/>
  <c r="DH23" i="1"/>
  <c r="EX6" i="1"/>
  <c r="EW44" i="1" l="1"/>
  <c r="EX44" i="1" s="1"/>
  <c r="DD6" i="1"/>
  <c r="DC6" i="1"/>
  <c r="DE6" i="1" s="1"/>
  <c r="DD38" i="1"/>
  <c r="DD44" i="1" s="1"/>
  <c r="DC38" i="1"/>
  <c r="DE9" i="1"/>
  <c r="DE12" i="1"/>
  <c r="DE13" i="1"/>
  <c r="DE17" i="1"/>
  <c r="DE22" i="1"/>
  <c r="DE23" i="1"/>
  <c r="DE26" i="1"/>
  <c r="DE29" i="1"/>
  <c r="DE31" i="1"/>
  <c r="DE32" i="1"/>
  <c r="DE34" i="1"/>
  <c r="DE35" i="1"/>
  <c r="DE37" i="1"/>
  <c r="DE41" i="1"/>
  <c r="EC14" i="1"/>
  <c r="EC25" i="1"/>
  <c r="EC26" i="1"/>
  <c r="EC34" i="1"/>
  <c r="EC37" i="1"/>
  <c r="EC39" i="1"/>
  <c r="EC40" i="1"/>
  <c r="DC44" i="1" l="1"/>
  <c r="DE44" i="1" s="1"/>
  <c r="DE38" i="1"/>
  <c r="CY7" i="1" l="1"/>
  <c r="CY9" i="1"/>
  <c r="CY11" i="1"/>
  <c r="CY13" i="1"/>
  <c r="CY18" i="1"/>
  <c r="CY21" i="1"/>
  <c r="CY23" i="1"/>
  <c r="CY27" i="1"/>
  <c r="CY29" i="1"/>
  <c r="CY32" i="1"/>
  <c r="CY34" i="1"/>
  <c r="CY36" i="1"/>
  <c r="CY39" i="1"/>
  <c r="CY41" i="1"/>
  <c r="CY37" i="1"/>
  <c r="CY35" i="1"/>
  <c r="CY33" i="1"/>
  <c r="CY31" i="1"/>
  <c r="CY28" i="1"/>
  <c r="CY25" i="1"/>
  <c r="CY22" i="1"/>
  <c r="CY19" i="1"/>
  <c r="CY12" i="1"/>
  <c r="CY10" i="1"/>
  <c r="CY8" i="1"/>
  <c r="CY40" i="1"/>
  <c r="CG13" i="1"/>
  <c r="CG8" i="1"/>
  <c r="CG10" i="1"/>
  <c r="CG11" i="1"/>
  <c r="CG17" i="1"/>
  <c r="CG20" i="1"/>
  <c r="CG21" i="1"/>
  <c r="CG23" i="1"/>
  <c r="CG27" i="1"/>
  <c r="CG28" i="1"/>
  <c r="CG29" i="1"/>
  <c r="CG32" i="1"/>
  <c r="CG33" i="1"/>
  <c r="CG34" i="1"/>
  <c r="CG37" i="1"/>
  <c r="CG39" i="1"/>
  <c r="CG19" i="1"/>
  <c r="CG7" i="1"/>
  <c r="CE38" i="1"/>
  <c r="CG38" i="1" s="1"/>
  <c r="BV35" i="1"/>
  <c r="BX35" i="1" s="1"/>
  <c r="BV11" i="1"/>
  <c r="BV6" i="1" s="1"/>
  <c r="BX6" i="1" s="1"/>
  <c r="BB38" i="1"/>
  <c r="AW18" i="1"/>
  <c r="AW10" i="1"/>
  <c r="AW12" i="1"/>
  <c r="AW13" i="1"/>
  <c r="AW14" i="1"/>
  <c r="AW16" i="1"/>
  <c r="AW19" i="1"/>
  <c r="AW20" i="1"/>
  <c r="AW21" i="1"/>
  <c r="AW22" i="1"/>
  <c r="AW23" i="1"/>
  <c r="AW25" i="1"/>
  <c r="AW26" i="1"/>
  <c r="AW27" i="1"/>
  <c r="AW29" i="1"/>
  <c r="AW30" i="1"/>
  <c r="AW31" i="1"/>
  <c r="AW32" i="1"/>
  <c r="AW33" i="1"/>
  <c r="AW34" i="1"/>
  <c r="AW35" i="1"/>
  <c r="AW37" i="1"/>
  <c r="AW9" i="1"/>
  <c r="AQ34" i="1"/>
  <c r="AQ41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9" i="1"/>
  <c r="AN40" i="1"/>
  <c r="AN41" i="1"/>
  <c r="Y9" i="1"/>
  <c r="Y11" i="1"/>
  <c r="Y13" i="1"/>
  <c r="Y14" i="1"/>
  <c r="Y19" i="1"/>
  <c r="Y20" i="1"/>
  <c r="Y21" i="1"/>
  <c r="Y23" i="1"/>
  <c r="Y24" i="1"/>
  <c r="Y25" i="1"/>
  <c r="Y26" i="1"/>
  <c r="Y27" i="1"/>
  <c r="Y28" i="1"/>
  <c r="Y29" i="1"/>
  <c r="Y34" i="1"/>
  <c r="Y35" i="1"/>
  <c r="H37" i="1"/>
  <c r="H25" i="1"/>
  <c r="J25" i="1" s="1"/>
  <c r="H24" i="1"/>
  <c r="H19" i="1"/>
  <c r="J19" i="1" s="1"/>
  <c r="H17" i="1"/>
  <c r="J17" i="1" s="1"/>
  <c r="CG14" i="1" l="1"/>
  <c r="AQ10" i="1"/>
  <c r="AQ27" i="1"/>
  <c r="AQ7" i="1"/>
  <c r="AQ26" i="1"/>
  <c r="CY42" i="1"/>
  <c r="CY17" i="1"/>
  <c r="B43" i="1"/>
  <c r="D43" i="1" l="1"/>
  <c r="IQ6" i="1"/>
  <c r="IS6" i="1" s="1"/>
  <c r="IQ38" i="1"/>
  <c r="IR44" i="1"/>
  <c r="JL38" i="1"/>
  <c r="JL6" i="1"/>
  <c r="JM44" i="1"/>
  <c r="JM1048576" i="1" s="1"/>
  <c r="JO38" i="1"/>
  <c r="JO6" i="1"/>
  <c r="JP44" i="1"/>
  <c r="GL6" i="1"/>
  <c r="GL44" i="1" s="1"/>
  <c r="HF41" i="1"/>
  <c r="HF37" i="1"/>
  <c r="HF36" i="1"/>
  <c r="HF33" i="1"/>
  <c r="HF32" i="1"/>
  <c r="HF31" i="1"/>
  <c r="HF29" i="1"/>
  <c r="HF28" i="1"/>
  <c r="HF20" i="1"/>
  <c r="HF18" i="1"/>
  <c r="HF16" i="1"/>
  <c r="HF13" i="1"/>
  <c r="HF12" i="1"/>
  <c r="HF9" i="1"/>
  <c r="HF8" i="1"/>
  <c r="EH20" i="1"/>
  <c r="EG41" i="1"/>
  <c r="FG41" i="1"/>
  <c r="FG37" i="1"/>
  <c r="FG29" i="1"/>
  <c r="FG28" i="1"/>
  <c r="FG27" i="1"/>
  <c r="FG23" i="1"/>
  <c r="FG21" i="1"/>
  <c r="FG19" i="1"/>
  <c r="FG18" i="1"/>
  <c r="FG11" i="1"/>
  <c r="FG7" i="1"/>
  <c r="EH29" i="1"/>
  <c r="FJ31" i="1"/>
  <c r="FJ30" i="1"/>
  <c r="FJ19" i="1"/>
  <c r="FV37" i="1"/>
  <c r="FV36" i="1"/>
  <c r="FV35" i="1"/>
  <c r="FV34" i="1"/>
  <c r="FV33" i="1"/>
  <c r="FV32" i="1"/>
  <c r="FV31" i="1"/>
  <c r="FV30" i="1"/>
  <c r="FV29" i="1"/>
  <c r="FV28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A8" i="1"/>
  <c r="FA12" i="1"/>
  <c r="FA24" i="1"/>
  <c r="FA25" i="1"/>
  <c r="FA32" i="1"/>
  <c r="FA33" i="1"/>
  <c r="FA36" i="1"/>
  <c r="FA41" i="1"/>
  <c r="FA42" i="1"/>
  <c r="FA40" i="1"/>
  <c r="FA39" i="1"/>
  <c r="FA37" i="1"/>
  <c r="FA35" i="1"/>
  <c r="FA34" i="1"/>
  <c r="FA31" i="1"/>
  <c r="FA30" i="1"/>
  <c r="FA28" i="1"/>
  <c r="FA29" i="1"/>
  <c r="FA27" i="1"/>
  <c r="FA26" i="1"/>
  <c r="FA22" i="1"/>
  <c r="FA23" i="1"/>
  <c r="FA21" i="1"/>
  <c r="FA20" i="1"/>
  <c r="FA19" i="1"/>
  <c r="FA18" i="1"/>
  <c r="FA17" i="1"/>
  <c r="FA16" i="1"/>
  <c r="FA15" i="1"/>
  <c r="FA14" i="1"/>
  <c r="FA13" i="1"/>
  <c r="FA11" i="1"/>
  <c r="FA10" i="1"/>
  <c r="FA9" i="1"/>
  <c r="FA7" i="1"/>
  <c r="HF7" i="1"/>
  <c r="HF11" i="1"/>
  <c r="HF19" i="1"/>
  <c r="HF21" i="1"/>
  <c r="HF23" i="1"/>
  <c r="HF30" i="1"/>
  <c r="HF35" i="1"/>
  <c r="HF39" i="1"/>
  <c r="HF17" i="1"/>
  <c r="HF14" i="1"/>
  <c r="HF34" i="1"/>
  <c r="HF27" i="1"/>
  <c r="HF26" i="1"/>
  <c r="HF22" i="1"/>
  <c r="HF10" i="1"/>
  <c r="HF42" i="1"/>
  <c r="HF40" i="1"/>
  <c r="HI37" i="1"/>
  <c r="HI36" i="1"/>
  <c r="HI35" i="1"/>
  <c r="HI34" i="1"/>
  <c r="HI33" i="1"/>
  <c r="HI32" i="1"/>
  <c r="HI31" i="1"/>
  <c r="HI30" i="1"/>
  <c r="HI29" i="1"/>
  <c r="HI28" i="1"/>
  <c r="HI27" i="1"/>
  <c r="HI26" i="1"/>
  <c r="HI25" i="1"/>
  <c r="HI24" i="1"/>
  <c r="HI23" i="1"/>
  <c r="HI22" i="1"/>
  <c r="HI21" i="1"/>
  <c r="HI20" i="1"/>
  <c r="HI19" i="1"/>
  <c r="HI18" i="1"/>
  <c r="HI17" i="1"/>
  <c r="HI16" i="1"/>
  <c r="HI15" i="1"/>
  <c r="HI14" i="1"/>
  <c r="HI13" i="1"/>
  <c r="HI12" i="1"/>
  <c r="HI11" i="1"/>
  <c r="HI10" i="1"/>
  <c r="HI9" i="1"/>
  <c r="HI8" i="1"/>
  <c r="HI7" i="1"/>
  <c r="EG21" i="1"/>
  <c r="EL12" i="1"/>
  <c r="EL16" i="1"/>
  <c r="EL21" i="1"/>
  <c r="EL22" i="1"/>
  <c r="EL26" i="1"/>
  <c r="EL28" i="1"/>
  <c r="EL29" i="1"/>
  <c r="EL34" i="1"/>
  <c r="EL36" i="1"/>
  <c r="EL39" i="1"/>
  <c r="EL41" i="1"/>
  <c r="EL30" i="1"/>
  <c r="EL27" i="1"/>
  <c r="EL19" i="1"/>
  <c r="EL13" i="1"/>
  <c r="HE38" i="1"/>
  <c r="AL38" i="1"/>
  <c r="AN38" i="1" s="1"/>
  <c r="BA41" i="1"/>
  <c r="DR18" i="1"/>
  <c r="EC41" i="1"/>
  <c r="EC10" i="1"/>
  <c r="DW37" i="1"/>
  <c r="DW34" i="1"/>
  <c r="DW32" i="1"/>
  <c r="DW31" i="1"/>
  <c r="DW27" i="1"/>
  <c r="DW25" i="1"/>
  <c r="DW23" i="1"/>
  <c r="DW22" i="1"/>
  <c r="DW11" i="1"/>
  <c r="DW10" i="1"/>
  <c r="DW29" i="1"/>
  <c r="DW35" i="1"/>
  <c r="EG37" i="1" l="1"/>
  <c r="EG8" i="1"/>
  <c r="EG16" i="1"/>
  <c r="EG24" i="1"/>
  <c r="EG32" i="1"/>
  <c r="EG29" i="1"/>
  <c r="EG9" i="1"/>
  <c r="EG25" i="1"/>
  <c r="EG33" i="1"/>
  <c r="EG12" i="1"/>
  <c r="EG17" i="1"/>
  <c r="EG13" i="1"/>
  <c r="EG20" i="1"/>
  <c r="EG28" i="1"/>
  <c r="BC41" i="1"/>
  <c r="EL24" i="1"/>
  <c r="EL33" i="1"/>
  <c r="EL8" i="1"/>
  <c r="EL42" i="1"/>
  <c r="EG42" i="1"/>
  <c r="EL14" i="1"/>
  <c r="EG14" i="1"/>
  <c r="EL18" i="1"/>
  <c r="EG18" i="1"/>
  <c r="EG26" i="1"/>
  <c r="EG34" i="1"/>
  <c r="EL9" i="1"/>
  <c r="EL20" i="1"/>
  <c r="EG10" i="1"/>
  <c r="EG22" i="1"/>
  <c r="EG30" i="1"/>
  <c r="EL10" i="1"/>
  <c r="EL37" i="1"/>
  <c r="EL32" i="1"/>
  <c r="EL25" i="1"/>
  <c r="EL17" i="1"/>
  <c r="EG39" i="1"/>
  <c r="EG7" i="1"/>
  <c r="EG11" i="1"/>
  <c r="EL15" i="1"/>
  <c r="EG15" i="1"/>
  <c r="EG19" i="1"/>
  <c r="EL23" i="1"/>
  <c r="EG23" i="1"/>
  <c r="EG27" i="1"/>
  <c r="EL31" i="1"/>
  <c r="EG31" i="1"/>
  <c r="EL35" i="1"/>
  <c r="EG35" i="1"/>
  <c r="HD6" i="1"/>
  <c r="HD38" i="1"/>
  <c r="HF38" i="1" s="1"/>
  <c r="JN6" i="1"/>
  <c r="EL40" i="1"/>
  <c r="EG40" i="1"/>
  <c r="EG36" i="1"/>
  <c r="JO44" i="1"/>
  <c r="IQ44" i="1"/>
  <c r="JL44" i="1"/>
  <c r="JL1048576" i="1" s="1"/>
  <c r="EL11" i="1"/>
  <c r="HF15" i="1"/>
  <c r="FV27" i="1"/>
  <c r="HF24" i="1"/>
  <c r="HF25" i="1"/>
  <c r="HE6" i="1"/>
  <c r="DX41" i="1"/>
  <c r="AR34" i="1"/>
  <c r="BD39" i="1"/>
  <c r="DN41" i="1"/>
  <c r="DN40" i="1"/>
  <c r="DN39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1" i="1"/>
  <c r="DN10" i="1"/>
  <c r="DN9" i="1"/>
  <c r="DN8" i="1"/>
  <c r="DN7" i="1"/>
  <c r="BA38" i="1"/>
  <c r="BC38" i="1" s="1"/>
  <c r="EC33" i="1"/>
  <c r="EC31" i="1"/>
  <c r="EC11" i="1"/>
  <c r="CH23" i="1"/>
  <c r="CJ23" i="1" s="1"/>
  <c r="T18" i="1"/>
  <c r="T37" i="1"/>
  <c r="BJ28" i="1"/>
  <c r="BJ27" i="1"/>
  <c r="BL27" i="1" s="1"/>
  <c r="BJ26" i="1"/>
  <c r="BL26" i="1" s="1"/>
  <c r="BJ24" i="1"/>
  <c r="BL24" i="1" s="1"/>
  <c r="BJ23" i="1"/>
  <c r="BL23" i="1" s="1"/>
  <c r="BJ22" i="1"/>
  <c r="BJ32" i="1"/>
  <c r="BJ35" i="1"/>
  <c r="BL35" i="1" s="1"/>
  <c r="BJ21" i="1"/>
  <c r="BL21" i="1" s="1"/>
  <c r="BJ20" i="1"/>
  <c r="BL20" i="1" s="1"/>
  <c r="BJ13" i="1"/>
  <c r="BL13" i="1" s="1"/>
  <c r="BJ11" i="1"/>
  <c r="BL11" i="1" s="1"/>
  <c r="BJ8" i="1"/>
  <c r="BL8" i="1" s="1"/>
  <c r="BJ9" i="1"/>
  <c r="BL9" i="1" s="1"/>
  <c r="BJ7" i="1"/>
  <c r="BG41" i="1"/>
  <c r="BG37" i="1"/>
  <c r="BI37" i="1" s="1"/>
  <c r="BG35" i="1"/>
  <c r="BG34" i="1"/>
  <c r="BI34" i="1" s="1"/>
  <c r="BG31" i="1"/>
  <c r="BG29" i="1"/>
  <c r="BG27" i="1"/>
  <c r="BG26" i="1"/>
  <c r="BG25" i="1"/>
  <c r="BG24" i="1"/>
  <c r="BG23" i="1"/>
  <c r="BG21" i="1"/>
  <c r="BG20" i="1"/>
  <c r="BG19" i="1"/>
  <c r="BG18" i="1"/>
  <c r="BI18" i="1" s="1"/>
  <c r="BG16" i="1"/>
  <c r="BG13" i="1"/>
  <c r="BG12" i="1"/>
  <c r="BG11" i="1"/>
  <c r="BG9" i="1"/>
  <c r="BG8" i="1"/>
  <c r="BG7" i="1"/>
  <c r="CQ39" i="1"/>
  <c r="BP15" i="1"/>
  <c r="BP30" i="1"/>
  <c r="BP31" i="1"/>
  <c r="CP29" i="1"/>
  <c r="CP27" i="1"/>
  <c r="CP26" i="1"/>
  <c r="CP25" i="1"/>
  <c r="CP24" i="1"/>
  <c r="CP23" i="1"/>
  <c r="CP22" i="1"/>
  <c r="CP18" i="1"/>
  <c r="CP16" i="1"/>
  <c r="CP15" i="1"/>
  <c r="CP14" i="1"/>
  <c r="CP13" i="1"/>
  <c r="CP11" i="1"/>
  <c r="CP9" i="1"/>
  <c r="CP8" i="1"/>
  <c r="CP7" i="1"/>
  <c r="CP35" i="1"/>
  <c r="CP34" i="1"/>
  <c r="CP37" i="1"/>
  <c r="CP41" i="1"/>
  <c r="CP40" i="1"/>
  <c r="CP39" i="1"/>
  <c r="BM39" i="1"/>
  <c r="DB37" i="1"/>
  <c r="DB35" i="1"/>
  <c r="DB34" i="1"/>
  <c r="DB33" i="1"/>
  <c r="DB32" i="1"/>
  <c r="DB29" i="1"/>
  <c r="DB26" i="1"/>
  <c r="DB25" i="1"/>
  <c r="DB24" i="1"/>
  <c r="DB23" i="1"/>
  <c r="DB22" i="1"/>
  <c r="DB21" i="1"/>
  <c r="DB19" i="1"/>
  <c r="DB18" i="1"/>
  <c r="DB17" i="1"/>
  <c r="DB16" i="1"/>
  <c r="DB13" i="1"/>
  <c r="DB11" i="1"/>
  <c r="DB10" i="1"/>
  <c r="DB7" i="1"/>
  <c r="AB41" i="1"/>
  <c r="BP6" i="1" l="1"/>
  <c r="BR6" i="1" s="1"/>
  <c r="BL7" i="1"/>
  <c r="BJ6" i="1"/>
  <c r="BL6" i="1" s="1"/>
  <c r="T6" i="1"/>
  <c r="AR6" i="1"/>
  <c r="AT6" i="1" s="1"/>
  <c r="BG6" i="1"/>
  <c r="BI6" i="1" s="1"/>
  <c r="HD44" i="1"/>
  <c r="P7" i="1"/>
  <c r="P13" i="1"/>
  <c r="P20" i="1"/>
  <c r="P31" i="1"/>
  <c r="P34" i="1"/>
  <c r="BI11" i="1"/>
  <c r="P23" i="1"/>
  <c r="BI35" i="1"/>
  <c r="JN44" i="1"/>
  <c r="JN1048576" i="1" s="1"/>
  <c r="AT34" i="1"/>
  <c r="AB34" i="1"/>
  <c r="BI9" i="1"/>
  <c r="P16" i="1"/>
  <c r="BI16" i="1"/>
  <c r="BI21" i="1"/>
  <c r="BI26" i="1"/>
  <c r="P32" i="1"/>
  <c r="BL32" i="1"/>
  <c r="BF39" i="1"/>
  <c r="P39" i="1"/>
  <c r="P15" i="1"/>
  <c r="CP10" i="1"/>
  <c r="P10" i="1"/>
  <c r="P30" i="1"/>
  <c r="P41" i="1"/>
  <c r="Y41" i="1"/>
  <c r="BI23" i="1"/>
  <c r="BI27" i="1"/>
  <c r="P27" i="1"/>
  <c r="P22" i="1"/>
  <c r="BL22" i="1"/>
  <c r="DB36" i="1"/>
  <c r="P36" i="1"/>
  <c r="BI7" i="1"/>
  <c r="BI12" i="1"/>
  <c r="BI19" i="1"/>
  <c r="P24" i="1"/>
  <c r="BI24" i="1"/>
  <c r="P29" i="1"/>
  <c r="BI29" i="1"/>
  <c r="P28" i="1"/>
  <c r="BL28" i="1"/>
  <c r="AB35" i="1"/>
  <c r="CP33" i="1"/>
  <c r="P33" i="1"/>
  <c r="CP17" i="1"/>
  <c r="P17" i="1"/>
  <c r="P8" i="1"/>
  <c r="BI8" i="1"/>
  <c r="BI13" i="1"/>
  <c r="BI20" i="1"/>
  <c r="BI25" i="1"/>
  <c r="BI31" i="1"/>
  <c r="BG38" i="1"/>
  <c r="BI38" i="1" s="1"/>
  <c r="BI41" i="1"/>
  <c r="DN42" i="1"/>
  <c r="P42" i="1"/>
  <c r="HE44" i="1"/>
  <c r="HF6" i="1"/>
  <c r="V6" i="1" l="1"/>
  <c r="HF44" i="1"/>
  <c r="P40" i="1"/>
  <c r="P37" i="1"/>
  <c r="P21" i="1"/>
  <c r="P19" i="1"/>
  <c r="P9" i="1"/>
  <c r="P18" i="1"/>
  <c r="P35" i="1"/>
  <c r="P12" i="1"/>
  <c r="P14" i="1"/>
  <c r="P11" i="1"/>
  <c r="P26" i="1"/>
  <c r="P25" i="1"/>
  <c r="F6" i="1"/>
  <c r="F38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40" i="1"/>
  <c r="C41" i="1"/>
  <c r="C4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IL38" i="1" l="1"/>
  <c r="IK38" i="1"/>
  <c r="HH38" i="1" l="1"/>
  <c r="HG38" i="1"/>
  <c r="GW8" i="1"/>
  <c r="GW9" i="1"/>
  <c r="GW30" i="1"/>
  <c r="GW40" i="1"/>
  <c r="GW42" i="1"/>
  <c r="EJ6" i="1"/>
  <c r="EA38" i="1" l="1"/>
  <c r="EB38" i="1"/>
  <c r="EF11" i="1"/>
  <c r="EC38" i="1" l="1"/>
  <c r="CO38" i="1"/>
  <c r="CN38" i="1"/>
  <c r="K38" i="1"/>
  <c r="CP38" i="1" l="1"/>
  <c r="CF6" i="1"/>
  <c r="CE6" i="1"/>
  <c r="CG6" i="1" l="1"/>
  <c r="CE44" i="1"/>
  <c r="CF44" i="1"/>
  <c r="CG44" i="1" l="1"/>
  <c r="FO38" i="1"/>
  <c r="FN38" i="1" l="1"/>
  <c r="FP37" i="1"/>
  <c r="FP36" i="1"/>
  <c r="FP35" i="1"/>
  <c r="FP34" i="1"/>
  <c r="FP33" i="1"/>
  <c r="FP32" i="1"/>
  <c r="FP31" i="1"/>
  <c r="FP30" i="1"/>
  <c r="FP29" i="1"/>
  <c r="FP28" i="1"/>
  <c r="FP27" i="1"/>
  <c r="FP26" i="1"/>
  <c r="FP25" i="1"/>
  <c r="FP24" i="1"/>
  <c r="FP23" i="1"/>
  <c r="FP22" i="1"/>
  <c r="FP21" i="1"/>
  <c r="FP20" i="1"/>
  <c r="FP19" i="1"/>
  <c r="FP18" i="1"/>
  <c r="FP17" i="1"/>
  <c r="FP16" i="1"/>
  <c r="FP15" i="1"/>
  <c r="FP14" i="1"/>
  <c r="FP13" i="1"/>
  <c r="FP12" i="1"/>
  <c r="FP11" i="1"/>
  <c r="FP10" i="1"/>
  <c r="FP9" i="1"/>
  <c r="FP8" i="1"/>
  <c r="FP7" i="1"/>
  <c r="FO6" i="1"/>
  <c r="FO44" i="1" s="1"/>
  <c r="FN6" i="1"/>
  <c r="ED38" i="1"/>
  <c r="EE38" i="1"/>
  <c r="EF38" i="1" s="1"/>
  <c r="EF41" i="1" s="1"/>
  <c r="FN44" i="1" l="1"/>
  <c r="FP6" i="1"/>
  <c r="EF24" i="1"/>
  <c r="EF21" i="1"/>
  <c r="EF10" i="1"/>
  <c r="EF8" i="1"/>
  <c r="EE6" i="1"/>
  <c r="ED6" i="1"/>
  <c r="FP44" i="1" l="1"/>
  <c r="EE44" i="1"/>
  <c r="EF6" i="1"/>
  <c r="ED44" i="1"/>
  <c r="DJ38" i="1"/>
  <c r="DI38" i="1"/>
  <c r="DJ6" i="1"/>
  <c r="DI6" i="1"/>
  <c r="DG38" i="1"/>
  <c r="DF38" i="1"/>
  <c r="DG6" i="1"/>
  <c r="DF6" i="1"/>
  <c r="DA38" i="1"/>
  <c r="CZ38" i="1"/>
  <c r="DA6" i="1"/>
  <c r="CZ6" i="1"/>
  <c r="DH38" i="1" l="1"/>
  <c r="DG44" i="1"/>
  <c r="EF44" i="1"/>
  <c r="DB6" i="1"/>
  <c r="DJ44" i="1"/>
  <c r="DI44" i="1"/>
  <c r="DH6" i="1"/>
  <c r="DA44" i="1"/>
  <c r="CZ44" i="1"/>
  <c r="DF44" i="1"/>
  <c r="DY38" i="1"/>
  <c r="DX38" i="1"/>
  <c r="DY6" i="1"/>
  <c r="DX6" i="1"/>
  <c r="DZ38" i="1" l="1"/>
  <c r="DZ41" i="1" s="1"/>
  <c r="DH44" i="1"/>
  <c r="DB44" i="1"/>
  <c r="DK44" i="1"/>
  <c r="DY44" i="1"/>
  <c r="DX44" i="1"/>
  <c r="DZ44" i="1" l="1"/>
  <c r="DV38" i="1"/>
  <c r="DU38" i="1"/>
  <c r="DV6" i="1"/>
  <c r="DU6" i="1"/>
  <c r="DS38" i="1"/>
  <c r="DR38" i="1"/>
  <c r="DS6" i="1"/>
  <c r="DR6" i="1"/>
  <c r="DV44" i="1" l="1"/>
  <c r="DU44" i="1"/>
  <c r="DR44" i="1"/>
  <c r="DW6" i="1"/>
  <c r="DS44" i="1"/>
  <c r="DT6" i="1"/>
  <c r="DW44" i="1" l="1"/>
  <c r="DT44" i="1"/>
  <c r="GQ41" i="1"/>
  <c r="FY10" i="1"/>
  <c r="FY14" i="1"/>
  <c r="FY16" i="1"/>
  <c r="FY17" i="1"/>
  <c r="FY20" i="1"/>
  <c r="FY21" i="1"/>
  <c r="FY22" i="1"/>
  <c r="FY25" i="1"/>
  <c r="FY34" i="1"/>
  <c r="FJ29" i="1"/>
  <c r="FJ15" i="1"/>
  <c r="CC38" i="1" l="1"/>
  <c r="AA38" i="1"/>
  <c r="BE38" i="1" l="1"/>
  <c r="HB38" i="1" l="1"/>
  <c r="HA38" i="1"/>
  <c r="FY41" i="1"/>
  <c r="FX38" i="1"/>
  <c r="FW38" i="1"/>
  <c r="FX6" i="1"/>
  <c r="FW6" i="1"/>
  <c r="GP38" i="1"/>
  <c r="GO38" i="1"/>
  <c r="GP6" i="1"/>
  <c r="GO6" i="1"/>
  <c r="GM38" i="1"/>
  <c r="GM6" i="1"/>
  <c r="GJ38" i="1"/>
  <c r="GI38" i="1"/>
  <c r="GJ6" i="1"/>
  <c r="GI6" i="1"/>
  <c r="GN38" i="1" l="1"/>
  <c r="GQ38" i="1"/>
  <c r="GI44" i="1"/>
  <c r="FX44" i="1"/>
  <c r="FW44" i="1"/>
  <c r="GJ44" i="1"/>
  <c r="FY6" i="1"/>
  <c r="GP44" i="1"/>
  <c r="FY38" i="1"/>
  <c r="GO44" i="1"/>
  <c r="GM44" i="1"/>
  <c r="GN6" i="1"/>
  <c r="GK6" i="1"/>
  <c r="GK44" i="1" l="1"/>
  <c r="GQ44" i="1"/>
  <c r="FY44" i="1"/>
  <c r="GN44" i="1"/>
  <c r="CX38" i="1" l="1"/>
  <c r="CW38" i="1"/>
  <c r="AL44" i="1"/>
  <c r="BK38" i="1"/>
  <c r="BJ38" i="1"/>
  <c r="CI38" i="1"/>
  <c r="CH38" i="1"/>
  <c r="AS38" i="1"/>
  <c r="AS44" i="1" s="1"/>
  <c r="AR38" i="1"/>
  <c r="AR44" i="1" s="1"/>
  <c r="AG38" i="1"/>
  <c r="AF38" i="1"/>
  <c r="AH15" i="1"/>
  <c r="AD38" i="1"/>
  <c r="AC38" i="1"/>
  <c r="Z38" i="1"/>
  <c r="AB14" i="1"/>
  <c r="AB11" i="1"/>
  <c r="X38" i="1"/>
  <c r="W38" i="1"/>
  <c r="Y7" i="1"/>
  <c r="CB38" i="1"/>
  <c r="CR38" i="1"/>
  <c r="CQ38" i="1"/>
  <c r="CU6" i="1"/>
  <c r="CT6" i="1"/>
  <c r="DM38" i="1"/>
  <c r="DL38" i="1"/>
  <c r="E38" i="1"/>
  <c r="DN38" i="1" l="1"/>
  <c r="CY38" i="1"/>
  <c r="CV6" i="1"/>
  <c r="CS38" i="1"/>
  <c r="X44" i="1"/>
  <c r="AA44" i="1"/>
  <c r="AD44" i="1"/>
  <c r="AG44" i="1"/>
  <c r="AM44" i="1"/>
  <c r="BK44" i="1"/>
  <c r="BJ44" i="1"/>
  <c r="AT44" i="1"/>
  <c r="AF44" i="1"/>
  <c r="AC44" i="1"/>
  <c r="Z44" i="1"/>
  <c r="AB38" i="1"/>
  <c r="W44" i="1"/>
  <c r="Y38" i="1"/>
  <c r="Y44" i="1" l="1"/>
  <c r="BL44" i="1"/>
  <c r="AH44" i="1"/>
  <c r="AN44" i="1"/>
  <c r="AB44" i="1"/>
  <c r="AE44" i="1"/>
  <c r="E6" i="1" l="1"/>
  <c r="H6" i="1"/>
  <c r="I6" i="1"/>
  <c r="C6" i="1" s="1"/>
  <c r="AI44" i="1"/>
  <c r="AJ44" i="1"/>
  <c r="BA44" i="1"/>
  <c r="BH44" i="1"/>
  <c r="BV44" i="1"/>
  <c r="BY44" i="1"/>
  <c r="CB44" i="1"/>
  <c r="CH6" i="1"/>
  <c r="CI6" i="1"/>
  <c r="CK6" i="1"/>
  <c r="CL6" i="1"/>
  <c r="CN6" i="1"/>
  <c r="CN44" i="1" s="1"/>
  <c r="CO6" i="1"/>
  <c r="CQ6" i="1"/>
  <c r="CR6" i="1"/>
  <c r="CR44" i="1" s="1"/>
  <c r="CW6" i="1"/>
  <c r="CW44" i="1" s="1"/>
  <c r="CX6" i="1"/>
  <c r="DL6" i="1"/>
  <c r="DM6" i="1"/>
  <c r="DO6" i="1"/>
  <c r="DP6" i="1"/>
  <c r="EA6" i="1"/>
  <c r="EB6" i="1"/>
  <c r="EK6" i="1"/>
  <c r="EM6" i="1"/>
  <c r="EN6" i="1"/>
  <c r="EP6" i="1"/>
  <c r="EQ6" i="1"/>
  <c r="ES6" i="1"/>
  <c r="ET6" i="1"/>
  <c r="EY6" i="1"/>
  <c r="EZ6" i="1"/>
  <c r="FE6" i="1"/>
  <c r="FF6" i="1"/>
  <c r="FH6" i="1"/>
  <c r="FI6" i="1"/>
  <c r="FK6" i="1"/>
  <c r="FL6" i="1"/>
  <c r="FQ6" i="1"/>
  <c r="FR6" i="1"/>
  <c r="FT6" i="1"/>
  <c r="FU6" i="1"/>
  <c r="FZ6" i="1"/>
  <c r="GA6" i="1"/>
  <c r="GC6" i="1"/>
  <c r="GD6" i="1"/>
  <c r="GF6" i="1"/>
  <c r="GG6" i="1"/>
  <c r="GR6" i="1"/>
  <c r="GS6" i="1"/>
  <c r="GU6" i="1"/>
  <c r="GV6" i="1"/>
  <c r="GX6" i="1"/>
  <c r="GY6" i="1"/>
  <c r="HA6" i="1"/>
  <c r="HA44" i="1" s="1"/>
  <c r="HB6" i="1"/>
  <c r="HG6" i="1"/>
  <c r="HG44" i="1" s="1"/>
  <c r="HH6" i="1"/>
  <c r="IH6" i="1"/>
  <c r="II6" i="1"/>
  <c r="IK6" i="1"/>
  <c r="IK44" i="1" s="1"/>
  <c r="IL6" i="1"/>
  <c r="H38" i="1"/>
  <c r="I38" i="1"/>
  <c r="L38" i="1"/>
  <c r="Q38" i="1"/>
  <c r="R38" i="1"/>
  <c r="T38" i="1"/>
  <c r="U38" i="1"/>
  <c r="AO38" i="1"/>
  <c r="AP38" i="1"/>
  <c r="BD38" i="1"/>
  <c r="BM38" i="1"/>
  <c r="BN38" i="1"/>
  <c r="BP38" i="1"/>
  <c r="BQ38" i="1"/>
  <c r="BS38" i="1"/>
  <c r="BT38" i="1"/>
  <c r="CK38" i="1"/>
  <c r="CL38" i="1"/>
  <c r="CT38" i="1"/>
  <c r="CU38" i="1"/>
  <c r="DO38" i="1"/>
  <c r="DP38" i="1"/>
  <c r="EJ38" i="1"/>
  <c r="EK38" i="1"/>
  <c r="EM38" i="1"/>
  <c r="EN38" i="1"/>
  <c r="EP38" i="1"/>
  <c r="EQ38" i="1"/>
  <c r="ES38" i="1"/>
  <c r="EY38" i="1"/>
  <c r="EZ38" i="1"/>
  <c r="FE38" i="1"/>
  <c r="FF38" i="1"/>
  <c r="FH38" i="1"/>
  <c r="FI38" i="1"/>
  <c r="FL38" i="1"/>
  <c r="FQ38" i="1"/>
  <c r="FR38" i="1"/>
  <c r="FT38" i="1"/>
  <c r="FU38" i="1"/>
  <c r="FZ38" i="1"/>
  <c r="GA38" i="1"/>
  <c r="GC38" i="1"/>
  <c r="GD38" i="1"/>
  <c r="GF38" i="1"/>
  <c r="GG38" i="1"/>
  <c r="GR38" i="1"/>
  <c r="GS38" i="1"/>
  <c r="GU38" i="1"/>
  <c r="GV38" i="1"/>
  <c r="GX38" i="1"/>
  <c r="GY38" i="1"/>
  <c r="II38" i="1"/>
  <c r="CH44" i="1" l="1"/>
  <c r="P6" i="1"/>
  <c r="CU44" i="1"/>
  <c r="CV38" i="1"/>
  <c r="BU38" i="1"/>
  <c r="AO44" i="1"/>
  <c r="IH44" i="1"/>
  <c r="BZ44" i="1"/>
  <c r="FG38" i="1"/>
  <c r="J6" i="1"/>
  <c r="AP44" i="1"/>
  <c r="AQ38" i="1"/>
  <c r="IJ38" i="1"/>
  <c r="HL38" i="1"/>
  <c r="FA38" i="1"/>
  <c r="IJ6" i="1"/>
  <c r="EH38" i="1"/>
  <c r="EG6" i="1"/>
  <c r="CY6" i="1"/>
  <c r="EH6" i="1"/>
  <c r="EG38" i="1"/>
  <c r="EU38" i="1"/>
  <c r="B38" i="1"/>
  <c r="H44" i="1"/>
  <c r="BW44" i="1"/>
  <c r="BX44" i="1" s="1"/>
  <c r="DM44" i="1"/>
  <c r="DN6" i="1"/>
  <c r="HI6" i="1"/>
  <c r="GH6" i="1"/>
  <c r="EL38" i="1"/>
  <c r="CK44" i="1"/>
  <c r="L44" i="1"/>
  <c r="C38" i="1"/>
  <c r="E44" i="1"/>
  <c r="B6" i="1"/>
  <c r="AU44" i="1"/>
  <c r="FF44" i="1"/>
  <c r="R44" i="1"/>
  <c r="EN44" i="1"/>
  <c r="BQ44" i="1"/>
  <c r="EB44" i="1"/>
  <c r="BE44" i="1"/>
  <c r="I44" i="1"/>
  <c r="J44" i="1" s="1"/>
  <c r="GR44" i="1"/>
  <c r="EY44" i="1"/>
  <c r="GX44" i="1"/>
  <c r="FE44" i="1"/>
  <c r="FT44" i="1"/>
  <c r="FZ44" i="1"/>
  <c r="EA44" i="1"/>
  <c r="Q44" i="1"/>
  <c r="GW6" i="1"/>
  <c r="FS6" i="1"/>
  <c r="FM6" i="1"/>
  <c r="FJ6" i="1"/>
  <c r="EU6" i="1"/>
  <c r="GC44" i="1"/>
  <c r="II44" i="1"/>
  <c r="GV44" i="1"/>
  <c r="GG44" i="1"/>
  <c r="FR44" i="1"/>
  <c r="FL44" i="1"/>
  <c r="FI44" i="1"/>
  <c r="EK44" i="1"/>
  <c r="DP44" i="1"/>
  <c r="CL44" i="1"/>
  <c r="BN44" i="1"/>
  <c r="U44" i="1"/>
  <c r="G6" i="1"/>
  <c r="FV6" i="1"/>
  <c r="GB6" i="1"/>
  <c r="GT6" i="1"/>
  <c r="FG6" i="1"/>
  <c r="FA6" i="1"/>
  <c r="ER6" i="1"/>
  <c r="EO6" i="1"/>
  <c r="EC6" i="1"/>
  <c r="EI39" i="1"/>
  <c r="BP44" i="1"/>
  <c r="AV44" i="1"/>
  <c r="G38" i="1"/>
  <c r="F44" i="1"/>
  <c r="HH44" i="1"/>
  <c r="HC6" i="1"/>
  <c r="HB44" i="1"/>
  <c r="EL6" i="1"/>
  <c r="CC44" i="1"/>
  <c r="BB44" i="1"/>
  <c r="GW38" i="1"/>
  <c r="GU44" i="1"/>
  <c r="GF44" i="1"/>
  <c r="FS38" i="1"/>
  <c r="FQ44" i="1"/>
  <c r="FM38" i="1"/>
  <c r="FK44" i="1"/>
  <c r="FH44" i="1"/>
  <c r="DO44" i="1"/>
  <c r="BS44" i="1"/>
  <c r="BO38" i="1"/>
  <c r="BM44" i="1"/>
  <c r="T44" i="1"/>
  <c r="M38" i="1"/>
  <c r="K44" i="1"/>
  <c r="S38" i="1"/>
  <c r="DL44" i="1"/>
  <c r="CQ44" i="1"/>
  <c r="BG44" i="1"/>
  <c r="BI44" i="1" s="1"/>
  <c r="CT44" i="1"/>
  <c r="BF38" i="1"/>
  <c r="BD44" i="1"/>
  <c r="GZ38" i="1"/>
  <c r="GY44" i="1"/>
  <c r="GT38" i="1"/>
  <c r="GS44" i="1"/>
  <c r="GE38" i="1"/>
  <c r="GD44" i="1"/>
  <c r="GB38" i="1"/>
  <c r="GA44" i="1"/>
  <c r="FV38" i="1"/>
  <c r="FU44" i="1"/>
  <c r="EZ44" i="1"/>
  <c r="ER38" i="1"/>
  <c r="EQ44" i="1"/>
  <c r="IM6" i="1"/>
  <c r="IL44" i="1"/>
  <c r="GZ6" i="1"/>
  <c r="GE6" i="1"/>
  <c r="DQ6" i="1"/>
  <c r="CX44" i="1"/>
  <c r="CP6" i="1"/>
  <c r="CO44" i="1"/>
  <c r="CP44" i="1" s="1"/>
  <c r="CJ6" i="1"/>
  <c r="CI44" i="1"/>
  <c r="EI9" i="1"/>
  <c r="EI19" i="1"/>
  <c r="EI41" i="1"/>
  <c r="EI37" i="1"/>
  <c r="EI33" i="1"/>
  <c r="EI7" i="1"/>
  <c r="EI35" i="1"/>
  <c r="EI31" i="1"/>
  <c r="EI29" i="1"/>
  <c r="EI27" i="1"/>
  <c r="EI25" i="1"/>
  <c r="EI23" i="1"/>
  <c r="EI21" i="1"/>
  <c r="EI17" i="1"/>
  <c r="EI15" i="1"/>
  <c r="EI13" i="1"/>
  <c r="EI11" i="1"/>
  <c r="EI36" i="1"/>
  <c r="EI34" i="1"/>
  <c r="EI32" i="1"/>
  <c r="EI30" i="1"/>
  <c r="EI28" i="1"/>
  <c r="EI42" i="1"/>
  <c r="EI26" i="1"/>
  <c r="EI24" i="1"/>
  <c r="EI22" i="1"/>
  <c r="EI20" i="1"/>
  <c r="EI18" i="1"/>
  <c r="EI16" i="1"/>
  <c r="EI14" i="1"/>
  <c r="EI12" i="1"/>
  <c r="EI40" i="1"/>
  <c r="EI10" i="1"/>
  <c r="EI8" i="1"/>
  <c r="S8" i="1"/>
  <c r="S9" i="1"/>
  <c r="S10" i="1"/>
  <c r="S11" i="1"/>
  <c r="S40" i="1"/>
  <c r="S12" i="1"/>
  <c r="S13" i="1"/>
  <c r="S14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GZ10" i="1"/>
  <c r="GZ41" i="1"/>
  <c r="GZ14" i="1"/>
  <c r="GZ16" i="1"/>
  <c r="GZ17" i="1"/>
  <c r="GZ20" i="1"/>
  <c r="GZ21" i="1"/>
  <c r="GZ22" i="1"/>
  <c r="GZ25" i="1"/>
  <c r="GZ34" i="1"/>
  <c r="GW10" i="1"/>
  <c r="GW11" i="1"/>
  <c r="GW41" i="1"/>
  <c r="GW12" i="1"/>
  <c r="GW13" i="1"/>
  <c r="GW14" i="1"/>
  <c r="GW15" i="1"/>
  <c r="GW16" i="1"/>
  <c r="GW17" i="1"/>
  <c r="GW18" i="1"/>
  <c r="GW19" i="1"/>
  <c r="GW20" i="1"/>
  <c r="GW21" i="1"/>
  <c r="GW22" i="1"/>
  <c r="GW23" i="1"/>
  <c r="GW24" i="1"/>
  <c r="GW25" i="1"/>
  <c r="GW26" i="1"/>
  <c r="GW39" i="1"/>
  <c r="GW27" i="1"/>
  <c r="GW28" i="1"/>
  <c r="GW29" i="1"/>
  <c r="GW31" i="1"/>
  <c r="GW32" i="1"/>
  <c r="GW33" i="1"/>
  <c r="GW34" i="1"/>
  <c r="GW35" i="1"/>
  <c r="GW36" i="1"/>
  <c r="GW37" i="1"/>
  <c r="BR15" i="1"/>
  <c r="BR31" i="1"/>
  <c r="BO39" i="1"/>
  <c r="GB8" i="1"/>
  <c r="GB9" i="1"/>
  <c r="GB10" i="1"/>
  <c r="GB11" i="1"/>
  <c r="GB40" i="1"/>
  <c r="GB4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39" i="1"/>
  <c r="GB42" i="1"/>
  <c r="GB27" i="1"/>
  <c r="GB28" i="1"/>
  <c r="GB29" i="1"/>
  <c r="GB30" i="1"/>
  <c r="GB31" i="1"/>
  <c r="GB32" i="1"/>
  <c r="GB33" i="1"/>
  <c r="GB34" i="1"/>
  <c r="GB35" i="1"/>
  <c r="GB36" i="1"/>
  <c r="GB37" i="1"/>
  <c r="FV40" i="1"/>
  <c r="FV41" i="1"/>
  <c r="FV39" i="1"/>
  <c r="FV42" i="1"/>
  <c r="FS8" i="1"/>
  <c r="FS9" i="1"/>
  <c r="FS10" i="1"/>
  <c r="FS11" i="1"/>
  <c r="FS40" i="1"/>
  <c r="FS4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39" i="1"/>
  <c r="FS42" i="1"/>
  <c r="FS27" i="1"/>
  <c r="FS28" i="1"/>
  <c r="FS29" i="1"/>
  <c r="FS30" i="1"/>
  <c r="FS31" i="1"/>
  <c r="FS32" i="1"/>
  <c r="FS33" i="1"/>
  <c r="FS34" i="1"/>
  <c r="FS35" i="1"/>
  <c r="FS36" i="1"/>
  <c r="FS37" i="1"/>
  <c r="FM8" i="1"/>
  <c r="FM10" i="1"/>
  <c r="FM11" i="1"/>
  <c r="FM40" i="1"/>
  <c r="FM41" i="1"/>
  <c r="FM14" i="1"/>
  <c r="FM15" i="1"/>
  <c r="FM17" i="1"/>
  <c r="FM18" i="1"/>
  <c r="FM20" i="1"/>
  <c r="FM21" i="1"/>
  <c r="FM23" i="1"/>
  <c r="FM24" i="1"/>
  <c r="FM39" i="1"/>
  <c r="FM42" i="1"/>
  <c r="FM29" i="1"/>
  <c r="FM34" i="1"/>
  <c r="FM35" i="1"/>
  <c r="FM37" i="1"/>
  <c r="GH15" i="1"/>
  <c r="GH30" i="1"/>
  <c r="GH31" i="1"/>
  <c r="GE8" i="1"/>
  <c r="GE9" i="1"/>
  <c r="GE10" i="1"/>
  <c r="GE11" i="1"/>
  <c r="GE40" i="1"/>
  <c r="GE41" i="1"/>
  <c r="GE12" i="1"/>
  <c r="GE13" i="1"/>
  <c r="GE14" i="1"/>
  <c r="GE15" i="1"/>
  <c r="GE16" i="1"/>
  <c r="GE17" i="1"/>
  <c r="GE18" i="1"/>
  <c r="GE19" i="1"/>
  <c r="GE20" i="1"/>
  <c r="GE21" i="1"/>
  <c r="GE22" i="1"/>
  <c r="GE23" i="1"/>
  <c r="GE24" i="1"/>
  <c r="GE25" i="1"/>
  <c r="GE26" i="1"/>
  <c r="GE39" i="1"/>
  <c r="GE42" i="1"/>
  <c r="GE27" i="1"/>
  <c r="GE28" i="1"/>
  <c r="GE29" i="1"/>
  <c r="GE30" i="1"/>
  <c r="GE31" i="1"/>
  <c r="GE32" i="1"/>
  <c r="GE33" i="1"/>
  <c r="GE34" i="1"/>
  <c r="GE35" i="1"/>
  <c r="GE36" i="1"/>
  <c r="GE37" i="1"/>
  <c r="ER8" i="1"/>
  <c r="ER10" i="1"/>
  <c r="ER11" i="1"/>
  <c r="ER40" i="1"/>
  <c r="ER41" i="1"/>
  <c r="ER15" i="1"/>
  <c r="ER17" i="1"/>
  <c r="ER18" i="1"/>
  <c r="ER20" i="1"/>
  <c r="ER21" i="1"/>
  <c r="ER23" i="1"/>
  <c r="ER24" i="1"/>
  <c r="ER39" i="1"/>
  <c r="ER29" i="1"/>
  <c r="ER34" i="1"/>
  <c r="ER35" i="1"/>
  <c r="ER37" i="1"/>
  <c r="GT11" i="1"/>
  <c r="GT13" i="1"/>
  <c r="GT14" i="1"/>
  <c r="GT18" i="1"/>
  <c r="GT19" i="1"/>
  <c r="GT20" i="1"/>
  <c r="GT21" i="1"/>
  <c r="GT23" i="1"/>
  <c r="GT25" i="1"/>
  <c r="GT42" i="1"/>
  <c r="GT27" i="1"/>
  <c r="GT29" i="1"/>
  <c r="GT31" i="1"/>
  <c r="GT32" i="1"/>
  <c r="GT34" i="1"/>
  <c r="GT35" i="1"/>
  <c r="GT36" i="1"/>
  <c r="GT37" i="1"/>
  <c r="M42" i="1"/>
  <c r="EO11" i="1"/>
  <c r="EO18" i="1"/>
  <c r="EO19" i="1"/>
  <c r="EO21" i="1"/>
  <c r="EO23" i="1"/>
  <c r="EO27" i="1"/>
  <c r="EO28" i="1"/>
  <c r="EO29" i="1"/>
  <c r="EO37" i="1"/>
  <c r="V37" i="1"/>
  <c r="GW7" i="1"/>
  <c r="GB7" i="1"/>
  <c r="FV7" i="1"/>
  <c r="FS7" i="1"/>
  <c r="FM7" i="1"/>
  <c r="GE7" i="1"/>
  <c r="ER7" i="1"/>
  <c r="GT7" i="1"/>
  <c r="EO7" i="1"/>
  <c r="EL7" i="1"/>
  <c r="G8" i="1"/>
  <c r="G9" i="1"/>
  <c r="G10" i="1"/>
  <c r="G11" i="1"/>
  <c r="G40" i="1"/>
  <c r="G4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9" i="1"/>
  <c r="G42" i="1"/>
  <c r="G27" i="1"/>
  <c r="G28" i="1"/>
  <c r="G29" i="1"/>
  <c r="G30" i="1"/>
  <c r="G31" i="1"/>
  <c r="G32" i="1"/>
  <c r="G33" i="1"/>
  <c r="G34" i="1"/>
  <c r="G35" i="1"/>
  <c r="G36" i="1"/>
  <c r="G37" i="1"/>
  <c r="S7" i="1"/>
  <c r="HL44" i="1" l="1"/>
  <c r="HL6" i="1"/>
  <c r="FG44" i="1"/>
  <c r="IJ44" i="1"/>
  <c r="DN44" i="1"/>
  <c r="EI6" i="1"/>
  <c r="P38" i="1"/>
  <c r="HC44" i="1"/>
  <c r="IM44" i="1"/>
  <c r="HI44" i="1"/>
  <c r="CJ44" i="1"/>
  <c r="CY44" i="1"/>
  <c r="CS44" i="1"/>
  <c r="CD44" i="1"/>
  <c r="CA44" i="1"/>
  <c r="CV44" i="1"/>
  <c r="AQ44" i="1"/>
  <c r="BC44" i="1"/>
  <c r="M44" i="1"/>
  <c r="G44" i="1"/>
  <c r="EO44" i="1"/>
  <c r="BR44" i="1"/>
  <c r="FV44" i="1"/>
  <c r="S44" i="1"/>
  <c r="BF44" i="1"/>
  <c r="BU44" i="1"/>
  <c r="GZ44" i="1"/>
  <c r="FS44" i="1"/>
  <c r="GW44" i="1"/>
  <c r="KF37" i="1"/>
  <c r="KF35" i="1"/>
  <c r="KF33" i="1"/>
  <c r="KF31" i="1"/>
  <c r="KF29" i="1"/>
  <c r="KF27" i="1"/>
  <c r="KF25" i="1"/>
  <c r="KF23" i="1"/>
  <c r="KF21" i="1"/>
  <c r="KF19" i="1"/>
  <c r="KF17" i="1"/>
  <c r="KF15" i="1"/>
  <c r="KF13" i="1"/>
  <c r="KF11" i="1"/>
  <c r="KF41" i="1"/>
  <c r="KF9" i="1"/>
  <c r="KF36" i="1"/>
  <c r="KF34" i="1"/>
  <c r="KF32" i="1"/>
  <c r="KF30" i="1"/>
  <c r="KF28" i="1"/>
  <c r="KF26" i="1"/>
  <c r="KF24" i="1"/>
  <c r="KF22" i="1"/>
  <c r="KF20" i="1"/>
  <c r="KF18" i="1"/>
  <c r="KF16" i="1"/>
  <c r="KF14" i="1"/>
  <c r="KF12" i="1"/>
  <c r="KF10" i="1"/>
  <c r="KF8" i="1"/>
  <c r="KF42" i="1"/>
  <c r="KF40" i="1"/>
  <c r="KF7" i="1"/>
  <c r="EC44" i="1"/>
  <c r="BO44" i="1"/>
  <c r="GE44" i="1"/>
  <c r="DQ44" i="1"/>
  <c r="FA44" i="1"/>
  <c r="FJ44" i="1"/>
  <c r="GT44" i="1"/>
  <c r="V44" i="1"/>
  <c r="ER44" i="1"/>
  <c r="GB44" i="1"/>
  <c r="EL44" i="1"/>
  <c r="CM44" i="1"/>
  <c r="EU44" i="1"/>
  <c r="FM44" i="1"/>
  <c r="GH44" i="1"/>
  <c r="EI38" i="1"/>
  <c r="AW44" i="1"/>
  <c r="D37" i="1"/>
  <c r="D35" i="1"/>
  <c r="D29" i="1"/>
  <c r="D27" i="1"/>
  <c r="D39" i="1"/>
  <c r="D25" i="1"/>
  <c r="D23" i="1"/>
  <c r="D34" i="1"/>
  <c r="D20" i="1"/>
  <c r="D16" i="1"/>
  <c r="D12" i="1"/>
  <c r="D10" i="1"/>
  <c r="D8" i="1"/>
  <c r="D7" i="1"/>
  <c r="D36" i="1"/>
  <c r="D15" i="1"/>
  <c r="D13" i="1"/>
  <c r="D41" i="1"/>
  <c r="D11" i="1"/>
  <c r="D9" i="1"/>
  <c r="D30" i="1"/>
  <c r="D28" i="1"/>
  <c r="D24" i="1"/>
  <c r="D22" i="1"/>
  <c r="D42" i="1"/>
  <c r="D18" i="1"/>
  <c r="D32" i="1"/>
  <c r="D21" i="1"/>
  <c r="D14" i="1"/>
  <c r="D33" i="1"/>
  <c r="D31" i="1"/>
  <c r="D26" i="1"/>
  <c r="D19" i="1"/>
  <c r="D17" i="1"/>
  <c r="D40" i="1"/>
  <c r="P44" i="1" l="1"/>
  <c r="KF39" i="1"/>
  <c r="KF6" i="1"/>
  <c r="KF38" i="1"/>
  <c r="D38" i="1"/>
  <c r="EI44" i="1"/>
  <c r="D6" i="1"/>
  <c r="KF44" i="1" l="1"/>
</calcChain>
</file>

<file path=xl/sharedStrings.xml><?xml version="1.0" encoding="utf-8"?>
<sst xmlns="http://schemas.openxmlformats.org/spreadsheetml/2006/main" count="2465" uniqueCount="220">
  <si>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</si>
  <si>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</si>
  <si>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</si>
  <si>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</si>
  <si>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</si>
  <si>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</si>
  <si>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</si>
  <si>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</si>
  <si>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</si>
  <si>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</si>
  <si>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</si>
  <si>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</si>
  <si>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</si>
  <si>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</si>
  <si>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</si>
  <si>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</si>
  <si>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</si>
  <si>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</si>
  <si>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</si>
  <si>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</si>
  <si>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</si>
  <si>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</si>
  <si>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</si>
  <si>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</si>
  <si>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</si>
  <si>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</si>
  <si>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</si>
  <si>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</si>
  <si>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</si>
  <si>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</si>
  <si>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</si>
  <si>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</si>
  <si>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</si>
  <si>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</si>
  <si>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</si>
  <si>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</si>
  <si>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</si>
  <si>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</si>
  <si>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</si>
  <si>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</si>
  <si>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</si>
  <si>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</si>
  <si>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</si>
  <si>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</si>
  <si>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</si>
  <si>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</si>
  <si>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Субвенции-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</si>
  <si>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</si>
  <si>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</si>
  <si>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</si>
  <si>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</si>
  <si>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</si>
  <si>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</si>
  <si>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</si>
  <si>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</si>
  <si>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</si>
  <si>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</si>
  <si>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</si>
  <si>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</si>
  <si>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</si>
  <si>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</si>
  <si>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</si>
  <si>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</si>
  <si>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</si>
  <si>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24202R0270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</si>
  <si>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</si>
  <si>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</si>
  <si>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</si>
  <si>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</si>
  <si>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</si>
  <si>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</si>
  <si>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</si>
  <si>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</si>
  <si>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</si>
  <si>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</si>
  <si>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</si>
  <si>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</si>
  <si>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</si>
  <si>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</si>
  <si>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</si>
  <si>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</si>
  <si>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</si>
  <si>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</si>
  <si>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</si>
  <si>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15102R5190</t>
  </si>
  <si>
    <t>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</si>
  <si>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</si>
  <si>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</si>
  <si>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</si>
  <si>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</si>
  <si>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</si>
  <si>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</si>
  <si>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</si>
  <si>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</si>
  <si>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</si>
  <si>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</si>
  <si>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</si>
  <si>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</si>
  <si>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</si>
  <si>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</si>
  <si>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</si>
  <si>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</si>
  <si>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</si>
  <si>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</si>
  <si>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</si>
  <si>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</si>
  <si>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</si>
  <si>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</si>
  <si>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</si>
  <si>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</si>
  <si>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</si>
  <si>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</si>
  <si>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</si>
  <si>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</si>
  <si>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</si>
  <si>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</si>
  <si>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</si>
  <si>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</si>
  <si>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</si>
  <si>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</si>
  <si>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</si>
  <si>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</si>
  <si>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</si>
  <si>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</si>
  <si>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</si>
  <si>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</si>
  <si>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</si>
  <si>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</si>
  <si>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</si>
  <si>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</si>
  <si>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</si>
  <si>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</si>
  <si>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</si>
  <si>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</si>
  <si>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</si>
  <si>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</si>
  <si>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1310379502</t>
  </si>
  <si>
    <t>1410171201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</si>
  <si>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</si>
  <si>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</si>
  <si>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</si>
  <si>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</si>
  <si>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</si>
  <si>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</si>
  <si>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</si>
  <si>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</si>
  <si>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</si>
  <si>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</si>
  <si>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</si>
  <si>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</si>
  <si>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</si>
  <si>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</si>
  <si>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</si>
  <si>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Осуществление государственных полномочий в области социальной защиты населения</t>
  </si>
  <si>
    <t>1490579230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</si>
  <si>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</si>
  <si>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</si>
  <si>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</si>
  <si>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</si>
  <si>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</si>
  <si>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</si>
  <si>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</si>
  <si>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</si>
  <si>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</si>
  <si>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</si>
  <si>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</si>
  <si>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</si>
  <si>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</si>
  <si>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</si>
  <si>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</si>
  <si>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</si>
  <si>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</si>
  <si>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</si>
  <si>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</si>
  <si>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</si>
  <si>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0130278060</t>
  </si>
  <si>
    <t>1730372400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</si>
  <si>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</si>
  <si>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</si>
  <si>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</si>
  <si>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2120472806</t>
  </si>
  <si>
    <t>133065505М</t>
  </si>
  <si>
    <t>151085505М</t>
  </si>
  <si>
    <t>184015505М</t>
  </si>
  <si>
    <t>291045505М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</si>
  <si>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</si>
  <si>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</si>
  <si>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</si>
  <si>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</si>
  <si>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</si>
  <si>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Создание виртуальных концертных залов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</si>
  <si>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</si>
  <si>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8800000704</t>
  </si>
  <si>
    <t>151A354530</t>
  </si>
  <si>
    <t>133R153930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</si>
  <si>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</si>
  <si>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</si>
  <si>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1420171201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</si>
  <si>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</si>
  <si>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</si>
  <si>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2730374303</t>
  </si>
  <si>
    <t>Оказание содействия в подготовке и проведении общероссийского голосования, а также в информировании граждан Российской Федерации о такой подготовке</t>
  </si>
  <si>
    <t>880W009108</t>
  </si>
  <si>
    <t>141075505М</t>
  </si>
  <si>
    <t>142045505М</t>
  </si>
  <si>
    <t>184135505М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</si>
  <si>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</si>
  <si>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</si>
  <si>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</si>
  <si>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14203R3040</t>
  </si>
  <si>
    <t>Финансовое обеспечение дорожной деятельности в целях реализации мероприятий в городских агломерациях в том числе за счет средств резервного фонда Правительства Российской Федерации</t>
  </si>
  <si>
    <t>133R158560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</si>
  <si>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</si>
  <si>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</si>
  <si>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Иные межбюджетные трансферты бюджетам муниципальных районов (городских округов) за достижение значений (уровней) показателей по итогам рейтинга</t>
  </si>
  <si>
    <t>8800078200</t>
  </si>
  <si>
    <t>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</t>
  </si>
  <si>
    <t>8800079109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</si>
  <si>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</si>
  <si>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Сведения о фактически произведенных расходах из бюджета Забайкальского края на предоставления межбюджетных трансфертов бюджетам муниципальных образований по состоянию на 01.10.2020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</si>
</sst>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</borders>
  <cellStyleXfs count="5">
    <xf numFmtId="0" fontId="0" fillId="0" borderId="0"/>
    <xf numFmtId="49" fontId="3" fillId="0" borderId="5">
      <alignment horizontal="center" vertical="center" wrapText="1"/>
    </xf>
    <xf numFmtId="0" fontId="7" fillId="0" borderId="0" applyFont="0" applyFill="0" applyBorder="0" applyAlignment="0" applyProtection="0"/>
    <xf numFmtId="49" fontId="3" fillId="0" borderId="5">
      <alignment horizontal="center" vertical="center" wrapText="1"/>
    </xf>
    <xf numFmtId="4" fontId="9" fillId="2" borderId="17">
      <alignment horizontal="right" shrinkToFit="1"/>
    </xf>
  </cellStyleXfs>
  <cellXfs count="1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/>
    <xf numFmtId="2" fontId="2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 applyProtection="1">
      <alignment horizontal="right" vertical="center" shrinkToFit="1"/>
    </xf>
    <xf numFmtId="164" fontId="2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8" fillId="0" borderId="1" xfId="3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164" fontId="1" fillId="4" borderId="2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1" fillId="4" borderId="3" xfId="0" applyNumberFormat="1" applyFont="1" applyFill="1" applyBorder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4" xfId="0" quotePrefix="1" applyNumberFormat="1" applyFont="1" applyFill="1" applyBorder="1" applyAlignment="1">
      <alignment horizontal="center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</cellXfs>
  <cellStyles count="5">
    <cellStyle name="xl23" xfId="3"/>
    <cellStyle name="xl34" xfId="4"/>
    <cellStyle name="xl36" xfId="1"/>
    <cellStyle name="Обычный" xfId="0" builtinId="0"/>
    <cellStyle name="Финансовый_Лист2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J1048576"/>
  <sheetViews>
    <sheetView tabSelected="1" view="pageBreakPreview" zoomScale="75" zoomScaleNormal="90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5" sqref="O5"/>
    </sheetView>
  </sheetViews>
  <sheetFormatPr defaultColWidth="27.28515625" defaultRowHeight="12.75" x14ac:dyDescent="0.2"/>
  <cols>
    <col min="1" max="1" width="39.5703125" style="1" customWidth="1"/>
    <col min="2" max="2" width="19.28515625" style="1" customWidth="1"/>
    <col min="3" max="3" width="16.85546875" style="1" customWidth="1"/>
    <col min="4" max="4" width="13.5703125" style="1" customWidth="1"/>
    <col min="5" max="5" width="16" style="1" customWidth="1"/>
    <col min="6" max="6" width="14" style="1" customWidth="1"/>
    <col min="7" max="7" width="12.85546875" style="1" customWidth="1"/>
    <col min="8" max="8" width="16.140625" style="1" customWidth="1"/>
    <col min="9" max="9" width="14.85546875" style="1" customWidth="1"/>
    <col min="10" max="10" width="12.85546875" style="1" customWidth="1"/>
    <col min="11" max="11" width="17.140625" style="1" customWidth="1"/>
    <col min="12" max="12" width="14.5703125" style="1" customWidth="1"/>
    <col min="13" max="13" width="14.42578125" style="1" customWidth="1"/>
    <col min="14" max="14" width="18.28515625" style="1" customWidth="1"/>
    <col min="15" max="15" width="14.42578125" style="1" customWidth="1"/>
    <col min="16" max="16" width="13.28515625" style="1" customWidth="1"/>
    <col min="17" max="17" width="17.5703125" style="1" customWidth="1"/>
    <col min="18" max="18" width="15.42578125" style="1" customWidth="1"/>
    <col min="19" max="19" width="13.42578125" style="1" customWidth="1"/>
    <col min="20" max="20" width="19" style="1" customWidth="1"/>
    <col min="21" max="21" width="16.5703125" style="1" customWidth="1"/>
    <col min="22" max="22" width="12.85546875" style="1" customWidth="1"/>
    <col min="23" max="23" width="16.5703125" style="1" customWidth="1"/>
    <col min="24" max="24" width="15.7109375" style="1" customWidth="1"/>
    <col min="25" max="25" width="12.85546875" style="1" customWidth="1"/>
    <col min="26" max="26" width="16.140625" style="1" customWidth="1"/>
    <col min="27" max="27" width="16.5703125" style="1" customWidth="1"/>
    <col min="28" max="28" width="12.85546875" style="1" customWidth="1"/>
    <col min="29" max="29" width="16.7109375" style="1" customWidth="1"/>
    <col min="30" max="30" width="15" style="1" customWidth="1"/>
    <col min="31" max="31" width="14.140625" style="1" customWidth="1"/>
    <col min="32" max="32" width="16.85546875" style="1" customWidth="1"/>
    <col min="33" max="33" width="15" style="1" customWidth="1"/>
    <col min="34" max="34" width="14.7109375" style="1" customWidth="1"/>
    <col min="35" max="35" width="18.140625" style="1" customWidth="1"/>
    <col min="36" max="36" width="13.28515625" style="1" customWidth="1"/>
    <col min="37" max="37" width="14.5703125" style="1" customWidth="1"/>
    <col min="38" max="38" width="17.7109375" style="1" customWidth="1"/>
    <col min="39" max="39" width="14.42578125" style="1" customWidth="1"/>
    <col min="40" max="40" width="11.7109375" style="1" customWidth="1"/>
    <col min="41" max="41" width="20.140625" style="1" customWidth="1"/>
    <col min="42" max="42" width="16.7109375" style="1" customWidth="1"/>
    <col min="43" max="43" width="11.5703125" style="1" customWidth="1"/>
    <col min="44" max="44" width="17" style="1" customWidth="1"/>
    <col min="45" max="45" width="16" style="1" customWidth="1"/>
    <col min="46" max="46" width="11.5703125" style="1" customWidth="1"/>
    <col min="47" max="47" width="18.140625" style="1" customWidth="1"/>
    <col min="48" max="48" width="16.28515625" style="1" customWidth="1"/>
    <col min="49" max="49" width="11.5703125" style="1" customWidth="1"/>
    <col min="50" max="50" width="18" style="1" customWidth="1"/>
    <col min="51" max="51" width="14.5703125" style="1" customWidth="1"/>
    <col min="52" max="52" width="13.85546875" style="1" customWidth="1"/>
    <col min="53" max="53" width="15.7109375" style="1" customWidth="1"/>
    <col min="54" max="54" width="13.5703125" style="1" customWidth="1"/>
    <col min="55" max="55" width="14.5703125" style="1" customWidth="1"/>
    <col min="56" max="56" width="18.140625" style="1" customWidth="1"/>
    <col min="57" max="57" width="13.140625" style="1" customWidth="1"/>
    <col min="58" max="58" width="13.7109375" style="1" customWidth="1"/>
    <col min="59" max="59" width="18.85546875" style="1" customWidth="1"/>
    <col min="60" max="60" width="13.85546875" style="1" customWidth="1"/>
    <col min="61" max="61" width="15.28515625" style="1" customWidth="1"/>
    <col min="62" max="62" width="16.7109375" style="1" customWidth="1"/>
    <col min="63" max="63" width="15.7109375" style="1" customWidth="1"/>
    <col min="64" max="64" width="11.5703125" style="1" customWidth="1"/>
    <col min="65" max="65" width="19.5703125" style="1" customWidth="1"/>
    <col min="66" max="66" width="15.85546875" style="1" customWidth="1"/>
    <col min="67" max="67" width="11.5703125" style="1" customWidth="1"/>
    <col min="68" max="68" width="19.42578125" style="1" customWidth="1"/>
    <col min="69" max="69" width="14.28515625" style="1" customWidth="1"/>
    <col min="70" max="70" width="12.28515625" style="1" customWidth="1"/>
    <col min="71" max="71" width="17.42578125" style="1" customWidth="1"/>
    <col min="72" max="72" width="16.5703125" style="1" customWidth="1"/>
    <col min="73" max="73" width="11.5703125" style="1" customWidth="1"/>
    <col min="74" max="74" width="19.42578125" style="1" customWidth="1"/>
    <col min="75" max="75" width="14" style="1" customWidth="1"/>
    <col min="76" max="76" width="11.5703125" style="1" customWidth="1"/>
    <col min="77" max="77" width="25" style="1" customWidth="1"/>
    <col min="78" max="78" width="15.85546875" style="1" customWidth="1"/>
    <col min="79" max="79" width="14" style="1" customWidth="1"/>
    <col min="80" max="82" width="17" style="1" customWidth="1"/>
    <col min="83" max="83" width="15.140625" style="1" customWidth="1"/>
    <col min="84" max="84" width="16.5703125" style="1" customWidth="1"/>
    <col min="85" max="85" width="11.5703125" style="1" customWidth="1"/>
    <col min="86" max="86" width="17" style="1" customWidth="1"/>
    <col min="87" max="87" width="16.28515625" style="1" customWidth="1"/>
    <col min="88" max="88" width="17.42578125" style="1" customWidth="1"/>
    <col min="89" max="89" width="17" style="1" customWidth="1"/>
    <col min="90" max="90" width="13.140625" style="1" customWidth="1"/>
    <col min="91" max="91" width="13.85546875" style="1" customWidth="1"/>
    <col min="92" max="92" width="17.140625" style="1" customWidth="1"/>
    <col min="93" max="93" width="15" style="1" customWidth="1"/>
    <col min="94" max="94" width="13.5703125" style="1" customWidth="1"/>
    <col min="95" max="95" width="16.28515625" style="1" customWidth="1"/>
    <col min="96" max="96" width="15.7109375" style="1" customWidth="1"/>
    <col min="97" max="97" width="11.5703125" style="1" customWidth="1"/>
    <col min="98" max="98" width="16.5703125" style="1" customWidth="1"/>
    <col min="99" max="99" width="13.140625" style="1" customWidth="1"/>
    <col min="100" max="100" width="14.42578125" style="1" customWidth="1"/>
    <col min="101" max="101" width="16.140625" style="1" customWidth="1"/>
    <col min="102" max="102" width="15.42578125" style="1" customWidth="1"/>
    <col min="103" max="103" width="14.85546875" style="1" customWidth="1"/>
    <col min="104" max="104" width="18.7109375" style="1" customWidth="1"/>
    <col min="105" max="105" width="14" style="1" customWidth="1"/>
    <col min="106" max="106" width="11.5703125" style="1" customWidth="1"/>
    <col min="107" max="107" width="18.140625" style="1" customWidth="1"/>
    <col min="108" max="108" width="14.42578125" style="1" customWidth="1"/>
    <col min="109" max="109" width="14.140625" style="1" customWidth="1"/>
    <col min="110" max="110" width="17.5703125" style="1" customWidth="1"/>
    <col min="111" max="111" width="15.85546875" style="1" customWidth="1"/>
    <col min="112" max="112" width="11.5703125" style="1" customWidth="1"/>
    <col min="113" max="113" width="16.42578125" style="1" customWidth="1"/>
    <col min="114" max="114" width="15" style="1" customWidth="1"/>
    <col min="115" max="115" width="13.5703125" style="1" customWidth="1"/>
    <col min="116" max="116" width="17.140625" style="1" customWidth="1"/>
    <col min="117" max="117" width="15.5703125" style="1" customWidth="1"/>
    <col min="118" max="118" width="14.85546875" style="1" customWidth="1"/>
    <col min="119" max="120" width="16.140625" style="1" customWidth="1"/>
    <col min="121" max="121" width="14.85546875" style="1" customWidth="1"/>
    <col min="122" max="122" width="17.5703125" style="1" customWidth="1"/>
    <col min="123" max="123" width="15.5703125" style="1" customWidth="1"/>
    <col min="124" max="124" width="11.5703125" style="1" customWidth="1"/>
    <col min="125" max="125" width="19.140625" style="1" customWidth="1"/>
    <col min="126" max="126" width="14.7109375" style="1" customWidth="1"/>
    <col min="127" max="127" width="16.42578125" style="1" customWidth="1"/>
    <col min="128" max="128" width="16.5703125" style="1" customWidth="1"/>
    <col min="129" max="129" width="15.5703125" style="1" customWidth="1"/>
    <col min="130" max="130" width="16.28515625" style="1" customWidth="1"/>
    <col min="131" max="131" width="16.140625" style="1" customWidth="1"/>
    <col min="132" max="132" width="16.28515625" style="1" customWidth="1"/>
    <col min="133" max="133" width="11.5703125" style="1" customWidth="1"/>
    <col min="134" max="134" width="16.7109375" style="1" customWidth="1"/>
    <col min="135" max="135" width="15.5703125" style="1" customWidth="1"/>
    <col min="136" max="136" width="11.5703125" style="1" customWidth="1"/>
    <col min="137" max="137" width="17" style="1" customWidth="1"/>
    <col min="138" max="138" width="15" style="1" bestFit="1" customWidth="1"/>
    <col min="139" max="139" width="14.28515625" style="1" customWidth="1"/>
    <col min="140" max="140" width="17.5703125" style="1" customWidth="1"/>
    <col min="141" max="141" width="16.5703125" style="1" customWidth="1"/>
    <col min="142" max="142" width="19.85546875" style="1" customWidth="1"/>
    <col min="143" max="143" width="15.7109375" style="1" customWidth="1"/>
    <col min="144" max="144" width="17.7109375" style="1" customWidth="1"/>
    <col min="145" max="145" width="11.5703125" style="1" customWidth="1"/>
    <col min="146" max="146" width="16.28515625" style="1" customWidth="1"/>
    <col min="147" max="147" width="15.42578125" style="1" customWidth="1"/>
    <col min="148" max="148" width="11.5703125" style="1" customWidth="1"/>
    <col min="149" max="149" width="21.5703125" style="1" customWidth="1"/>
    <col min="150" max="150" width="17.140625" style="1" customWidth="1"/>
    <col min="151" max="151" width="14.5703125" style="1" customWidth="1"/>
    <col min="152" max="152" width="17.85546875" style="6" customWidth="1"/>
    <col min="153" max="154" width="17.140625" style="6" customWidth="1"/>
    <col min="155" max="155" width="16" style="1" customWidth="1"/>
    <col min="156" max="156" width="14" style="1" customWidth="1"/>
    <col min="157" max="157" width="11.5703125" style="1" customWidth="1"/>
    <col min="158" max="158" width="16.85546875" style="1" customWidth="1"/>
    <col min="159" max="159" width="15.7109375" style="1" customWidth="1"/>
    <col min="160" max="160" width="14.28515625" style="1" customWidth="1"/>
    <col min="161" max="161" width="17.7109375" style="1" customWidth="1"/>
    <col min="162" max="162" width="14.28515625" style="1" customWidth="1"/>
    <col min="163" max="163" width="13" style="1" customWidth="1"/>
    <col min="164" max="164" width="15.85546875" style="1" customWidth="1"/>
    <col min="165" max="165" width="16.28515625" style="1" customWidth="1"/>
    <col min="166" max="166" width="17.5703125" style="1" customWidth="1"/>
    <col min="167" max="167" width="16.7109375" style="1" customWidth="1"/>
    <col min="168" max="168" width="13.140625" style="1" customWidth="1"/>
    <col min="169" max="169" width="14.140625" style="1" customWidth="1"/>
    <col min="170" max="170" width="16" style="1" customWidth="1"/>
    <col min="171" max="171" width="14.85546875" style="1" customWidth="1"/>
    <col min="172" max="172" width="13.85546875" style="1" customWidth="1"/>
    <col min="173" max="173" width="17.7109375" style="1" customWidth="1"/>
    <col min="174" max="174" width="15.42578125" style="1" customWidth="1"/>
    <col min="175" max="175" width="11.5703125" style="1" customWidth="1"/>
    <col min="176" max="176" width="19" style="1" customWidth="1"/>
    <col min="177" max="177" width="15.5703125" style="1" customWidth="1"/>
    <col min="178" max="178" width="16" style="1" customWidth="1"/>
    <col min="179" max="179" width="15.85546875" style="1" customWidth="1"/>
    <col min="180" max="180" width="14.5703125" style="1" customWidth="1"/>
    <col min="181" max="181" width="11.5703125" style="1" customWidth="1"/>
    <col min="182" max="182" width="18" style="1" customWidth="1"/>
    <col min="183" max="183" width="15.42578125" style="1" customWidth="1"/>
    <col min="184" max="184" width="11.5703125" style="1" customWidth="1"/>
    <col min="185" max="185" width="18.42578125" style="1" customWidth="1"/>
    <col min="186" max="186" width="13.28515625" style="1" customWidth="1"/>
    <col min="187" max="187" width="11.5703125" style="1" customWidth="1"/>
    <col min="188" max="188" width="20.5703125" style="1" customWidth="1"/>
    <col min="189" max="189" width="16" style="1" customWidth="1"/>
    <col min="190" max="190" width="15.5703125" style="1" customWidth="1"/>
    <col min="191" max="191" width="18.85546875" style="1" customWidth="1"/>
    <col min="192" max="192" width="15.5703125" style="1" customWidth="1"/>
    <col min="193" max="193" width="14.140625" style="1" customWidth="1"/>
    <col min="194" max="194" width="17" style="1" customWidth="1"/>
    <col min="195" max="195" width="14.7109375" style="1" customWidth="1"/>
    <col min="196" max="196" width="15.85546875" style="1" customWidth="1"/>
    <col min="197" max="197" width="18.7109375" style="1" customWidth="1"/>
    <col min="198" max="198" width="16" style="1" customWidth="1"/>
    <col min="199" max="199" width="11.5703125" style="1" customWidth="1"/>
    <col min="200" max="200" width="17.140625" style="1" customWidth="1"/>
    <col min="201" max="201" width="14.28515625" style="1" customWidth="1"/>
    <col min="202" max="202" width="11.5703125" style="1" customWidth="1"/>
    <col min="203" max="203" width="18" style="1" customWidth="1"/>
    <col min="204" max="204" width="14.42578125" style="1" customWidth="1"/>
    <col min="205" max="205" width="11.5703125" style="1" customWidth="1"/>
    <col min="206" max="206" width="17.28515625" style="1" customWidth="1"/>
    <col min="207" max="207" width="16.7109375" style="1" customWidth="1"/>
    <col min="208" max="208" width="15" style="1" customWidth="1"/>
    <col min="209" max="209" width="17" style="1" customWidth="1"/>
    <col min="210" max="210" width="17.28515625" style="1" customWidth="1"/>
    <col min="211" max="211" width="11.5703125" style="1" customWidth="1"/>
    <col min="212" max="212" width="17.28515625" style="1" customWidth="1"/>
    <col min="213" max="213" width="17" style="1" customWidth="1"/>
    <col min="214" max="214" width="11.5703125" style="1" customWidth="1"/>
    <col min="215" max="215" width="16.28515625" style="1" customWidth="1"/>
    <col min="216" max="216" width="15.5703125" style="1" customWidth="1"/>
    <col min="217" max="217" width="13.5703125" style="1" customWidth="1"/>
    <col min="218" max="218" width="17.140625" style="6" customWidth="1"/>
    <col min="219" max="219" width="18.5703125" style="6" customWidth="1"/>
    <col min="220" max="220" width="11.5703125" style="6" customWidth="1"/>
    <col min="221" max="221" width="15" style="6" customWidth="1"/>
    <col min="222" max="222" width="14.7109375" style="6" customWidth="1"/>
    <col min="223" max="223" width="14.85546875" style="6" customWidth="1"/>
    <col min="224" max="224" width="21.5703125" style="6" customWidth="1"/>
    <col min="225" max="225" width="13.7109375" style="6" customWidth="1"/>
    <col min="226" max="226" width="12.5703125" style="6" customWidth="1"/>
    <col min="227" max="227" width="17.42578125" style="6" customWidth="1"/>
    <col min="228" max="228" width="13.7109375" style="6" customWidth="1"/>
    <col min="229" max="229" width="14.28515625" style="6" customWidth="1"/>
    <col min="230" max="230" width="16.140625" style="6" customWidth="1"/>
    <col min="231" max="231" width="15" style="6" customWidth="1"/>
    <col min="232" max="232" width="15.28515625" style="6" customWidth="1"/>
    <col min="233" max="233" width="19.28515625" style="6" customWidth="1"/>
    <col min="234" max="234" width="14.7109375" style="6" customWidth="1"/>
    <col min="235" max="235" width="15" style="6" customWidth="1"/>
    <col min="236" max="236" width="15.28515625" style="6" customWidth="1"/>
    <col min="237" max="238" width="14.140625" style="6" customWidth="1"/>
    <col min="239" max="239" width="18" style="6" customWidth="1"/>
    <col min="240" max="240" width="15.42578125" style="6" customWidth="1"/>
    <col min="241" max="241" width="15.5703125" style="6" customWidth="1"/>
    <col min="242" max="242" width="16.7109375" style="1" customWidth="1"/>
    <col min="243" max="243" width="14.42578125" style="1" customWidth="1"/>
    <col min="244" max="244" width="12.85546875" style="1" customWidth="1"/>
    <col min="245" max="245" width="18.140625" style="1" customWidth="1"/>
    <col min="246" max="246" width="15.85546875" style="1" customWidth="1"/>
    <col min="247" max="247" width="14.5703125" style="1" customWidth="1"/>
    <col min="248" max="248" width="16.85546875" style="1" customWidth="1"/>
    <col min="249" max="249" width="15.85546875" style="1" customWidth="1"/>
    <col min="250" max="250" width="11.7109375" style="1" customWidth="1"/>
    <col min="251" max="251" width="19.140625" style="1" customWidth="1"/>
    <col min="252" max="252" width="17.5703125" style="1" customWidth="1"/>
    <col min="253" max="253" width="11.7109375" style="1" customWidth="1"/>
    <col min="254" max="254" width="18.7109375" style="1" customWidth="1"/>
    <col min="255" max="255" width="16.85546875" style="1" customWidth="1"/>
    <col min="256" max="256" width="11.7109375" style="1" customWidth="1"/>
    <col min="257" max="257" width="17.5703125" style="1" customWidth="1"/>
    <col min="258" max="258" width="14.140625" style="1" customWidth="1"/>
    <col min="259" max="259" width="11.7109375" style="1" customWidth="1"/>
    <col min="260" max="261" width="17.5703125" style="1" customWidth="1"/>
    <col min="262" max="262" width="11.7109375" style="1" customWidth="1"/>
    <col min="263" max="263" width="15" style="1" customWidth="1"/>
    <col min="264" max="264" width="13.28515625" style="1" customWidth="1"/>
    <col min="265" max="265" width="14.7109375" style="1" customWidth="1"/>
    <col min="266" max="266" width="17.140625" style="1" customWidth="1"/>
    <col min="267" max="267" width="13.42578125" style="1" customWidth="1"/>
    <col min="268" max="268" width="14.7109375" style="1" customWidth="1"/>
    <col min="269" max="269" width="16.28515625" style="1" customWidth="1"/>
    <col min="270" max="270" width="14.28515625" style="1" customWidth="1"/>
    <col min="271" max="271" width="14.5703125" style="1" customWidth="1"/>
    <col min="272" max="272" width="17.28515625" style="1" customWidth="1"/>
    <col min="273" max="273" width="15" style="1" customWidth="1"/>
    <col min="274" max="274" width="21" style="1" customWidth="1"/>
    <col min="275" max="275" width="15.140625" style="1" customWidth="1"/>
    <col min="276" max="276" width="15.28515625" style="1" customWidth="1"/>
    <col min="277" max="277" width="11.7109375" style="1" customWidth="1"/>
    <col min="278" max="278" width="18" style="1" customWidth="1"/>
    <col min="279" max="279" width="16.42578125" style="1" customWidth="1"/>
    <col min="280" max="280" width="16" style="1" customWidth="1"/>
    <col min="281" max="281" width="17.85546875" style="1" customWidth="1"/>
    <col min="282" max="282" width="16.85546875" style="1" customWidth="1"/>
    <col min="283" max="283" width="11.7109375" style="1" customWidth="1"/>
    <col min="284" max="284" width="18" style="1" customWidth="1"/>
    <col min="285" max="285" width="13.5703125" style="1" customWidth="1"/>
    <col min="286" max="289" width="15.85546875" style="1" customWidth="1"/>
    <col min="290" max="290" width="15.28515625" style="1" customWidth="1"/>
    <col min="291" max="291" width="15" style="1" customWidth="1"/>
    <col min="292" max="292" width="11.7109375" style="2" customWidth="1"/>
    <col min="293" max="16384" width="27.28515625" style="1"/>
  </cols>
  <sheetData>
    <row r="1" spans="1:296" ht="30" customHeight="1" x14ac:dyDescent="0.2">
      <c r="A1" s="80" t="s">
        <v>219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KF1" s="2" t="s">
        <v>54</v>
      </c>
    </row>
    <row r="2" spans="1:296" s="3" customFormat="1" ht="14.25" customHeight="1" x14ac:dyDescent="0.2">
      <c r="A2" s="96" t="s">
        <v>49</v>
      </c>
      <c r="B2" s="81" t="s">
        <v>42</v>
      </c>
      <c r="C2" s="82"/>
      <c r="D2" s="83"/>
      <c r="E2" s="90" t="s">
        <v>44</v>
      </c>
      <c r="F2" s="91"/>
      <c r="G2" s="91"/>
      <c r="H2" s="91"/>
      <c r="I2" s="91"/>
      <c r="J2" s="91"/>
      <c r="K2" s="91"/>
      <c r="L2" s="91"/>
      <c r="M2" s="92"/>
      <c r="N2" s="81" t="s">
        <v>45</v>
      </c>
      <c r="O2" s="82"/>
      <c r="P2" s="83"/>
      <c r="Q2" s="90" t="s">
        <v>44</v>
      </c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81" t="s">
        <v>46</v>
      </c>
      <c r="EH2" s="82"/>
      <c r="EI2" s="83"/>
      <c r="EJ2" s="90" t="s">
        <v>44</v>
      </c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2"/>
      <c r="HJ2" s="104" t="s">
        <v>47</v>
      </c>
      <c r="HK2" s="105"/>
      <c r="HL2" s="106"/>
      <c r="HM2" s="57" t="s">
        <v>44</v>
      </c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9"/>
      <c r="KD2" s="76" t="s">
        <v>48</v>
      </c>
      <c r="KE2" s="76"/>
      <c r="KF2" s="76"/>
    </row>
    <row r="3" spans="1:296" s="4" customFormat="1" ht="105.75" customHeight="1" x14ac:dyDescent="0.2">
      <c r="A3" s="97"/>
      <c r="B3" s="84"/>
      <c r="C3" s="85"/>
      <c r="D3" s="86"/>
      <c r="E3" s="77" t="s">
        <v>3</v>
      </c>
      <c r="F3" s="78"/>
      <c r="G3" s="79"/>
      <c r="H3" s="77" t="s">
        <v>4</v>
      </c>
      <c r="I3" s="78"/>
      <c r="J3" s="79"/>
      <c r="K3" s="77" t="s">
        <v>5</v>
      </c>
      <c r="L3" s="78"/>
      <c r="M3" s="79"/>
      <c r="N3" s="84"/>
      <c r="O3" s="85"/>
      <c r="P3" s="86"/>
      <c r="Q3" s="77" t="s">
        <v>58</v>
      </c>
      <c r="R3" s="78"/>
      <c r="S3" s="79"/>
      <c r="T3" s="77" t="s">
        <v>59</v>
      </c>
      <c r="U3" s="78"/>
      <c r="V3" s="79"/>
      <c r="W3" s="77" t="s">
        <v>61</v>
      </c>
      <c r="X3" s="78"/>
      <c r="Y3" s="79"/>
      <c r="Z3" s="77" t="s">
        <v>63</v>
      </c>
      <c r="AA3" s="78"/>
      <c r="AB3" s="79"/>
      <c r="AC3" s="77" t="s">
        <v>65</v>
      </c>
      <c r="AD3" s="78"/>
      <c r="AE3" s="78"/>
      <c r="AF3" s="77" t="s">
        <v>67</v>
      </c>
      <c r="AG3" s="78"/>
      <c r="AH3" s="78"/>
      <c r="AI3" s="77" t="s">
        <v>69</v>
      </c>
      <c r="AJ3" s="78"/>
      <c r="AK3" s="79"/>
      <c r="AL3" s="77" t="s">
        <v>71</v>
      </c>
      <c r="AM3" s="78"/>
      <c r="AN3" s="79"/>
      <c r="AO3" s="77" t="s">
        <v>73</v>
      </c>
      <c r="AP3" s="78"/>
      <c r="AQ3" s="79"/>
      <c r="AR3" s="77" t="s">
        <v>75</v>
      </c>
      <c r="AS3" s="78"/>
      <c r="AT3" s="79"/>
      <c r="AU3" s="77" t="s">
        <v>77</v>
      </c>
      <c r="AV3" s="78"/>
      <c r="AW3" s="79"/>
      <c r="AX3" s="101" t="s">
        <v>208</v>
      </c>
      <c r="AY3" s="102"/>
      <c r="AZ3" s="103"/>
      <c r="BA3" s="77" t="s">
        <v>79</v>
      </c>
      <c r="BB3" s="78"/>
      <c r="BC3" s="79"/>
      <c r="BD3" s="77" t="s">
        <v>81</v>
      </c>
      <c r="BE3" s="78"/>
      <c r="BF3" s="79"/>
      <c r="BG3" s="77" t="s">
        <v>83</v>
      </c>
      <c r="BH3" s="78"/>
      <c r="BI3" s="79"/>
      <c r="BJ3" s="77" t="s">
        <v>83</v>
      </c>
      <c r="BK3" s="78"/>
      <c r="BL3" s="79"/>
      <c r="BM3" s="77" t="s">
        <v>86</v>
      </c>
      <c r="BN3" s="78"/>
      <c r="BO3" s="79"/>
      <c r="BP3" s="77" t="s">
        <v>88</v>
      </c>
      <c r="BQ3" s="78"/>
      <c r="BR3" s="79"/>
      <c r="BS3" s="77" t="s">
        <v>90</v>
      </c>
      <c r="BT3" s="78"/>
      <c r="BU3" s="79"/>
      <c r="BV3" s="77" t="s">
        <v>92</v>
      </c>
      <c r="BW3" s="78"/>
      <c r="BX3" s="79"/>
      <c r="BY3" s="77" t="s">
        <v>94</v>
      </c>
      <c r="BZ3" s="78"/>
      <c r="CA3" s="79"/>
      <c r="CB3" s="93" t="s">
        <v>96</v>
      </c>
      <c r="CC3" s="94"/>
      <c r="CD3" s="95"/>
      <c r="CE3" s="93" t="s">
        <v>96</v>
      </c>
      <c r="CF3" s="94"/>
      <c r="CG3" s="95"/>
      <c r="CH3" s="93" t="s">
        <v>96</v>
      </c>
      <c r="CI3" s="94"/>
      <c r="CJ3" s="95"/>
      <c r="CK3" s="93" t="s">
        <v>100</v>
      </c>
      <c r="CL3" s="94"/>
      <c r="CM3" s="95"/>
      <c r="CN3" s="93" t="s">
        <v>102</v>
      </c>
      <c r="CO3" s="94"/>
      <c r="CP3" s="95"/>
      <c r="CQ3" s="93" t="s">
        <v>104</v>
      </c>
      <c r="CR3" s="94"/>
      <c r="CS3" s="95"/>
      <c r="CT3" s="93" t="s">
        <v>106</v>
      </c>
      <c r="CU3" s="94"/>
      <c r="CV3" s="95"/>
      <c r="CW3" s="99" t="s">
        <v>108</v>
      </c>
      <c r="CX3" s="99"/>
      <c r="CY3" s="99"/>
      <c r="CZ3" s="99" t="s">
        <v>110</v>
      </c>
      <c r="DA3" s="99"/>
      <c r="DB3" s="99"/>
      <c r="DC3" s="93" t="s">
        <v>195</v>
      </c>
      <c r="DD3" s="94"/>
      <c r="DE3" s="95"/>
      <c r="DF3" s="99" t="s">
        <v>112</v>
      </c>
      <c r="DG3" s="99"/>
      <c r="DH3" s="99"/>
      <c r="DI3" s="99" t="s">
        <v>114</v>
      </c>
      <c r="DJ3" s="99"/>
      <c r="DK3" s="99"/>
      <c r="DL3" s="93" t="s">
        <v>116</v>
      </c>
      <c r="DM3" s="94"/>
      <c r="DN3" s="95"/>
      <c r="DO3" s="93" t="s">
        <v>118</v>
      </c>
      <c r="DP3" s="94"/>
      <c r="DQ3" s="95"/>
      <c r="DR3" s="99" t="s">
        <v>120</v>
      </c>
      <c r="DS3" s="99"/>
      <c r="DT3" s="99"/>
      <c r="DU3" s="99" t="s">
        <v>122</v>
      </c>
      <c r="DV3" s="99"/>
      <c r="DW3" s="99"/>
      <c r="DX3" s="99" t="s">
        <v>124</v>
      </c>
      <c r="DY3" s="99"/>
      <c r="DZ3" s="99"/>
      <c r="EA3" s="93" t="s">
        <v>126</v>
      </c>
      <c r="EB3" s="94"/>
      <c r="EC3" s="94"/>
      <c r="ED3" s="99" t="s">
        <v>128</v>
      </c>
      <c r="EE3" s="99"/>
      <c r="EF3" s="99"/>
      <c r="EG3" s="84"/>
      <c r="EH3" s="85"/>
      <c r="EI3" s="86"/>
      <c r="EJ3" s="77" t="s">
        <v>130</v>
      </c>
      <c r="EK3" s="78"/>
      <c r="EL3" s="79"/>
      <c r="EM3" s="77" t="s">
        <v>132</v>
      </c>
      <c r="EN3" s="78"/>
      <c r="EO3" s="79"/>
      <c r="EP3" s="77" t="s">
        <v>134</v>
      </c>
      <c r="EQ3" s="78"/>
      <c r="ER3" s="79"/>
      <c r="ES3" s="77" t="s">
        <v>135</v>
      </c>
      <c r="ET3" s="78"/>
      <c r="EU3" s="78"/>
      <c r="EV3" s="78"/>
      <c r="EW3" s="78"/>
      <c r="EX3" s="79"/>
      <c r="EY3" s="77" t="s">
        <v>138</v>
      </c>
      <c r="EZ3" s="78"/>
      <c r="FA3" s="79"/>
      <c r="FB3" s="77" t="s">
        <v>140</v>
      </c>
      <c r="FC3" s="78"/>
      <c r="FD3" s="79"/>
      <c r="FE3" s="77" t="s">
        <v>142</v>
      </c>
      <c r="FF3" s="78"/>
      <c r="FG3" s="79"/>
      <c r="FH3" s="77" t="s">
        <v>144</v>
      </c>
      <c r="FI3" s="78"/>
      <c r="FJ3" s="79"/>
      <c r="FK3" s="77" t="s">
        <v>146</v>
      </c>
      <c r="FL3" s="78"/>
      <c r="FM3" s="79"/>
      <c r="FN3" s="100" t="s">
        <v>148</v>
      </c>
      <c r="FO3" s="100"/>
      <c r="FP3" s="100"/>
      <c r="FQ3" s="100" t="s">
        <v>150</v>
      </c>
      <c r="FR3" s="100"/>
      <c r="FS3" s="100"/>
      <c r="FT3" s="77" t="s">
        <v>152</v>
      </c>
      <c r="FU3" s="78"/>
      <c r="FV3" s="79"/>
      <c r="FW3" s="93" t="s">
        <v>153</v>
      </c>
      <c r="FX3" s="94"/>
      <c r="FY3" s="95"/>
      <c r="FZ3" s="77" t="s">
        <v>156</v>
      </c>
      <c r="GA3" s="78"/>
      <c r="GB3" s="79"/>
      <c r="GC3" s="77" t="s">
        <v>158</v>
      </c>
      <c r="GD3" s="78"/>
      <c r="GE3" s="79"/>
      <c r="GF3" s="77" t="s">
        <v>160</v>
      </c>
      <c r="GG3" s="78"/>
      <c r="GH3" s="79"/>
      <c r="GI3" s="93" t="s">
        <v>162</v>
      </c>
      <c r="GJ3" s="94"/>
      <c r="GK3" s="95"/>
      <c r="GL3" s="93" t="s">
        <v>163</v>
      </c>
      <c r="GM3" s="94"/>
      <c r="GN3" s="95"/>
      <c r="GO3" s="93" t="s">
        <v>164</v>
      </c>
      <c r="GP3" s="94"/>
      <c r="GQ3" s="95"/>
      <c r="GR3" s="77" t="s">
        <v>165</v>
      </c>
      <c r="GS3" s="78"/>
      <c r="GT3" s="79"/>
      <c r="GU3" s="77" t="s">
        <v>167</v>
      </c>
      <c r="GV3" s="78"/>
      <c r="GW3" s="79"/>
      <c r="GX3" s="77" t="s">
        <v>169</v>
      </c>
      <c r="GY3" s="78"/>
      <c r="GZ3" s="79"/>
      <c r="HA3" s="77" t="s">
        <v>171</v>
      </c>
      <c r="HB3" s="78"/>
      <c r="HC3" s="79"/>
      <c r="HD3" s="77" t="s">
        <v>173</v>
      </c>
      <c r="HE3" s="78"/>
      <c r="HF3" s="79"/>
      <c r="HG3" s="77" t="s">
        <v>174</v>
      </c>
      <c r="HH3" s="78"/>
      <c r="HI3" s="79"/>
      <c r="HJ3" s="107"/>
      <c r="HK3" s="108"/>
      <c r="HL3" s="109"/>
      <c r="HM3" s="75" t="s">
        <v>198</v>
      </c>
      <c r="HN3" s="75"/>
      <c r="HO3" s="75"/>
      <c r="HP3" s="66" t="s">
        <v>212</v>
      </c>
      <c r="HQ3" s="67"/>
      <c r="HR3" s="68"/>
      <c r="HS3" s="66" t="s">
        <v>214</v>
      </c>
      <c r="HT3" s="67"/>
      <c r="HU3" s="68"/>
      <c r="HV3" s="66" t="s">
        <v>216</v>
      </c>
      <c r="HW3" s="67"/>
      <c r="HX3" s="68"/>
      <c r="HY3" s="75" t="s">
        <v>177</v>
      </c>
      <c r="HZ3" s="75"/>
      <c r="IA3" s="75"/>
      <c r="IB3" s="75" t="s">
        <v>201</v>
      </c>
      <c r="IC3" s="75"/>
      <c r="ID3" s="75"/>
      <c r="IE3" s="75" t="s">
        <v>178</v>
      </c>
      <c r="IF3" s="75"/>
      <c r="IG3" s="75"/>
      <c r="IH3" s="63" t="s">
        <v>179</v>
      </c>
      <c r="II3" s="64"/>
      <c r="IJ3" s="65"/>
      <c r="IK3" s="63" t="s">
        <v>179</v>
      </c>
      <c r="IL3" s="64"/>
      <c r="IM3" s="65"/>
      <c r="IN3" s="63" t="s">
        <v>179</v>
      </c>
      <c r="IO3" s="64"/>
      <c r="IP3" s="65"/>
      <c r="IQ3" s="63" t="s">
        <v>179</v>
      </c>
      <c r="IR3" s="64"/>
      <c r="IS3" s="65"/>
      <c r="IT3" s="63" t="s">
        <v>179</v>
      </c>
      <c r="IU3" s="64"/>
      <c r="IV3" s="65"/>
      <c r="IW3" s="63" t="s">
        <v>179</v>
      </c>
      <c r="IX3" s="64"/>
      <c r="IY3" s="65"/>
      <c r="IZ3" s="63" t="s">
        <v>179</v>
      </c>
      <c r="JA3" s="64"/>
      <c r="JB3" s="64"/>
      <c r="JC3" s="63" t="s">
        <v>185</v>
      </c>
      <c r="JD3" s="64"/>
      <c r="JE3" s="65"/>
      <c r="JF3" s="73" t="s">
        <v>185</v>
      </c>
      <c r="JG3" s="73"/>
      <c r="JH3" s="73"/>
      <c r="JI3" s="73" t="s">
        <v>185</v>
      </c>
      <c r="JJ3" s="73"/>
      <c r="JK3" s="73"/>
      <c r="JL3" s="63" t="s">
        <v>189</v>
      </c>
      <c r="JM3" s="64"/>
      <c r="JN3" s="65"/>
      <c r="JO3" s="63" t="s">
        <v>190</v>
      </c>
      <c r="JP3" s="64"/>
      <c r="JQ3" s="65"/>
      <c r="JR3" s="63" t="s">
        <v>206</v>
      </c>
      <c r="JS3" s="64"/>
      <c r="JT3" s="65"/>
      <c r="JU3" s="63" t="s">
        <v>191</v>
      </c>
      <c r="JV3" s="64"/>
      <c r="JW3" s="65"/>
      <c r="JX3" s="63" t="s">
        <v>210</v>
      </c>
      <c r="JY3" s="64"/>
      <c r="JZ3" s="65"/>
      <c r="KA3" s="63" t="s">
        <v>218</v>
      </c>
      <c r="KB3" s="64"/>
      <c r="KC3" s="65"/>
      <c r="KD3" s="76"/>
      <c r="KE3" s="76"/>
      <c r="KF3" s="76"/>
    </row>
    <row r="4" spans="1:296" s="5" customFormat="1" ht="17.25" customHeight="1" x14ac:dyDescent="0.2">
      <c r="A4" s="97"/>
      <c r="B4" s="87"/>
      <c r="C4" s="88"/>
      <c r="D4" s="89"/>
      <c r="E4" s="60" t="s">
        <v>0</v>
      </c>
      <c r="F4" s="61"/>
      <c r="G4" s="62"/>
      <c r="H4" s="60" t="s">
        <v>1</v>
      </c>
      <c r="I4" s="61"/>
      <c r="J4" s="62"/>
      <c r="K4" s="60" t="s">
        <v>2</v>
      </c>
      <c r="L4" s="61"/>
      <c r="M4" s="62"/>
      <c r="N4" s="87"/>
      <c r="O4" s="88"/>
      <c r="P4" s="89"/>
      <c r="Q4" s="60" t="s">
        <v>57</v>
      </c>
      <c r="R4" s="61"/>
      <c r="S4" s="62"/>
      <c r="T4" s="60" t="s">
        <v>60</v>
      </c>
      <c r="U4" s="61"/>
      <c r="V4" s="62"/>
      <c r="W4" s="60" t="s">
        <v>62</v>
      </c>
      <c r="X4" s="61"/>
      <c r="Y4" s="62"/>
      <c r="Z4" s="60" t="s">
        <v>64</v>
      </c>
      <c r="AA4" s="61"/>
      <c r="AB4" s="62"/>
      <c r="AC4" s="60" t="s">
        <v>66</v>
      </c>
      <c r="AD4" s="61"/>
      <c r="AE4" s="62"/>
      <c r="AF4" s="60" t="s">
        <v>68</v>
      </c>
      <c r="AG4" s="61"/>
      <c r="AH4" s="62"/>
      <c r="AI4" s="60" t="s">
        <v>70</v>
      </c>
      <c r="AJ4" s="61"/>
      <c r="AK4" s="62"/>
      <c r="AL4" s="60" t="s">
        <v>72</v>
      </c>
      <c r="AM4" s="61"/>
      <c r="AN4" s="62"/>
      <c r="AO4" s="60" t="s">
        <v>74</v>
      </c>
      <c r="AP4" s="61"/>
      <c r="AQ4" s="62"/>
      <c r="AR4" s="60" t="s">
        <v>76</v>
      </c>
      <c r="AS4" s="61"/>
      <c r="AT4" s="62"/>
      <c r="AU4" s="60" t="s">
        <v>78</v>
      </c>
      <c r="AV4" s="61"/>
      <c r="AW4" s="62"/>
      <c r="AX4" s="60" t="s">
        <v>209</v>
      </c>
      <c r="AY4" s="61"/>
      <c r="AZ4" s="62"/>
      <c r="BA4" s="60" t="s">
        <v>80</v>
      </c>
      <c r="BB4" s="61"/>
      <c r="BC4" s="62"/>
      <c r="BD4" s="60" t="s">
        <v>82</v>
      </c>
      <c r="BE4" s="61"/>
      <c r="BF4" s="62"/>
      <c r="BG4" s="60" t="s">
        <v>84</v>
      </c>
      <c r="BH4" s="61"/>
      <c r="BI4" s="62"/>
      <c r="BJ4" s="60" t="s">
        <v>85</v>
      </c>
      <c r="BK4" s="61"/>
      <c r="BL4" s="62"/>
      <c r="BM4" s="60" t="s">
        <v>87</v>
      </c>
      <c r="BN4" s="61"/>
      <c r="BO4" s="62"/>
      <c r="BP4" s="60" t="s">
        <v>89</v>
      </c>
      <c r="BQ4" s="61"/>
      <c r="BR4" s="62"/>
      <c r="BS4" s="60" t="s">
        <v>91</v>
      </c>
      <c r="BT4" s="61"/>
      <c r="BU4" s="62"/>
      <c r="BV4" s="60" t="s">
        <v>93</v>
      </c>
      <c r="BW4" s="61"/>
      <c r="BX4" s="62"/>
      <c r="BY4" s="60" t="s">
        <v>95</v>
      </c>
      <c r="BZ4" s="61"/>
      <c r="CA4" s="62"/>
      <c r="CB4" s="69" t="s">
        <v>97</v>
      </c>
      <c r="CC4" s="70"/>
      <c r="CD4" s="71"/>
      <c r="CE4" s="69" t="s">
        <v>98</v>
      </c>
      <c r="CF4" s="70"/>
      <c r="CG4" s="71"/>
      <c r="CH4" s="69" t="s">
        <v>99</v>
      </c>
      <c r="CI4" s="70"/>
      <c r="CJ4" s="71"/>
      <c r="CK4" s="69" t="s">
        <v>101</v>
      </c>
      <c r="CL4" s="70"/>
      <c r="CM4" s="71"/>
      <c r="CN4" s="69" t="s">
        <v>103</v>
      </c>
      <c r="CO4" s="70"/>
      <c r="CP4" s="71"/>
      <c r="CQ4" s="69" t="s">
        <v>105</v>
      </c>
      <c r="CR4" s="70"/>
      <c r="CS4" s="71"/>
      <c r="CT4" s="69" t="s">
        <v>107</v>
      </c>
      <c r="CU4" s="70"/>
      <c r="CV4" s="71"/>
      <c r="CW4" s="69" t="s">
        <v>109</v>
      </c>
      <c r="CX4" s="70"/>
      <c r="CY4" s="71"/>
      <c r="CZ4" s="69" t="s">
        <v>111</v>
      </c>
      <c r="DA4" s="70"/>
      <c r="DB4" s="71"/>
      <c r="DC4" s="69" t="s">
        <v>196</v>
      </c>
      <c r="DD4" s="70"/>
      <c r="DE4" s="71"/>
      <c r="DF4" s="69" t="s">
        <v>113</v>
      </c>
      <c r="DG4" s="70"/>
      <c r="DH4" s="71"/>
      <c r="DI4" s="69" t="s">
        <v>115</v>
      </c>
      <c r="DJ4" s="70"/>
      <c r="DK4" s="71"/>
      <c r="DL4" s="69" t="s">
        <v>117</v>
      </c>
      <c r="DM4" s="70"/>
      <c r="DN4" s="71"/>
      <c r="DO4" s="69" t="s">
        <v>119</v>
      </c>
      <c r="DP4" s="70"/>
      <c r="DQ4" s="71"/>
      <c r="DR4" s="69" t="s">
        <v>121</v>
      </c>
      <c r="DS4" s="70"/>
      <c r="DT4" s="71"/>
      <c r="DU4" s="69" t="s">
        <v>123</v>
      </c>
      <c r="DV4" s="70"/>
      <c r="DW4" s="71"/>
      <c r="DX4" s="69" t="s">
        <v>125</v>
      </c>
      <c r="DY4" s="70"/>
      <c r="DZ4" s="71"/>
      <c r="EA4" s="69" t="s">
        <v>127</v>
      </c>
      <c r="EB4" s="70"/>
      <c r="EC4" s="71"/>
      <c r="ED4" s="69" t="s">
        <v>129</v>
      </c>
      <c r="EE4" s="70"/>
      <c r="EF4" s="71"/>
      <c r="EG4" s="87"/>
      <c r="EH4" s="88"/>
      <c r="EI4" s="89"/>
      <c r="EJ4" s="60" t="s">
        <v>131</v>
      </c>
      <c r="EK4" s="61"/>
      <c r="EL4" s="62"/>
      <c r="EM4" s="69" t="s">
        <v>133</v>
      </c>
      <c r="EN4" s="70"/>
      <c r="EO4" s="71"/>
      <c r="EP4" s="60" t="s">
        <v>136</v>
      </c>
      <c r="EQ4" s="61"/>
      <c r="ER4" s="62"/>
      <c r="ES4" s="60" t="s">
        <v>137</v>
      </c>
      <c r="ET4" s="61"/>
      <c r="EU4" s="62"/>
      <c r="EV4" s="69" t="s">
        <v>197</v>
      </c>
      <c r="EW4" s="70"/>
      <c r="EX4" s="71"/>
      <c r="EY4" s="60" t="s">
        <v>139</v>
      </c>
      <c r="EZ4" s="61"/>
      <c r="FA4" s="62"/>
      <c r="FB4" s="60" t="s">
        <v>141</v>
      </c>
      <c r="FC4" s="61"/>
      <c r="FD4" s="62"/>
      <c r="FE4" s="60" t="s">
        <v>143</v>
      </c>
      <c r="FF4" s="61"/>
      <c r="FG4" s="62"/>
      <c r="FH4" s="60" t="s">
        <v>145</v>
      </c>
      <c r="FI4" s="61"/>
      <c r="FJ4" s="62"/>
      <c r="FK4" s="60" t="s">
        <v>147</v>
      </c>
      <c r="FL4" s="61"/>
      <c r="FM4" s="62"/>
      <c r="FN4" s="60" t="s">
        <v>149</v>
      </c>
      <c r="FO4" s="61"/>
      <c r="FP4" s="62"/>
      <c r="FQ4" s="60" t="s">
        <v>151</v>
      </c>
      <c r="FR4" s="61"/>
      <c r="FS4" s="62"/>
      <c r="FT4" s="60" t="s">
        <v>154</v>
      </c>
      <c r="FU4" s="61"/>
      <c r="FV4" s="62"/>
      <c r="FW4" s="60" t="s">
        <v>155</v>
      </c>
      <c r="FX4" s="61"/>
      <c r="FY4" s="62"/>
      <c r="FZ4" s="60" t="s">
        <v>157</v>
      </c>
      <c r="GA4" s="61"/>
      <c r="GB4" s="62"/>
      <c r="GC4" s="60" t="s">
        <v>159</v>
      </c>
      <c r="GD4" s="61"/>
      <c r="GE4" s="62"/>
      <c r="GF4" s="60" t="s">
        <v>161</v>
      </c>
      <c r="GG4" s="61"/>
      <c r="GH4" s="62"/>
      <c r="GI4" s="77">
        <v>1310379227</v>
      </c>
      <c r="GJ4" s="78"/>
      <c r="GK4" s="79"/>
      <c r="GL4" s="77">
        <v>8800051180</v>
      </c>
      <c r="GM4" s="78"/>
      <c r="GN4" s="79"/>
      <c r="GO4" s="77">
        <v>8800051200</v>
      </c>
      <c r="GP4" s="78"/>
      <c r="GQ4" s="79"/>
      <c r="GR4" s="60" t="s">
        <v>166</v>
      </c>
      <c r="GS4" s="61"/>
      <c r="GT4" s="62"/>
      <c r="GU4" s="60" t="s">
        <v>168</v>
      </c>
      <c r="GV4" s="61"/>
      <c r="GW4" s="62"/>
      <c r="GX4" s="60" t="s">
        <v>170</v>
      </c>
      <c r="GY4" s="61"/>
      <c r="GZ4" s="62"/>
      <c r="HA4" s="60" t="s">
        <v>172</v>
      </c>
      <c r="HB4" s="61"/>
      <c r="HC4" s="62"/>
      <c r="HD4" s="60" t="s">
        <v>176</v>
      </c>
      <c r="HE4" s="61"/>
      <c r="HF4" s="62"/>
      <c r="HG4" s="60" t="s">
        <v>175</v>
      </c>
      <c r="HH4" s="61"/>
      <c r="HI4" s="62"/>
      <c r="HJ4" s="110"/>
      <c r="HK4" s="111"/>
      <c r="HL4" s="112"/>
      <c r="HM4" s="74" t="s">
        <v>199</v>
      </c>
      <c r="HN4" s="74"/>
      <c r="HO4" s="74"/>
      <c r="HP4" s="69" t="s">
        <v>213</v>
      </c>
      <c r="HQ4" s="70"/>
      <c r="HR4" s="71"/>
      <c r="HS4" s="69" t="s">
        <v>215</v>
      </c>
      <c r="HT4" s="70"/>
      <c r="HU4" s="71"/>
      <c r="HV4" s="69" t="s">
        <v>217</v>
      </c>
      <c r="HW4" s="70"/>
      <c r="HX4" s="71"/>
      <c r="HY4" s="74" t="s">
        <v>200</v>
      </c>
      <c r="HZ4" s="74"/>
      <c r="IA4" s="74"/>
      <c r="IB4" s="74" t="s">
        <v>202</v>
      </c>
      <c r="IC4" s="74"/>
      <c r="ID4" s="74"/>
      <c r="IE4" s="74" t="s">
        <v>180</v>
      </c>
      <c r="IF4" s="74"/>
      <c r="IG4" s="74"/>
      <c r="IH4" s="60" t="s">
        <v>181</v>
      </c>
      <c r="II4" s="61"/>
      <c r="IJ4" s="62"/>
      <c r="IK4" s="60" t="s">
        <v>203</v>
      </c>
      <c r="IL4" s="61"/>
      <c r="IM4" s="62"/>
      <c r="IN4" s="60" t="s">
        <v>204</v>
      </c>
      <c r="IO4" s="61"/>
      <c r="IP4" s="62"/>
      <c r="IQ4" s="60" t="s">
        <v>182</v>
      </c>
      <c r="IR4" s="61"/>
      <c r="IS4" s="62"/>
      <c r="IT4" s="60" t="s">
        <v>183</v>
      </c>
      <c r="IU4" s="61"/>
      <c r="IV4" s="62"/>
      <c r="IW4" s="60" t="s">
        <v>205</v>
      </c>
      <c r="IX4" s="61"/>
      <c r="IY4" s="62"/>
      <c r="IZ4" s="60" t="s">
        <v>184</v>
      </c>
      <c r="JA4" s="61"/>
      <c r="JB4" s="61"/>
      <c r="JC4" s="72" t="s">
        <v>186</v>
      </c>
      <c r="JD4" s="72"/>
      <c r="JE4" s="72"/>
      <c r="JF4" s="72" t="s">
        <v>187</v>
      </c>
      <c r="JG4" s="72"/>
      <c r="JH4" s="72"/>
      <c r="JI4" s="72" t="s">
        <v>188</v>
      </c>
      <c r="JJ4" s="72"/>
      <c r="JK4" s="72"/>
      <c r="JL4" s="60" t="s">
        <v>192</v>
      </c>
      <c r="JM4" s="61"/>
      <c r="JN4" s="62"/>
      <c r="JO4" s="60" t="s">
        <v>193</v>
      </c>
      <c r="JP4" s="61"/>
      <c r="JQ4" s="62"/>
      <c r="JR4" s="60" t="s">
        <v>207</v>
      </c>
      <c r="JS4" s="61"/>
      <c r="JT4" s="62"/>
      <c r="JU4" s="60" t="s">
        <v>194</v>
      </c>
      <c r="JV4" s="61"/>
      <c r="JW4" s="62"/>
      <c r="JX4" s="60" t="s">
        <v>211</v>
      </c>
      <c r="JY4" s="61"/>
      <c r="JZ4" s="62"/>
      <c r="KA4" s="60" t="s">
        <v>2</v>
      </c>
      <c r="KB4" s="61"/>
      <c r="KC4" s="62"/>
      <c r="KD4" s="76"/>
      <c r="KE4" s="76"/>
      <c r="KF4" s="76"/>
    </row>
    <row r="5" spans="1:296" s="4" customFormat="1" ht="59.25" customHeight="1" x14ac:dyDescent="0.2">
      <c r="A5" s="98"/>
      <c r="B5" s="10" t="s">
        <v>53</v>
      </c>
      <c r="C5" s="10" t="s">
        <v>43</v>
      </c>
      <c r="D5" s="10" t="s">
        <v>41</v>
      </c>
      <c r="E5" s="10" t="s">
        <v>53</v>
      </c>
      <c r="F5" s="10" t="s">
        <v>43</v>
      </c>
      <c r="G5" s="10" t="s">
        <v>41</v>
      </c>
      <c r="H5" s="10" t="s">
        <v>53</v>
      </c>
      <c r="I5" s="10" t="s">
        <v>43</v>
      </c>
      <c r="J5" s="10" t="s">
        <v>41</v>
      </c>
      <c r="K5" s="10" t="s">
        <v>53</v>
      </c>
      <c r="L5" s="10" t="s">
        <v>43</v>
      </c>
      <c r="M5" s="10" t="s">
        <v>41</v>
      </c>
      <c r="N5" s="10" t="s">
        <v>53</v>
      </c>
      <c r="O5" s="10" t="s">
        <v>43</v>
      </c>
      <c r="P5" s="10" t="s">
        <v>41</v>
      </c>
      <c r="Q5" s="10" t="s">
        <v>53</v>
      </c>
      <c r="R5" s="10" t="s">
        <v>43</v>
      </c>
      <c r="S5" s="10" t="s">
        <v>41</v>
      </c>
      <c r="T5" s="10" t="s">
        <v>53</v>
      </c>
      <c r="U5" s="10" t="s">
        <v>43</v>
      </c>
      <c r="V5" s="10" t="s">
        <v>41</v>
      </c>
      <c r="W5" s="10" t="s">
        <v>53</v>
      </c>
      <c r="X5" s="10" t="s">
        <v>43</v>
      </c>
      <c r="Y5" s="10" t="s">
        <v>41</v>
      </c>
      <c r="Z5" s="10" t="s">
        <v>53</v>
      </c>
      <c r="AA5" s="10" t="s">
        <v>43</v>
      </c>
      <c r="AB5" s="10" t="s">
        <v>41</v>
      </c>
      <c r="AC5" s="10" t="s">
        <v>53</v>
      </c>
      <c r="AD5" s="10" t="s">
        <v>43</v>
      </c>
      <c r="AE5" s="10" t="s">
        <v>41</v>
      </c>
      <c r="AF5" s="10" t="s">
        <v>53</v>
      </c>
      <c r="AG5" s="10" t="s">
        <v>43</v>
      </c>
      <c r="AH5" s="10" t="s">
        <v>41</v>
      </c>
      <c r="AI5" s="10" t="s">
        <v>53</v>
      </c>
      <c r="AJ5" s="10" t="s">
        <v>43</v>
      </c>
      <c r="AK5" s="10" t="s">
        <v>41</v>
      </c>
      <c r="AL5" s="10" t="s">
        <v>53</v>
      </c>
      <c r="AM5" s="10" t="s">
        <v>43</v>
      </c>
      <c r="AN5" s="10" t="s">
        <v>41</v>
      </c>
      <c r="AO5" s="10" t="s">
        <v>53</v>
      </c>
      <c r="AP5" s="10" t="s">
        <v>43</v>
      </c>
      <c r="AQ5" s="10" t="s">
        <v>41</v>
      </c>
      <c r="AR5" s="10" t="s">
        <v>53</v>
      </c>
      <c r="AS5" s="10" t="s">
        <v>43</v>
      </c>
      <c r="AT5" s="10" t="s">
        <v>41</v>
      </c>
      <c r="AU5" s="10" t="s">
        <v>53</v>
      </c>
      <c r="AV5" s="10" t="s">
        <v>43</v>
      </c>
      <c r="AW5" s="10" t="s">
        <v>41</v>
      </c>
      <c r="AX5" s="10" t="s">
        <v>53</v>
      </c>
      <c r="AY5" s="10" t="s">
        <v>43</v>
      </c>
      <c r="AZ5" s="10" t="s">
        <v>41</v>
      </c>
      <c r="BA5" s="10" t="s">
        <v>53</v>
      </c>
      <c r="BB5" s="10" t="s">
        <v>43</v>
      </c>
      <c r="BC5" s="10" t="s">
        <v>41</v>
      </c>
      <c r="BD5" s="10" t="s">
        <v>53</v>
      </c>
      <c r="BE5" s="10" t="s">
        <v>43</v>
      </c>
      <c r="BF5" s="10" t="s">
        <v>41</v>
      </c>
      <c r="BG5" s="10" t="s">
        <v>53</v>
      </c>
      <c r="BH5" s="10" t="s">
        <v>43</v>
      </c>
      <c r="BI5" s="10" t="s">
        <v>41</v>
      </c>
      <c r="BJ5" s="10" t="s">
        <v>53</v>
      </c>
      <c r="BK5" s="10" t="s">
        <v>43</v>
      </c>
      <c r="BL5" s="10" t="s">
        <v>41</v>
      </c>
      <c r="BM5" s="10" t="s">
        <v>53</v>
      </c>
      <c r="BN5" s="10" t="s">
        <v>43</v>
      </c>
      <c r="BO5" s="10" t="s">
        <v>41</v>
      </c>
      <c r="BP5" s="10" t="s">
        <v>53</v>
      </c>
      <c r="BQ5" s="10" t="s">
        <v>43</v>
      </c>
      <c r="BR5" s="10" t="s">
        <v>41</v>
      </c>
      <c r="BS5" s="10" t="s">
        <v>53</v>
      </c>
      <c r="BT5" s="10" t="s">
        <v>43</v>
      </c>
      <c r="BU5" s="10" t="s">
        <v>41</v>
      </c>
      <c r="BV5" s="10" t="s">
        <v>53</v>
      </c>
      <c r="BW5" s="10" t="s">
        <v>43</v>
      </c>
      <c r="BX5" s="10" t="s">
        <v>41</v>
      </c>
      <c r="BY5" s="10" t="s">
        <v>53</v>
      </c>
      <c r="BZ5" s="10" t="s">
        <v>43</v>
      </c>
      <c r="CA5" s="10" t="s">
        <v>41</v>
      </c>
      <c r="CB5" s="10" t="s">
        <v>53</v>
      </c>
      <c r="CC5" s="11" t="s">
        <v>43</v>
      </c>
      <c r="CD5" s="11" t="s">
        <v>41</v>
      </c>
      <c r="CE5" s="10" t="s">
        <v>53</v>
      </c>
      <c r="CF5" s="11" t="s">
        <v>43</v>
      </c>
      <c r="CG5" s="11" t="s">
        <v>41</v>
      </c>
      <c r="CH5" s="10" t="s">
        <v>53</v>
      </c>
      <c r="CI5" s="11" t="s">
        <v>43</v>
      </c>
      <c r="CJ5" s="11" t="s">
        <v>41</v>
      </c>
      <c r="CK5" s="10" t="s">
        <v>53</v>
      </c>
      <c r="CL5" s="11" t="s">
        <v>43</v>
      </c>
      <c r="CM5" s="11" t="s">
        <v>41</v>
      </c>
      <c r="CN5" s="10" t="s">
        <v>53</v>
      </c>
      <c r="CO5" s="11" t="s">
        <v>43</v>
      </c>
      <c r="CP5" s="11" t="s">
        <v>41</v>
      </c>
      <c r="CQ5" s="10" t="s">
        <v>53</v>
      </c>
      <c r="CR5" s="11" t="s">
        <v>43</v>
      </c>
      <c r="CS5" s="11" t="s">
        <v>41</v>
      </c>
      <c r="CT5" s="10" t="s">
        <v>53</v>
      </c>
      <c r="CU5" s="11" t="s">
        <v>43</v>
      </c>
      <c r="CV5" s="11" t="s">
        <v>41</v>
      </c>
      <c r="CW5" s="10" t="s">
        <v>53</v>
      </c>
      <c r="CX5" s="11" t="s">
        <v>43</v>
      </c>
      <c r="CY5" s="11" t="s">
        <v>41</v>
      </c>
      <c r="CZ5" s="10" t="s">
        <v>53</v>
      </c>
      <c r="DA5" s="11" t="s">
        <v>43</v>
      </c>
      <c r="DB5" s="11" t="s">
        <v>41</v>
      </c>
      <c r="DC5" s="11" t="s">
        <v>53</v>
      </c>
      <c r="DD5" s="11" t="s">
        <v>43</v>
      </c>
      <c r="DE5" s="11" t="s">
        <v>41</v>
      </c>
      <c r="DF5" s="10" t="s">
        <v>53</v>
      </c>
      <c r="DG5" s="11" t="s">
        <v>43</v>
      </c>
      <c r="DH5" s="11" t="s">
        <v>41</v>
      </c>
      <c r="DI5" s="10" t="s">
        <v>53</v>
      </c>
      <c r="DJ5" s="11" t="s">
        <v>43</v>
      </c>
      <c r="DK5" s="11" t="s">
        <v>41</v>
      </c>
      <c r="DL5" s="10" t="s">
        <v>53</v>
      </c>
      <c r="DM5" s="11" t="s">
        <v>43</v>
      </c>
      <c r="DN5" s="11" t="s">
        <v>41</v>
      </c>
      <c r="DO5" s="10" t="s">
        <v>53</v>
      </c>
      <c r="DP5" s="11" t="s">
        <v>43</v>
      </c>
      <c r="DQ5" s="11" t="s">
        <v>41</v>
      </c>
      <c r="DR5" s="10" t="s">
        <v>53</v>
      </c>
      <c r="DS5" s="11" t="s">
        <v>43</v>
      </c>
      <c r="DT5" s="11" t="s">
        <v>41</v>
      </c>
      <c r="DU5" s="10" t="s">
        <v>53</v>
      </c>
      <c r="DV5" s="11" t="s">
        <v>43</v>
      </c>
      <c r="DW5" s="11" t="s">
        <v>41</v>
      </c>
      <c r="DX5" s="10" t="s">
        <v>53</v>
      </c>
      <c r="DY5" s="11" t="s">
        <v>43</v>
      </c>
      <c r="DZ5" s="11" t="s">
        <v>41</v>
      </c>
      <c r="EA5" s="10" t="s">
        <v>53</v>
      </c>
      <c r="EB5" s="11" t="s">
        <v>43</v>
      </c>
      <c r="EC5" s="11" t="s">
        <v>41</v>
      </c>
      <c r="ED5" s="10" t="s">
        <v>53</v>
      </c>
      <c r="EE5" s="11" t="s">
        <v>43</v>
      </c>
      <c r="EF5" s="11" t="s">
        <v>41</v>
      </c>
      <c r="EG5" s="10" t="s">
        <v>53</v>
      </c>
      <c r="EH5" s="10" t="s">
        <v>43</v>
      </c>
      <c r="EI5" s="10" t="s">
        <v>41</v>
      </c>
      <c r="EJ5" s="10" t="s">
        <v>53</v>
      </c>
      <c r="EK5" s="10" t="s">
        <v>43</v>
      </c>
      <c r="EL5" s="10" t="s">
        <v>41</v>
      </c>
      <c r="EM5" s="10" t="s">
        <v>53</v>
      </c>
      <c r="EN5" s="10" t="s">
        <v>43</v>
      </c>
      <c r="EO5" s="10" t="s">
        <v>41</v>
      </c>
      <c r="EP5" s="10" t="s">
        <v>53</v>
      </c>
      <c r="EQ5" s="10" t="s">
        <v>43</v>
      </c>
      <c r="ER5" s="10" t="s">
        <v>41</v>
      </c>
      <c r="ES5" s="10" t="s">
        <v>53</v>
      </c>
      <c r="ET5" s="10" t="s">
        <v>43</v>
      </c>
      <c r="EU5" s="10" t="s">
        <v>41</v>
      </c>
      <c r="EV5" s="11" t="s">
        <v>53</v>
      </c>
      <c r="EW5" s="11" t="s">
        <v>43</v>
      </c>
      <c r="EX5" s="11" t="s">
        <v>41</v>
      </c>
      <c r="EY5" s="10" t="s">
        <v>53</v>
      </c>
      <c r="EZ5" s="10" t="s">
        <v>43</v>
      </c>
      <c r="FA5" s="10" t="s">
        <v>41</v>
      </c>
      <c r="FB5" s="10" t="s">
        <v>53</v>
      </c>
      <c r="FC5" s="10" t="s">
        <v>43</v>
      </c>
      <c r="FD5" s="10" t="s">
        <v>41</v>
      </c>
      <c r="FE5" s="10" t="s">
        <v>53</v>
      </c>
      <c r="FF5" s="10" t="s">
        <v>43</v>
      </c>
      <c r="FG5" s="10" t="s">
        <v>41</v>
      </c>
      <c r="FH5" s="10" t="s">
        <v>53</v>
      </c>
      <c r="FI5" s="10" t="s">
        <v>43</v>
      </c>
      <c r="FJ5" s="10" t="s">
        <v>41</v>
      </c>
      <c r="FK5" s="10" t="s">
        <v>53</v>
      </c>
      <c r="FL5" s="10" t="s">
        <v>43</v>
      </c>
      <c r="FM5" s="10" t="s">
        <v>41</v>
      </c>
      <c r="FN5" s="10" t="s">
        <v>53</v>
      </c>
      <c r="FO5" s="10" t="s">
        <v>43</v>
      </c>
      <c r="FP5" s="10" t="s">
        <v>41</v>
      </c>
      <c r="FQ5" s="10" t="s">
        <v>53</v>
      </c>
      <c r="FR5" s="10" t="s">
        <v>43</v>
      </c>
      <c r="FS5" s="10" t="s">
        <v>41</v>
      </c>
      <c r="FT5" s="10" t="s">
        <v>53</v>
      </c>
      <c r="FU5" s="10" t="s">
        <v>43</v>
      </c>
      <c r="FV5" s="10" t="s">
        <v>41</v>
      </c>
      <c r="FW5" s="10" t="s">
        <v>53</v>
      </c>
      <c r="FX5" s="10" t="s">
        <v>43</v>
      </c>
      <c r="FY5" s="10" t="s">
        <v>41</v>
      </c>
      <c r="FZ5" s="10" t="s">
        <v>53</v>
      </c>
      <c r="GA5" s="10" t="s">
        <v>43</v>
      </c>
      <c r="GB5" s="10" t="s">
        <v>41</v>
      </c>
      <c r="GC5" s="10" t="s">
        <v>53</v>
      </c>
      <c r="GD5" s="10" t="s">
        <v>43</v>
      </c>
      <c r="GE5" s="10" t="s">
        <v>41</v>
      </c>
      <c r="GF5" s="10" t="s">
        <v>53</v>
      </c>
      <c r="GG5" s="10" t="s">
        <v>43</v>
      </c>
      <c r="GH5" s="10" t="s">
        <v>41</v>
      </c>
      <c r="GI5" s="10" t="s">
        <v>53</v>
      </c>
      <c r="GJ5" s="10" t="s">
        <v>43</v>
      </c>
      <c r="GK5" s="10" t="s">
        <v>41</v>
      </c>
      <c r="GL5" s="10" t="s">
        <v>53</v>
      </c>
      <c r="GM5" s="10" t="s">
        <v>43</v>
      </c>
      <c r="GN5" s="10" t="s">
        <v>41</v>
      </c>
      <c r="GO5" s="10" t="s">
        <v>53</v>
      </c>
      <c r="GP5" s="10" t="s">
        <v>43</v>
      </c>
      <c r="GQ5" s="10" t="s">
        <v>41</v>
      </c>
      <c r="GR5" s="10" t="s">
        <v>53</v>
      </c>
      <c r="GS5" s="10" t="s">
        <v>43</v>
      </c>
      <c r="GT5" s="10" t="s">
        <v>41</v>
      </c>
      <c r="GU5" s="10" t="s">
        <v>53</v>
      </c>
      <c r="GV5" s="10" t="s">
        <v>43</v>
      </c>
      <c r="GW5" s="10" t="s">
        <v>41</v>
      </c>
      <c r="GX5" s="10" t="s">
        <v>53</v>
      </c>
      <c r="GY5" s="10" t="s">
        <v>43</v>
      </c>
      <c r="GZ5" s="10" t="s">
        <v>41</v>
      </c>
      <c r="HA5" s="10" t="s">
        <v>53</v>
      </c>
      <c r="HB5" s="10" t="s">
        <v>43</v>
      </c>
      <c r="HC5" s="10" t="s">
        <v>41</v>
      </c>
      <c r="HD5" s="10" t="s">
        <v>53</v>
      </c>
      <c r="HE5" s="10" t="s">
        <v>43</v>
      </c>
      <c r="HF5" s="10" t="s">
        <v>41</v>
      </c>
      <c r="HG5" s="10" t="s">
        <v>53</v>
      </c>
      <c r="HH5" s="10" t="s">
        <v>43</v>
      </c>
      <c r="HI5" s="10" t="s">
        <v>41</v>
      </c>
      <c r="HJ5" s="11" t="s">
        <v>53</v>
      </c>
      <c r="HK5" s="12" t="s">
        <v>43</v>
      </c>
      <c r="HL5" s="12" t="s">
        <v>41</v>
      </c>
      <c r="HM5" s="12" t="s">
        <v>53</v>
      </c>
      <c r="HN5" s="12" t="s">
        <v>43</v>
      </c>
      <c r="HO5" s="12" t="s">
        <v>41</v>
      </c>
      <c r="HP5" s="12" t="s">
        <v>53</v>
      </c>
      <c r="HQ5" s="12" t="s">
        <v>43</v>
      </c>
      <c r="HR5" s="12" t="s">
        <v>41</v>
      </c>
      <c r="HS5" s="12" t="s">
        <v>53</v>
      </c>
      <c r="HT5" s="12" t="s">
        <v>43</v>
      </c>
      <c r="HU5" s="12" t="s">
        <v>41</v>
      </c>
      <c r="HV5" s="12" t="s">
        <v>53</v>
      </c>
      <c r="HW5" s="12" t="s">
        <v>43</v>
      </c>
      <c r="HX5" s="12" t="s">
        <v>41</v>
      </c>
      <c r="HY5" s="11" t="s">
        <v>53</v>
      </c>
      <c r="HZ5" s="12" t="s">
        <v>43</v>
      </c>
      <c r="IA5" s="12" t="s">
        <v>41</v>
      </c>
      <c r="IB5" s="11" t="s">
        <v>53</v>
      </c>
      <c r="IC5" s="12" t="s">
        <v>43</v>
      </c>
      <c r="ID5" s="12" t="s">
        <v>41</v>
      </c>
      <c r="IE5" s="12" t="s">
        <v>53</v>
      </c>
      <c r="IF5" s="12" t="s">
        <v>43</v>
      </c>
      <c r="IG5" s="12" t="s">
        <v>41</v>
      </c>
      <c r="IH5" s="10" t="s">
        <v>53</v>
      </c>
      <c r="II5" s="30" t="s">
        <v>43</v>
      </c>
      <c r="IJ5" s="30" t="s">
        <v>41</v>
      </c>
      <c r="IK5" s="10" t="s">
        <v>53</v>
      </c>
      <c r="IL5" s="30" t="s">
        <v>43</v>
      </c>
      <c r="IM5" s="30" t="s">
        <v>41</v>
      </c>
      <c r="IN5" s="30" t="s">
        <v>53</v>
      </c>
      <c r="IO5" s="30" t="s">
        <v>43</v>
      </c>
      <c r="IP5" s="30" t="s">
        <v>41</v>
      </c>
      <c r="IQ5" s="10" t="s">
        <v>53</v>
      </c>
      <c r="IR5" s="30" t="s">
        <v>43</v>
      </c>
      <c r="IS5" s="30" t="s">
        <v>41</v>
      </c>
      <c r="IT5" s="30" t="s">
        <v>53</v>
      </c>
      <c r="IU5" s="30" t="s">
        <v>43</v>
      </c>
      <c r="IV5" s="30" t="s">
        <v>41</v>
      </c>
      <c r="IW5" s="30" t="s">
        <v>53</v>
      </c>
      <c r="IX5" s="30" t="s">
        <v>43</v>
      </c>
      <c r="IY5" s="30" t="s">
        <v>41</v>
      </c>
      <c r="IZ5" s="30" t="s">
        <v>53</v>
      </c>
      <c r="JA5" s="30" t="s">
        <v>43</v>
      </c>
      <c r="JB5" s="30" t="s">
        <v>41</v>
      </c>
      <c r="JC5" s="30" t="s">
        <v>53</v>
      </c>
      <c r="JD5" s="30" t="s">
        <v>43</v>
      </c>
      <c r="JE5" s="30" t="s">
        <v>41</v>
      </c>
      <c r="JF5" s="31" t="s">
        <v>53</v>
      </c>
      <c r="JG5" s="31" t="s">
        <v>43</v>
      </c>
      <c r="JH5" s="31" t="s">
        <v>41</v>
      </c>
      <c r="JI5" s="31" t="s">
        <v>53</v>
      </c>
      <c r="JJ5" s="31" t="s">
        <v>43</v>
      </c>
      <c r="JK5" s="31" t="s">
        <v>41</v>
      </c>
      <c r="JL5" s="30" t="s">
        <v>53</v>
      </c>
      <c r="JM5" s="30" t="s">
        <v>43</v>
      </c>
      <c r="JN5" s="30" t="s">
        <v>41</v>
      </c>
      <c r="JO5" s="30" t="s">
        <v>53</v>
      </c>
      <c r="JP5" s="30" t="s">
        <v>43</v>
      </c>
      <c r="JQ5" s="30" t="s">
        <v>41</v>
      </c>
      <c r="JR5" s="30" t="s">
        <v>53</v>
      </c>
      <c r="JS5" s="30" t="s">
        <v>43</v>
      </c>
      <c r="JT5" s="30" t="s">
        <v>41</v>
      </c>
      <c r="JU5" s="30" t="s">
        <v>53</v>
      </c>
      <c r="JV5" s="30" t="s">
        <v>43</v>
      </c>
      <c r="JW5" s="30" t="s">
        <v>41</v>
      </c>
      <c r="JX5" s="30" t="s">
        <v>53</v>
      </c>
      <c r="JY5" s="30" t="s">
        <v>43</v>
      </c>
      <c r="JZ5" s="30" t="s">
        <v>41</v>
      </c>
      <c r="KA5" s="39" t="s">
        <v>53</v>
      </c>
      <c r="KB5" s="39" t="s">
        <v>43</v>
      </c>
      <c r="KC5" s="39" t="s">
        <v>41</v>
      </c>
      <c r="KD5" s="26" t="s">
        <v>53</v>
      </c>
      <c r="KE5" s="22" t="s">
        <v>43</v>
      </c>
      <c r="KF5" s="22" t="s">
        <v>41</v>
      </c>
    </row>
    <row r="6" spans="1:296" s="4" customFormat="1" ht="18.75" customHeight="1" x14ac:dyDescent="0.2">
      <c r="A6" s="45" t="s">
        <v>50</v>
      </c>
      <c r="B6" s="46">
        <f>E6+H6+K6</f>
        <v>3919255.5</v>
      </c>
      <c r="C6" s="46">
        <f>F6+I6+L6</f>
        <v>3286861.3999999994</v>
      </c>
      <c r="D6" s="47">
        <f>C6/B6*100</f>
        <v>83.864432926100363</v>
      </c>
      <c r="E6" s="46">
        <f>SUM(E7:E37)</f>
        <v>3873442</v>
      </c>
      <c r="F6" s="46">
        <f>SUM(F7:F37)</f>
        <v>3260356.6999999993</v>
      </c>
      <c r="G6" s="47">
        <f t="shared" ref="G6:G37" si="0">F6/E6%</f>
        <v>84.172080025982041</v>
      </c>
      <c r="H6" s="46">
        <f>SUM(H7:H37)</f>
        <v>45813.5</v>
      </c>
      <c r="I6" s="46">
        <f>SUM(I7:I37)</f>
        <v>26504.7</v>
      </c>
      <c r="J6" s="47">
        <f>(I6/H6)*100</f>
        <v>57.853471138419899</v>
      </c>
      <c r="K6" s="46">
        <v>0</v>
      </c>
      <c r="L6" s="46">
        <v>0</v>
      </c>
      <c r="M6" s="46" t="s">
        <v>56</v>
      </c>
      <c r="N6" s="46">
        <f>SUM(N7:N37)</f>
        <v>4540340.7708900003</v>
      </c>
      <c r="O6" s="46">
        <f>SUM(O7:O37)</f>
        <v>1710280.2600000002</v>
      </c>
      <c r="P6" s="47">
        <f>(O6/N6)*100</f>
        <v>37.668543977256363</v>
      </c>
      <c r="Q6" s="46">
        <f>SUM(Q7:Q37)</f>
        <v>602889.5</v>
      </c>
      <c r="R6" s="46">
        <f>SUM(R7:R37)</f>
        <v>45071.199999999997</v>
      </c>
      <c r="S6" s="47">
        <f>R6/Q6%</f>
        <v>7.4758641508933215</v>
      </c>
      <c r="T6" s="46">
        <f>SUM(T7:T37)</f>
        <v>3266</v>
      </c>
      <c r="U6" s="46">
        <f>SUM(U7:U37)</f>
        <v>1500</v>
      </c>
      <c r="V6" s="47">
        <f>U6/T6%</f>
        <v>45.927740355174528</v>
      </c>
      <c r="W6" s="46">
        <f>SUM(W7:W37)</f>
        <v>131357.6</v>
      </c>
      <c r="X6" s="46">
        <f>SUM(X7:X37)</f>
        <v>119501.10000000002</v>
      </c>
      <c r="Y6" s="47">
        <f t="shared" ref="Y6:Y35" si="1">X6/W6%</f>
        <v>90.973875892982221</v>
      </c>
      <c r="Z6" s="46">
        <f>SUM(Z7:Z37)</f>
        <v>5101</v>
      </c>
      <c r="AA6" s="46">
        <f>SUM(AA7:AA37)</f>
        <v>3672</v>
      </c>
      <c r="AB6" s="47">
        <f>AA6/Z6%</f>
        <v>71.985885120564603</v>
      </c>
      <c r="AC6" s="46">
        <f>SUM(AC7:AC37)</f>
        <v>76077.600000000006</v>
      </c>
      <c r="AD6" s="46">
        <f>SUM(AD7:AD37)</f>
        <v>76077.600000000006</v>
      </c>
      <c r="AE6" s="47">
        <f>AD6/AC6%</f>
        <v>100</v>
      </c>
      <c r="AF6" s="46">
        <f>SUM(AF7:AF37)</f>
        <v>28596.1</v>
      </c>
      <c r="AG6" s="46">
        <f>SUM(AG7:AG37)</f>
        <v>28596.1</v>
      </c>
      <c r="AH6" s="47">
        <f>AG6/AF6%</f>
        <v>99.999999999999986</v>
      </c>
      <c r="AI6" s="46">
        <f>SUM(AI7:AI37)</f>
        <v>0</v>
      </c>
      <c r="AJ6" s="46">
        <f>SUM(AJ7:AJ37)</f>
        <v>0</v>
      </c>
      <c r="AK6" s="47" t="s">
        <v>56</v>
      </c>
      <c r="AL6" s="46">
        <f>SUM(AL7:AL37)</f>
        <v>159302.00000000003</v>
      </c>
      <c r="AM6" s="46">
        <f>SUM(AM7:AM37)</f>
        <v>59874.5</v>
      </c>
      <c r="AN6" s="47">
        <f t="shared" ref="AN6:AN41" si="2">AM6/AL6%</f>
        <v>37.585529371884846</v>
      </c>
      <c r="AO6" s="46">
        <f>SUM(AO7:AO37)</f>
        <v>62356.800000000003</v>
      </c>
      <c r="AP6" s="46">
        <f>SUM(AP7:AP37)</f>
        <v>27052.5</v>
      </c>
      <c r="AQ6" s="46">
        <f>(AP6/AO6)*100</f>
        <v>43.38340004618582</v>
      </c>
      <c r="AR6" s="46">
        <f>SUM(AR7:AR37)</f>
        <v>374.24</v>
      </c>
      <c r="AS6" s="46">
        <f>SUM(AS7:AS37)</f>
        <v>370.5</v>
      </c>
      <c r="AT6" s="46">
        <f>(AS6/AR6)*100</f>
        <v>99.000641299700717</v>
      </c>
      <c r="AU6" s="46">
        <f>SUM(AU7:AU37)</f>
        <v>31581.600000000002</v>
      </c>
      <c r="AV6" s="46">
        <f>SUM(AV7:AV37)</f>
        <v>29728.400000000001</v>
      </c>
      <c r="AW6" s="47">
        <f>AV6/AU6%</f>
        <v>94.132026243128905</v>
      </c>
      <c r="AX6" s="48">
        <f>SUM(AX7:AX37)</f>
        <v>228033.79999999996</v>
      </c>
      <c r="AY6" s="48">
        <f>SUM(AY7:AY37)</f>
        <v>44649.900000000009</v>
      </c>
      <c r="AZ6" s="48">
        <f>(AY6/AX6)*100</f>
        <v>19.580386767224866</v>
      </c>
      <c r="BA6" s="46">
        <f>SUM(BA7:BA37)</f>
        <v>0</v>
      </c>
      <c r="BB6" s="46">
        <f>SUM(BB7:BB37)</f>
        <v>0</v>
      </c>
      <c r="BC6" s="47" t="s">
        <v>56</v>
      </c>
      <c r="BD6" s="46">
        <f>SUM(BD7:BD37)</f>
        <v>0</v>
      </c>
      <c r="BE6" s="46">
        <f>SUM(BE7:BE37)</f>
        <v>0</v>
      </c>
      <c r="BF6" s="47" t="s">
        <v>56</v>
      </c>
      <c r="BG6" s="46">
        <f>SUM(BG7:BG37)</f>
        <v>2113.7387600000006</v>
      </c>
      <c r="BH6" s="46">
        <f>SUM(BH7:BH37)</f>
        <v>2113.8000000000002</v>
      </c>
      <c r="BI6" s="47">
        <f t="shared" ref="BI6:BI44" si="3">BH6/BG6%</f>
        <v>100.00289723598574</v>
      </c>
      <c r="BJ6" s="46">
        <f>SUM(BJ7:BJ37)</f>
        <v>2050</v>
      </c>
      <c r="BK6" s="46">
        <f>SUM(BK7:BK37)</f>
        <v>2050</v>
      </c>
      <c r="BL6" s="47">
        <f>(BK6/BJ6)*100</f>
        <v>100</v>
      </c>
      <c r="BM6" s="46">
        <f>SUM(BM7:BM37)</f>
        <v>0</v>
      </c>
      <c r="BN6" s="46">
        <f>SUM(BN7:BN37)</f>
        <v>0</v>
      </c>
      <c r="BO6" s="47" t="s">
        <v>56</v>
      </c>
      <c r="BP6" s="46">
        <f>SUM(BP7:BP37)</f>
        <v>1476.7021300000001</v>
      </c>
      <c r="BQ6" s="46">
        <f>SUM(BQ7:BQ37)</f>
        <v>0</v>
      </c>
      <c r="BR6" s="47">
        <f>BQ6/BP6%</f>
        <v>0</v>
      </c>
      <c r="BS6" s="46">
        <f>SUM(BS7:BS37)</f>
        <v>0</v>
      </c>
      <c r="BT6" s="46">
        <f>SUM(BT7:BT37)</f>
        <v>0</v>
      </c>
      <c r="BU6" s="47" t="s">
        <v>56</v>
      </c>
      <c r="BV6" s="46">
        <f>SUM(BV7:BV37)</f>
        <v>268272.84999999998</v>
      </c>
      <c r="BW6" s="46">
        <f>SUM(BW7:BW37)</f>
        <v>122939.3</v>
      </c>
      <c r="BX6" s="47">
        <f>(BW6/BV6)*100</f>
        <v>45.826217598985515</v>
      </c>
      <c r="BY6" s="46">
        <f>SUM(BY7:BY37)</f>
        <v>37197.199999999997</v>
      </c>
      <c r="BZ6" s="46">
        <f>SUM(BZ7:BZ37)</f>
        <v>25396.399999999998</v>
      </c>
      <c r="CA6" s="47">
        <f>(BZ6/BY6)*100</f>
        <v>68.275031453980404</v>
      </c>
      <c r="CB6" s="46">
        <f>SUM(CB7:CB37)</f>
        <v>17529.5</v>
      </c>
      <c r="CC6" s="46">
        <f>SUM(CC7:CC37)</f>
        <v>17529.5</v>
      </c>
      <c r="CD6" s="49">
        <v>100</v>
      </c>
      <c r="CE6" s="46">
        <f>SUM(CE7:CE37)</f>
        <v>40893.699999999997</v>
      </c>
      <c r="CF6" s="46">
        <f>SUM(CF7:CF37)</f>
        <v>33022.599999999991</v>
      </c>
      <c r="CG6" s="49">
        <f>(CF6/CE6)*100</f>
        <v>80.752291917825957</v>
      </c>
      <c r="CH6" s="46">
        <f>SUM(CH7:CH37)</f>
        <v>54058.54</v>
      </c>
      <c r="CI6" s="46">
        <f>SUM(CI7:CI37)</f>
        <v>1868.3</v>
      </c>
      <c r="CJ6" s="49">
        <f>CI6/CH6%</f>
        <v>3.4560681809016667</v>
      </c>
      <c r="CK6" s="46">
        <f>SUM(CK7:CK37)</f>
        <v>72224.7</v>
      </c>
      <c r="CL6" s="46">
        <f>SUM(CL7:CL37)</f>
        <v>0</v>
      </c>
      <c r="CM6" s="49">
        <v>0</v>
      </c>
      <c r="CN6" s="46">
        <f>SUM(CN7:CN37)</f>
        <v>123322.80000000002</v>
      </c>
      <c r="CO6" s="46">
        <f>SUM(CO7:CO37)</f>
        <v>123280.70000000003</v>
      </c>
      <c r="CP6" s="49">
        <f t="shared" ref="CP6:CP44" si="4">CO6/CN6%</f>
        <v>99.965861949290826</v>
      </c>
      <c r="CQ6" s="46">
        <f>SUM(CQ7:CQ37)</f>
        <v>3073.7000000000003</v>
      </c>
      <c r="CR6" s="46">
        <f>SUM(CR7:CR37)</f>
        <v>0</v>
      </c>
      <c r="CS6" s="49">
        <v>0</v>
      </c>
      <c r="CT6" s="46">
        <f>SUM(CT7:CT37)</f>
        <v>1554.4</v>
      </c>
      <c r="CU6" s="46">
        <f>SUM(CU7:CU37)</f>
        <v>1034.4000000000001</v>
      </c>
      <c r="CV6" s="49">
        <f>CU6/CT6%</f>
        <v>66.546577457539897</v>
      </c>
      <c r="CW6" s="46">
        <f>SUM(CW7:CW37)</f>
        <v>233469.19999999995</v>
      </c>
      <c r="CX6" s="46">
        <f>SUM(CX7:CX37)</f>
        <v>105504.29999999999</v>
      </c>
      <c r="CY6" s="49">
        <f>(CX6/CW6)*100</f>
        <v>45.189815187613618</v>
      </c>
      <c r="CZ6" s="46">
        <f>SUM(CZ7:CZ37)</f>
        <v>42750.200000000012</v>
      </c>
      <c r="DA6" s="46">
        <f>SUM(DA7:DA37)</f>
        <v>16071.000000000002</v>
      </c>
      <c r="DB6" s="49">
        <f>DA6/CZ6%</f>
        <v>37.592806583361003</v>
      </c>
      <c r="DC6" s="50">
        <f>SUM(DC7:DC37)</f>
        <v>168237.8</v>
      </c>
      <c r="DD6" s="50">
        <f>SUM(DD7:DD37)</f>
        <v>12113.5</v>
      </c>
      <c r="DE6" s="50">
        <f>(DD6/DC6)*100</f>
        <v>7.200224919726721</v>
      </c>
      <c r="DF6" s="46">
        <f>SUM(DF7:DF37)</f>
        <v>292947.5</v>
      </c>
      <c r="DG6" s="46">
        <f>SUM(DG7:DG37)</f>
        <v>24352.100000000002</v>
      </c>
      <c r="DH6" s="49">
        <f>DG6/DF6%</f>
        <v>8.3127864207750548</v>
      </c>
      <c r="DI6" s="46">
        <f>SUM(DI7:DI37)</f>
        <v>0</v>
      </c>
      <c r="DJ6" s="46">
        <f>SUM(DJ7:DJ37)</f>
        <v>0</v>
      </c>
      <c r="DK6" s="49" t="s">
        <v>56</v>
      </c>
      <c r="DL6" s="46">
        <f>SUM(DL7:DL37)</f>
        <v>1302239.5999999999</v>
      </c>
      <c r="DM6" s="46">
        <f>SUM(DM7:DM37)</f>
        <v>686612.96</v>
      </c>
      <c r="DN6" s="49">
        <f>(DM6/DL6)*100</f>
        <v>52.725547587402509</v>
      </c>
      <c r="DO6" s="46">
        <f>SUM(DO7:DO37)</f>
        <v>4100</v>
      </c>
      <c r="DP6" s="46">
        <f>SUM(DP7:DP37)</f>
        <v>2751.6</v>
      </c>
      <c r="DQ6" s="49">
        <f>DP6/DO6%</f>
        <v>67.112195121951217</v>
      </c>
      <c r="DR6" s="46">
        <f>SUM(DR7:DR37)</f>
        <v>57000</v>
      </c>
      <c r="DS6" s="46">
        <f>SUM(DS7:DS37)</f>
        <v>0</v>
      </c>
      <c r="DT6" s="49">
        <f>DS6/DR6%</f>
        <v>0</v>
      </c>
      <c r="DU6" s="46">
        <f>SUM(DU7:DU37)</f>
        <v>63477</v>
      </c>
      <c r="DV6" s="46">
        <f>SUM(DV7:DV37)</f>
        <v>28430.1</v>
      </c>
      <c r="DW6" s="49">
        <f>DV6/DU6%</f>
        <v>44.788033460938607</v>
      </c>
      <c r="DX6" s="46">
        <f>SUM(DX7:DX37)</f>
        <v>0</v>
      </c>
      <c r="DY6" s="46">
        <f>SUM(DY7:DY37)</f>
        <v>0</v>
      </c>
      <c r="DZ6" s="49" t="s">
        <v>56</v>
      </c>
      <c r="EA6" s="46">
        <f>SUM(EA7:EA37)</f>
        <v>409399.4</v>
      </c>
      <c r="EB6" s="46">
        <f>SUM(EB7:EB37)</f>
        <v>59911.200000000004</v>
      </c>
      <c r="EC6" s="49">
        <f>EB6/EA6%</f>
        <v>14.633924719967837</v>
      </c>
      <c r="ED6" s="46">
        <f>SUM(ED7:ED37)</f>
        <v>14016</v>
      </c>
      <c r="EE6" s="46">
        <f>SUM(EE7:EE37)</f>
        <v>9204.6999999999989</v>
      </c>
      <c r="EF6" s="49">
        <f>EE6/ED6%</f>
        <v>65.672802511415526</v>
      </c>
      <c r="EG6" s="46">
        <f t="shared" ref="EG6:EG43" si="5">EJ6+EM6+EP6+ES6+EV6+EY6+FB6+FE6+FH6+FK6+FN6+FQ6+FT6+FW6+FZ6+GC6+GF6+GI6+GL6+GO6+GR6+GU6+GX6+HA6+HD6+HG6</f>
        <v>9924637.2920000013</v>
      </c>
      <c r="EH6" s="46">
        <f t="shared" ref="EH6:EH43" si="6">EK6+EN6+EQ6+ET6+EW6+EZ6+FC6+FF6+FI6+FL6+FO6+FR6+FU6+FX6+GA6+GD6+GG6+GJ6+GM6+GP6+GS6+GV6+GY6+HB6+HE6+HH6</f>
        <v>7207959.2999999998</v>
      </c>
      <c r="EI6" s="47">
        <f>EH6/EG6*100</f>
        <v>72.626929205867839</v>
      </c>
      <c r="EJ6" s="46">
        <f>SUM(EJ7:EJ37)</f>
        <v>76681.400000000023</v>
      </c>
      <c r="EK6" s="46">
        <f>SUM(EK7:EK37)</f>
        <v>51141.299999999996</v>
      </c>
      <c r="EL6" s="47">
        <f t="shared" ref="EL6:EL42" si="7">EK6/EJ6%</f>
        <v>66.69322677989706</v>
      </c>
      <c r="EM6" s="46">
        <f t="shared" ref="EM6:HA6" si="8">SUM(EM7:EM37)</f>
        <v>1141.8000000000002</v>
      </c>
      <c r="EN6" s="46">
        <f t="shared" si="8"/>
        <v>345.7</v>
      </c>
      <c r="EO6" s="47">
        <f t="shared" ref="EO6:EO11" si="9">EN6/EM6%</f>
        <v>30.276755999299347</v>
      </c>
      <c r="EP6" s="46">
        <f t="shared" si="8"/>
        <v>20.292000000000002</v>
      </c>
      <c r="EQ6" s="46">
        <f t="shared" si="8"/>
        <v>0</v>
      </c>
      <c r="ER6" s="47">
        <f t="shared" ref="ER6:ER37" si="10">EQ6/EP6%</f>
        <v>0</v>
      </c>
      <c r="ES6" s="46">
        <f t="shared" si="8"/>
        <v>2799928.3000000003</v>
      </c>
      <c r="ET6" s="46">
        <f t="shared" si="8"/>
        <v>1715376.3000000003</v>
      </c>
      <c r="EU6" s="47">
        <f>ET6/ES6%</f>
        <v>61.265008107529042</v>
      </c>
      <c r="EV6" s="50">
        <f>SUM(EV7:EV37)</f>
        <v>6007493.5000000019</v>
      </c>
      <c r="EW6" s="50">
        <f>SUM(EW7:EW37)</f>
        <v>4794350.4999999991</v>
      </c>
      <c r="EX6" s="50">
        <f>(EW6/EV6)*100</f>
        <v>79.806170410338311</v>
      </c>
      <c r="EY6" s="46">
        <f t="shared" si="8"/>
        <v>248438.09999999998</v>
      </c>
      <c r="EZ6" s="51">
        <f t="shared" si="8"/>
        <v>129261</v>
      </c>
      <c r="FA6" s="49">
        <f>EZ6/EY6%</f>
        <v>52.029459249607854</v>
      </c>
      <c r="FB6" s="46">
        <f t="shared" si="8"/>
        <v>55579.700000000004</v>
      </c>
      <c r="FC6" s="46">
        <f t="shared" si="8"/>
        <v>26767.499999999996</v>
      </c>
      <c r="FD6" s="47">
        <f t="shared" ref="FD6:FD36" si="11">FC6/FB6%</f>
        <v>48.160569416531565</v>
      </c>
      <c r="FE6" s="46">
        <f t="shared" si="8"/>
        <v>6533.4000000000005</v>
      </c>
      <c r="FF6" s="46">
        <f t="shared" si="8"/>
        <v>2298.1999999999998</v>
      </c>
      <c r="FG6" s="47">
        <f>FF6/FE6%</f>
        <v>35.176171671717633</v>
      </c>
      <c r="FH6" s="46">
        <f t="shared" si="8"/>
        <v>485.7</v>
      </c>
      <c r="FI6" s="46">
        <f t="shared" si="8"/>
        <v>156.29999999999998</v>
      </c>
      <c r="FJ6" s="47">
        <f>FI6/FH6%</f>
        <v>32.180358245830753</v>
      </c>
      <c r="FK6" s="46">
        <f t="shared" si="8"/>
        <v>45098.899999999994</v>
      </c>
      <c r="FL6" s="46">
        <f t="shared" si="8"/>
        <v>30351.7</v>
      </c>
      <c r="FM6" s="47">
        <f t="shared" ref="FM6:FM37" si="12">FL6/FK6%</f>
        <v>67.300311094062181</v>
      </c>
      <c r="FN6" s="46">
        <f>SUM(FN7:FN37)</f>
        <v>6562.5</v>
      </c>
      <c r="FO6" s="46">
        <f>SUM(FO7:FO37)</f>
        <v>4978.6000000000004</v>
      </c>
      <c r="FP6" s="47">
        <f t="shared" ref="FP6:FP37" si="13">FO6/FN6%</f>
        <v>75.864380952380955</v>
      </c>
      <c r="FQ6" s="46">
        <f t="shared" si="8"/>
        <v>144.39999999999998</v>
      </c>
      <c r="FR6" s="46">
        <f t="shared" si="8"/>
        <v>122.39999999999996</v>
      </c>
      <c r="FS6" s="47">
        <f t="shared" ref="FS6:FS37" si="14">FR6/FQ6%</f>
        <v>84.76454293628808</v>
      </c>
      <c r="FT6" s="46">
        <f t="shared" si="8"/>
        <v>2959.6</v>
      </c>
      <c r="FU6" s="46">
        <f t="shared" si="8"/>
        <v>1583.4000000000005</v>
      </c>
      <c r="FV6" s="47">
        <f>FU6/FT6%</f>
        <v>53.500473036896899</v>
      </c>
      <c r="FW6" s="46">
        <f>SUM(FW7:FW37)</f>
        <v>19</v>
      </c>
      <c r="FX6" s="46">
        <f>SUM(FX7:FX37)</f>
        <v>9.5</v>
      </c>
      <c r="FY6" s="47">
        <f>FX6/FW6%</f>
        <v>50</v>
      </c>
      <c r="FZ6" s="46">
        <f t="shared" si="8"/>
        <v>19144.799999999996</v>
      </c>
      <c r="GA6" s="46">
        <f t="shared" si="8"/>
        <v>12241.3</v>
      </c>
      <c r="GB6" s="47">
        <f t="shared" ref="GB6:GB37" si="15">GA6/FZ6%</f>
        <v>63.940600058501538</v>
      </c>
      <c r="GC6" s="46">
        <f t="shared" si="8"/>
        <v>9586.2999999999993</v>
      </c>
      <c r="GD6" s="46">
        <f t="shared" si="8"/>
        <v>7355.2000000000007</v>
      </c>
      <c r="GE6" s="47">
        <f t="shared" ref="GE6:GE37" si="16">GD6/GC6%</f>
        <v>76.7261612926781</v>
      </c>
      <c r="GF6" s="46">
        <f t="shared" si="8"/>
        <v>1049.9000000000001</v>
      </c>
      <c r="GG6" s="46">
        <f t="shared" si="8"/>
        <v>787.3</v>
      </c>
      <c r="GH6" s="47">
        <f>(GG6/GF6)*100</f>
        <v>74.988094104200385</v>
      </c>
      <c r="GI6" s="46">
        <f t="shared" si="8"/>
        <v>18.5</v>
      </c>
      <c r="GJ6" s="46">
        <f t="shared" si="8"/>
        <v>0</v>
      </c>
      <c r="GK6" s="47">
        <f>GJ6/GI6%</f>
        <v>0</v>
      </c>
      <c r="GL6" s="46">
        <f>SUM(GL7:GL37)</f>
        <v>58308.600000000006</v>
      </c>
      <c r="GM6" s="46">
        <f>SUM(GM7:GM37)</f>
        <v>39608</v>
      </c>
      <c r="GN6" s="47">
        <f t="shared" ref="GN6:GN42" si="17">GM6/GL6%</f>
        <v>67.928230141008356</v>
      </c>
      <c r="GO6" s="46">
        <f>SUM(GO7:GO37)</f>
        <v>0</v>
      </c>
      <c r="GP6" s="46">
        <f>SUM(GP7:GP37)</f>
        <v>0</v>
      </c>
      <c r="GQ6" s="47" t="s">
        <v>56</v>
      </c>
      <c r="GR6" s="46">
        <f t="shared" si="8"/>
        <v>4359.6999999999989</v>
      </c>
      <c r="GS6" s="46">
        <f t="shared" si="8"/>
        <v>3220.2999999999988</v>
      </c>
      <c r="GT6" s="47">
        <f t="shared" ref="GT6:GT11" si="18">GS6/GR6%</f>
        <v>73.865174209234581</v>
      </c>
      <c r="GU6" s="46">
        <f t="shared" si="8"/>
        <v>38005.599999999991</v>
      </c>
      <c r="GV6" s="46">
        <f t="shared" si="8"/>
        <v>10012.700000000003</v>
      </c>
      <c r="GW6" s="47">
        <f t="shared" ref="GW6:GW11" si="19">GV6/GU6%</f>
        <v>26.345328056917939</v>
      </c>
      <c r="GX6" s="46">
        <f t="shared" si="8"/>
        <v>25254</v>
      </c>
      <c r="GY6" s="46">
        <f t="shared" si="8"/>
        <v>12529.4</v>
      </c>
      <c r="GZ6" s="47">
        <f>GY6/GX6%</f>
        <v>49.613526570048307</v>
      </c>
      <c r="HA6" s="46">
        <f t="shared" si="8"/>
        <v>10059.600000000002</v>
      </c>
      <c r="HB6" s="46">
        <f>SUM(HB7:HB37)</f>
        <v>0</v>
      </c>
      <c r="HC6" s="47">
        <f>HB6/HA6%</f>
        <v>0</v>
      </c>
      <c r="HD6" s="48">
        <f>SUM(HD7:HD37)</f>
        <v>408444.7</v>
      </c>
      <c r="HE6" s="48">
        <f>SUM(HE7:HE37)</f>
        <v>291717.80000000005</v>
      </c>
      <c r="HF6" s="48">
        <f>(HE6/HD6)*100</f>
        <v>71.421614725322684</v>
      </c>
      <c r="HG6" s="46">
        <f>SUM(HG7:HG37)</f>
        <v>99319</v>
      </c>
      <c r="HH6" s="46">
        <f>SUM(HH7:HH37)</f>
        <v>73744.89999999998</v>
      </c>
      <c r="HI6" s="47">
        <f>(HH6/HG6)*100</f>
        <v>74.250546219756515</v>
      </c>
      <c r="HJ6" s="51">
        <f>HM6+HP6+HS6+HV6+HY6+IB6+IE6+IH6+IK6+IN6+IQ6+IT6+IW6+IZ6+JC6+JF6+JI6+JL6+JO6+JR6+JU6+JX6+KA6</f>
        <v>1825545.7999999998</v>
      </c>
      <c r="HK6" s="51">
        <f>HN6+HQ6+HT6+HW6+HZ6+IC6+IF6+II6+IL6+IO6+IR6+IU6+IX6+JA6+JD6+JG6+JJ6+JM6+JP6+JS6+JV6+JY6+KB6</f>
        <v>717912.51800000004</v>
      </c>
      <c r="HL6" s="49">
        <f>(HK6/HJ6)*100</f>
        <v>39.325911078210154</v>
      </c>
      <c r="HM6" s="50">
        <f>SUM(HM7:HM37)</f>
        <v>235338.20000000004</v>
      </c>
      <c r="HN6" s="50">
        <f>SUM(HN7:HN37)</f>
        <v>38336.799999999996</v>
      </c>
      <c r="HO6" s="50">
        <f>(HN6/HM6)*100</f>
        <v>16.290088052003451</v>
      </c>
      <c r="HP6" s="50">
        <f>HP23</f>
        <v>19995.599999999999</v>
      </c>
      <c r="HQ6" s="50">
        <v>0</v>
      </c>
      <c r="HR6" s="50">
        <v>0</v>
      </c>
      <c r="HS6" s="50">
        <f>SUM(HS7:HS37)</f>
        <v>355935.19999999995</v>
      </c>
      <c r="HT6" s="50">
        <f>SUM(HT7:HT37)</f>
        <v>66332.599999999991</v>
      </c>
      <c r="HU6" s="50">
        <f>(HT6/HS6)*100</f>
        <v>18.636145006169663</v>
      </c>
      <c r="HV6" s="50">
        <f>SUM(HV7:HV37)</f>
        <v>186943</v>
      </c>
      <c r="HW6" s="50">
        <f>SUM(HW7:HW37)</f>
        <v>19544.699999999997</v>
      </c>
      <c r="HX6" s="50">
        <f>(HW6/HV6)*100</f>
        <v>10.454898017042627</v>
      </c>
      <c r="HY6" s="50">
        <f>SUM(HY7:HY37)</f>
        <v>0</v>
      </c>
      <c r="HZ6" s="50">
        <f>SUM(HZ7:HZ37)</f>
        <v>0</v>
      </c>
      <c r="IA6" s="50" t="s">
        <v>56</v>
      </c>
      <c r="IB6" s="50">
        <f>SUM(IB7:IB37)</f>
        <v>3961</v>
      </c>
      <c r="IC6" s="50">
        <f>SUM(IC7:IC37)</f>
        <v>3961</v>
      </c>
      <c r="ID6" s="50">
        <f>(IC6/IB6)*100</f>
        <v>100</v>
      </c>
      <c r="IE6" s="50">
        <f>SUM(IE7:IE37)</f>
        <v>18926.599999999999</v>
      </c>
      <c r="IF6" s="50">
        <f>SUM(IF7:IF37)</f>
        <v>14915.8</v>
      </c>
      <c r="IG6" s="50">
        <f>(IF6/IE6)*100</f>
        <v>78.808660826561564</v>
      </c>
      <c r="IH6" s="46">
        <f>SUM(IH7:IH37)</f>
        <v>213414.79999999996</v>
      </c>
      <c r="II6" s="46">
        <f>SUM(II7:II37)</f>
        <v>117668.89999999998</v>
      </c>
      <c r="IJ6" s="47">
        <f>(II6/IH6)*100</f>
        <v>55.136241722692148</v>
      </c>
      <c r="IK6" s="46">
        <f>SUM(IK7:IK37)</f>
        <v>31348.6</v>
      </c>
      <c r="IL6" s="46">
        <f>SUM(IL7:IL37)</f>
        <v>19635.900000000001</v>
      </c>
      <c r="IM6" s="46">
        <f>IL6/IK6*100</f>
        <v>62.637246958396872</v>
      </c>
      <c r="IN6" s="46">
        <f>SUM(IN7:IN37)</f>
        <v>43208.9</v>
      </c>
      <c r="IO6" s="46">
        <f>SUM(IO7:IO37)</f>
        <v>12524</v>
      </c>
      <c r="IP6" s="46">
        <f>IP15</f>
        <v>34.2897820611105</v>
      </c>
      <c r="IQ6" s="46">
        <f>SUM(IQ7:IQ37)</f>
        <v>158745.5</v>
      </c>
      <c r="IR6" s="46">
        <f>SUM(IR7:IR37)</f>
        <v>73037</v>
      </c>
      <c r="IS6" s="46">
        <f>(IR6/IQ6)*100</f>
        <v>46.008863243367529</v>
      </c>
      <c r="IT6" s="46">
        <f>SUM(IT7:IT37)</f>
        <v>49499.4</v>
      </c>
      <c r="IU6" s="46">
        <f>SUM(IU7:IU37)</f>
        <v>40634.899999999994</v>
      </c>
      <c r="IV6" s="46">
        <f>(IU6/IT6)*100</f>
        <v>82.091702121641859</v>
      </c>
      <c r="IW6" s="46">
        <f>SUM(IW7:IW37)</f>
        <v>13000</v>
      </c>
      <c r="IX6" s="46">
        <f>SUM(IX7:IX37)</f>
        <v>11498.1</v>
      </c>
      <c r="IY6" s="46">
        <f>(IX6/IW6)*100</f>
        <v>88.446923076923085</v>
      </c>
      <c r="IZ6" s="46">
        <f>SUM(IZ7:IZ37)</f>
        <v>51489</v>
      </c>
      <c r="JA6" s="46">
        <f>SUM(JA7:JA37)</f>
        <v>16413.400000000001</v>
      </c>
      <c r="JB6" s="46">
        <f>(JA6/IZ6)*100</f>
        <v>31.87748839557964</v>
      </c>
      <c r="JC6" s="46">
        <f>SUM(JC7:JC37)</f>
        <v>9325.7999999999993</v>
      </c>
      <c r="JD6" s="46">
        <f>SUM(JD7:JD37)</f>
        <v>232.5</v>
      </c>
      <c r="JE6" s="46">
        <f>(JD6/JC6)*100</f>
        <v>2.4930837032747863</v>
      </c>
      <c r="JF6" s="52">
        <f>SUM(JF7:JF37)</f>
        <v>469.69999999999993</v>
      </c>
      <c r="JG6" s="52">
        <f>SUM(JG7:JG37)</f>
        <v>410.4</v>
      </c>
      <c r="JH6" s="52">
        <f>(JG6/JF6)*100</f>
        <v>87.37492016180542</v>
      </c>
      <c r="JI6" s="52">
        <f>SUM(JI7:JI37)</f>
        <v>15</v>
      </c>
      <c r="JJ6" s="52">
        <f>SUM(JJ7:JJ37)</f>
        <v>13.617999999999999</v>
      </c>
      <c r="JK6" s="52">
        <f>(JJ6/JI6)*100</f>
        <v>90.786666666666662</v>
      </c>
      <c r="JL6" s="46">
        <f>SUM(JL7:JL37)</f>
        <v>22156.800000000003</v>
      </c>
      <c r="JM6" s="46">
        <f>SUM(JM7:JM37)</f>
        <v>9170.7999999999993</v>
      </c>
      <c r="JN6" s="46">
        <f>(JM6/JL6)*100</f>
        <v>41.390453495089538</v>
      </c>
      <c r="JO6" s="46">
        <f>SUM(JO7:JO37)</f>
        <v>1020.4</v>
      </c>
      <c r="JP6" s="46">
        <v>1020.4</v>
      </c>
      <c r="JQ6" s="46">
        <v>100</v>
      </c>
      <c r="JR6" s="46">
        <f>SUM(JR7:JR37)</f>
        <v>103600</v>
      </c>
      <c r="JS6" s="46">
        <f>SUM(JS7:JS37)</f>
        <v>55332.4</v>
      </c>
      <c r="JT6" s="46">
        <f>(JS6/JR6)*100</f>
        <v>53.409652509652517</v>
      </c>
      <c r="JU6" s="46">
        <f>SUM(JU7:JU37)</f>
        <v>306725.7</v>
      </c>
      <c r="JV6" s="46">
        <f>SUM(JV7:JV37)</f>
        <v>216802.7</v>
      </c>
      <c r="JW6" s="46">
        <f>(JV6/JU6)*100</f>
        <v>70.682926145412665</v>
      </c>
      <c r="JX6" s="46">
        <f>SUM(JX7:JX37)</f>
        <v>0</v>
      </c>
      <c r="JY6" s="46">
        <f>SUM(JY7:JY37)</f>
        <v>0</v>
      </c>
      <c r="JZ6" s="46" t="s">
        <v>56</v>
      </c>
      <c r="KA6" s="46">
        <f>SUM(KA7:KA37)</f>
        <v>426.6</v>
      </c>
      <c r="KB6" s="46">
        <f>SUM(KB7:KB37)</f>
        <v>426.6</v>
      </c>
      <c r="KC6" s="46">
        <f>(KB6/KA6)*100</f>
        <v>100</v>
      </c>
      <c r="KD6" s="52">
        <f>SUM(KD7:KD37)</f>
        <v>20209779.362889998</v>
      </c>
      <c r="KE6" s="52">
        <f>SUM(KE7:KE37)</f>
        <v>12923013.477999996</v>
      </c>
      <c r="KF6" s="47">
        <f>KE6/KD6%</f>
        <v>63.944357065717156</v>
      </c>
      <c r="KG6" s="1"/>
      <c r="KH6" s="9"/>
    </row>
    <row r="7" spans="1:296" ht="14.25" customHeight="1" x14ac:dyDescent="0.2">
      <c r="A7" s="27" t="s">
        <v>6</v>
      </c>
      <c r="B7" s="13">
        <f t="shared" ref="B7:B42" si="20">E7+H7+K7</f>
        <v>284019</v>
      </c>
      <c r="C7" s="13">
        <f>F7+I7+L7</f>
        <v>250608.1</v>
      </c>
      <c r="D7" s="14">
        <f>C7/B7*100</f>
        <v>88.23638559392154</v>
      </c>
      <c r="E7" s="18">
        <v>284019</v>
      </c>
      <c r="F7" s="19">
        <v>250608.1</v>
      </c>
      <c r="G7" s="19">
        <f>F7/E7%</f>
        <v>88.23638559392154</v>
      </c>
      <c r="H7" s="18">
        <v>0</v>
      </c>
      <c r="I7" s="19">
        <v>0</v>
      </c>
      <c r="J7" s="19" t="s">
        <v>56</v>
      </c>
      <c r="K7" s="19">
        <v>0</v>
      </c>
      <c r="L7" s="19">
        <v>0</v>
      </c>
      <c r="M7" s="19" t="s">
        <v>56</v>
      </c>
      <c r="N7" s="13">
        <f>Q7+T7+W7+Z7+AC7+AF7+AI7+AL7+AO7+AR7+AU7+AX7+BA7+BD7+BG7+BJ7+BM7+BP7+BS7+BV7+BY7+CB7+CE7+CH7+CK7+CN7+CQ7+CT7+CW7+CZ7+DC7+DF7+DI7+DL7+DO7+DR7+DU7+DX7+EA7+ED7</f>
        <v>174149.32183</v>
      </c>
      <c r="O7" s="13">
        <f>R7+U7+X7+AA7+AD7+AG7+AJ7+AM7+AP7+AS7+AV7+AY7+BB7+BE7+BH7+BK7+BN7+BQ7+BT7+BW7+BZ7+CC7+CF7+CI7+CL7+CO7+CR7+CU7+CX7+DA7+DD7+DG7+DJ7+DM7+DP7+DS7+DV7+DY7+EB7+EE7</f>
        <v>100329.1</v>
      </c>
      <c r="P7" s="14">
        <f t="shared" ref="P7:P44" si="21">(O7/N7)*100</f>
        <v>57.610962216630753</v>
      </c>
      <c r="Q7" s="19">
        <v>14222</v>
      </c>
      <c r="R7" s="19">
        <v>818.3</v>
      </c>
      <c r="S7" s="19">
        <f>R7/Q7%</f>
        <v>5.7537617775277736</v>
      </c>
      <c r="T7" s="18">
        <v>0</v>
      </c>
      <c r="U7" s="19">
        <v>0</v>
      </c>
      <c r="V7" s="19" t="s">
        <v>56</v>
      </c>
      <c r="W7" s="18">
        <v>2800</v>
      </c>
      <c r="X7" s="19">
        <v>2800</v>
      </c>
      <c r="Y7" s="19">
        <f t="shared" si="1"/>
        <v>100</v>
      </c>
      <c r="Z7" s="18">
        <v>0</v>
      </c>
      <c r="AA7" s="19">
        <v>0</v>
      </c>
      <c r="AB7" s="19" t="s">
        <v>56</v>
      </c>
      <c r="AC7" s="18">
        <v>0</v>
      </c>
      <c r="AD7" s="19">
        <v>0</v>
      </c>
      <c r="AE7" s="19" t="s">
        <v>56</v>
      </c>
      <c r="AF7" s="18">
        <v>0</v>
      </c>
      <c r="AG7" s="19">
        <v>0</v>
      </c>
      <c r="AH7" s="19" t="s">
        <v>56</v>
      </c>
      <c r="AI7" s="18">
        <v>0</v>
      </c>
      <c r="AJ7" s="18">
        <v>0</v>
      </c>
      <c r="AK7" s="19" t="s">
        <v>56</v>
      </c>
      <c r="AL7" s="19">
        <v>4541.8</v>
      </c>
      <c r="AM7" s="19">
        <v>1886.1</v>
      </c>
      <c r="AN7" s="19">
        <f t="shared" si="2"/>
        <v>41.527588180897439</v>
      </c>
      <c r="AO7" s="19">
        <f>9096.6</f>
        <v>9096.6</v>
      </c>
      <c r="AP7" s="19">
        <v>6545.3</v>
      </c>
      <c r="AQ7" s="19">
        <f>(AP7/AO7)*100</f>
        <v>71.953257260954643</v>
      </c>
      <c r="AR7" s="19">
        <v>0</v>
      </c>
      <c r="AS7" s="19">
        <v>0</v>
      </c>
      <c r="AT7" s="19" t="s">
        <v>56</v>
      </c>
      <c r="AU7" s="19">
        <v>1224.8</v>
      </c>
      <c r="AV7" s="19">
        <f>1224.8</f>
        <v>1224.8</v>
      </c>
      <c r="AW7" s="19">
        <v>100</v>
      </c>
      <c r="AX7" s="19">
        <v>5915.2</v>
      </c>
      <c r="AY7" s="19">
        <v>1478.8</v>
      </c>
      <c r="AZ7" s="19">
        <f>(AY7/AX7)*100</f>
        <v>25</v>
      </c>
      <c r="BA7" s="18">
        <v>0</v>
      </c>
      <c r="BB7" s="19">
        <v>0</v>
      </c>
      <c r="BC7" s="19" t="s">
        <v>56</v>
      </c>
      <c r="BD7" s="18">
        <v>0</v>
      </c>
      <c r="BE7" s="19">
        <v>0</v>
      </c>
      <c r="BF7" s="19" t="s">
        <v>56</v>
      </c>
      <c r="BG7" s="18">
        <f>123021.83/1000</f>
        <v>123.02183000000001</v>
      </c>
      <c r="BH7" s="19">
        <f>123</f>
        <v>123</v>
      </c>
      <c r="BI7" s="19">
        <f t="shared" si="3"/>
        <v>99.982255181864872</v>
      </c>
      <c r="BJ7" s="18">
        <f>50000/1000</f>
        <v>50</v>
      </c>
      <c r="BK7" s="19">
        <v>50</v>
      </c>
      <c r="BL7" s="19">
        <f>(BK7/BJ7)*100</f>
        <v>100</v>
      </c>
      <c r="BM7" s="18">
        <v>0</v>
      </c>
      <c r="BN7" s="19">
        <v>0</v>
      </c>
      <c r="BO7" s="19" t="s">
        <v>56</v>
      </c>
      <c r="BP7" s="18">
        <v>0</v>
      </c>
      <c r="BQ7" s="19">
        <v>0</v>
      </c>
      <c r="BR7" s="19" t="s">
        <v>56</v>
      </c>
      <c r="BS7" s="18">
        <v>0</v>
      </c>
      <c r="BT7" s="19">
        <v>0</v>
      </c>
      <c r="BU7" s="19" t="s">
        <v>56</v>
      </c>
      <c r="BV7" s="18">
        <v>0</v>
      </c>
      <c r="BW7" s="19">
        <v>0</v>
      </c>
      <c r="BX7" s="19" t="s">
        <v>56</v>
      </c>
      <c r="BY7" s="19">
        <v>5768.8</v>
      </c>
      <c r="BZ7" s="19">
        <v>2773.2</v>
      </c>
      <c r="CA7" s="19">
        <f>(BZ7/BY7)*100</f>
        <v>48.072389405075569</v>
      </c>
      <c r="CB7" s="18">
        <f>1318.9</f>
        <v>1318.9</v>
      </c>
      <c r="CC7" s="18">
        <v>1318.9</v>
      </c>
      <c r="CD7" s="34">
        <v>100</v>
      </c>
      <c r="CE7" s="18">
        <v>3991.9</v>
      </c>
      <c r="CF7" s="18">
        <f>6345.7-2732.3</f>
        <v>3613.3999999999996</v>
      </c>
      <c r="CG7" s="34">
        <f t="shared" ref="CG7:CG44" si="22">(CF7/CE7)*100</f>
        <v>90.518299556602116</v>
      </c>
      <c r="CH7" s="34">
        <v>0</v>
      </c>
      <c r="CI7" s="34">
        <v>0</v>
      </c>
      <c r="CJ7" s="34" t="s">
        <v>56</v>
      </c>
      <c r="CK7" s="18">
        <v>2500</v>
      </c>
      <c r="CL7" s="18">
        <v>0</v>
      </c>
      <c r="CM7" s="34">
        <v>0</v>
      </c>
      <c r="CN7" s="18">
        <v>26334.9</v>
      </c>
      <c r="CO7" s="34">
        <v>26334.9</v>
      </c>
      <c r="CP7" s="34">
        <f t="shared" si="4"/>
        <v>100.00000000000001</v>
      </c>
      <c r="CQ7" s="34">
        <v>0</v>
      </c>
      <c r="CR7" s="34">
        <v>0</v>
      </c>
      <c r="CS7" s="34" t="s">
        <v>56</v>
      </c>
      <c r="CT7" s="34">
        <v>0</v>
      </c>
      <c r="CU7" s="34">
        <v>0</v>
      </c>
      <c r="CV7" s="34" t="s">
        <v>56</v>
      </c>
      <c r="CW7" s="34">
        <v>1892.9</v>
      </c>
      <c r="CX7" s="34">
        <v>1627.1</v>
      </c>
      <c r="CY7" s="34">
        <f t="shared" ref="CY7:CY42" si="23">(CX7/CW7)*100</f>
        <v>85.958053779914408</v>
      </c>
      <c r="CZ7" s="34">
        <v>2035.7</v>
      </c>
      <c r="DA7" s="34">
        <v>1468.7</v>
      </c>
      <c r="DB7" s="34">
        <f>(DA7/CZ7)*100</f>
        <v>72.147172962617276</v>
      </c>
      <c r="DC7" s="34">
        <v>0</v>
      </c>
      <c r="DD7" s="34">
        <v>0</v>
      </c>
      <c r="DE7" s="35" t="s">
        <v>56</v>
      </c>
      <c r="DF7" s="34">
        <v>0</v>
      </c>
      <c r="DG7" s="34">
        <v>0</v>
      </c>
      <c r="DH7" s="34" t="s">
        <v>56</v>
      </c>
      <c r="DI7" s="34">
        <v>0</v>
      </c>
      <c r="DJ7" s="34">
        <v>0</v>
      </c>
      <c r="DK7" s="34" t="s">
        <v>56</v>
      </c>
      <c r="DL7" s="34">
        <v>92332.800000000003</v>
      </c>
      <c r="DM7" s="34">
        <v>48266.6</v>
      </c>
      <c r="DN7" s="34">
        <f t="shared" ref="DN7:DN44" si="24">(DM7/DL7)*100</f>
        <v>52.274597976017191</v>
      </c>
      <c r="DO7" s="34">
        <v>0</v>
      </c>
      <c r="DP7" s="34">
        <v>0</v>
      </c>
      <c r="DQ7" s="34" t="s">
        <v>56</v>
      </c>
      <c r="DR7" s="34">
        <v>0</v>
      </c>
      <c r="DS7" s="34">
        <v>0</v>
      </c>
      <c r="DT7" s="34" t="s">
        <v>56</v>
      </c>
      <c r="DU7" s="34">
        <v>0</v>
      </c>
      <c r="DV7" s="34">
        <v>0</v>
      </c>
      <c r="DW7" s="34" t="s">
        <v>56</v>
      </c>
      <c r="DX7" s="34">
        <v>0</v>
      </c>
      <c r="DY7" s="34">
        <v>0</v>
      </c>
      <c r="DZ7" s="34" t="s">
        <v>56</v>
      </c>
      <c r="EA7" s="18">
        <v>0</v>
      </c>
      <c r="EB7" s="19">
        <v>0</v>
      </c>
      <c r="EC7" s="34" t="s">
        <v>56</v>
      </c>
      <c r="ED7" s="18">
        <v>0</v>
      </c>
      <c r="EE7" s="19">
        <v>0</v>
      </c>
      <c r="EF7" s="34" t="s">
        <v>56</v>
      </c>
      <c r="EG7" s="13">
        <f t="shared" si="5"/>
        <v>312835.22500000003</v>
      </c>
      <c r="EH7" s="13">
        <f t="shared" si="6"/>
        <v>242092.30000000002</v>
      </c>
      <c r="EI7" s="14">
        <f>EH7/EG7*100</f>
        <v>77.386521930195045</v>
      </c>
      <c r="EJ7" s="36">
        <v>2265.3000000000002</v>
      </c>
      <c r="EK7" s="36">
        <v>1705.3</v>
      </c>
      <c r="EL7" s="19">
        <f t="shared" si="7"/>
        <v>75.279212466339985</v>
      </c>
      <c r="EM7" s="36">
        <v>114.2</v>
      </c>
      <c r="EN7" s="19">
        <v>0</v>
      </c>
      <c r="EO7" s="19">
        <f t="shared" si="9"/>
        <v>0</v>
      </c>
      <c r="EP7" s="36">
        <f>2625/1000</f>
        <v>2.625</v>
      </c>
      <c r="EQ7" s="19">
        <v>0</v>
      </c>
      <c r="ER7" s="19">
        <f t="shared" si="10"/>
        <v>0</v>
      </c>
      <c r="ES7" s="36">
        <v>80520.899999999994</v>
      </c>
      <c r="ET7" s="19">
        <v>59884</v>
      </c>
      <c r="EU7" s="19">
        <v>74.370753431717731</v>
      </c>
      <c r="EV7" s="34">
        <v>191263.9</v>
      </c>
      <c r="EW7" s="34">
        <v>157792.4</v>
      </c>
      <c r="EX7" s="35">
        <v>82.499833998993012</v>
      </c>
      <c r="EY7" s="36">
        <v>9754.6</v>
      </c>
      <c r="EZ7" s="34">
        <v>6176</v>
      </c>
      <c r="FA7" s="34">
        <f t="shared" ref="FA7:FA42" si="25">EZ7/EY7%</f>
        <v>63.313718655813666</v>
      </c>
      <c r="FB7" s="36">
        <v>5725.9</v>
      </c>
      <c r="FC7" s="19">
        <v>2237.1999999999998</v>
      </c>
      <c r="FD7" s="19">
        <f t="shared" si="11"/>
        <v>39.071586999423673</v>
      </c>
      <c r="FE7" s="36">
        <v>981.6</v>
      </c>
      <c r="FF7" s="19">
        <v>0</v>
      </c>
      <c r="FG7" s="19">
        <f>FF7/FE7%</f>
        <v>0</v>
      </c>
      <c r="FH7" s="36">
        <v>0</v>
      </c>
      <c r="FI7" s="19">
        <v>0</v>
      </c>
      <c r="FJ7" s="19" t="s">
        <v>56</v>
      </c>
      <c r="FK7" s="36">
        <v>3230.5</v>
      </c>
      <c r="FL7" s="19">
        <v>1287.7</v>
      </c>
      <c r="FM7" s="19">
        <f t="shared" si="12"/>
        <v>39.860702677604088</v>
      </c>
      <c r="FN7" s="36">
        <v>227.5</v>
      </c>
      <c r="FO7" s="19">
        <v>170.1</v>
      </c>
      <c r="FP7" s="19">
        <f t="shared" si="13"/>
        <v>74.769230769230774</v>
      </c>
      <c r="FQ7" s="36">
        <v>2.5</v>
      </c>
      <c r="FR7" s="19">
        <v>2.5</v>
      </c>
      <c r="FS7" s="19">
        <f t="shared" si="14"/>
        <v>100</v>
      </c>
      <c r="FT7" s="36">
        <v>127.3</v>
      </c>
      <c r="FU7" s="19">
        <v>69.099999999999994</v>
      </c>
      <c r="FV7" s="19">
        <f>FU7/FT7%</f>
        <v>54.281225451688925</v>
      </c>
      <c r="FW7" s="36">
        <v>0</v>
      </c>
      <c r="FX7" s="19">
        <v>0</v>
      </c>
      <c r="FY7" s="19" t="s">
        <v>56</v>
      </c>
      <c r="FZ7" s="36">
        <v>573.6</v>
      </c>
      <c r="GA7" s="19">
        <v>349.1</v>
      </c>
      <c r="GB7" s="19">
        <f t="shared" si="15"/>
        <v>60.861227336122731</v>
      </c>
      <c r="GC7" s="36">
        <v>209.9</v>
      </c>
      <c r="GD7" s="19">
        <v>161</v>
      </c>
      <c r="GE7" s="19">
        <f t="shared" si="16"/>
        <v>76.70319199618865</v>
      </c>
      <c r="GF7" s="36">
        <v>0</v>
      </c>
      <c r="GG7" s="19">
        <v>0</v>
      </c>
      <c r="GH7" s="19" t="s">
        <v>56</v>
      </c>
      <c r="GI7" s="37">
        <v>4.4000000000000004</v>
      </c>
      <c r="GJ7" s="19">
        <v>0</v>
      </c>
      <c r="GK7" s="19">
        <v>0</v>
      </c>
      <c r="GL7" s="37">
        <v>2257.4</v>
      </c>
      <c r="GM7" s="19">
        <v>1597.3</v>
      </c>
      <c r="GN7" s="19">
        <f t="shared" si="17"/>
        <v>70.758394613271903</v>
      </c>
      <c r="GO7" s="36">
        <v>0</v>
      </c>
      <c r="GP7" s="36">
        <v>0</v>
      </c>
      <c r="GQ7" s="19" t="s">
        <v>56</v>
      </c>
      <c r="GR7" s="36">
        <v>278.39999999999998</v>
      </c>
      <c r="GS7" s="19">
        <v>185.3</v>
      </c>
      <c r="GT7" s="19">
        <f t="shared" si="18"/>
        <v>66.55890804597702</v>
      </c>
      <c r="GU7" s="36">
        <v>1966</v>
      </c>
      <c r="GV7" s="19">
        <v>790.5</v>
      </c>
      <c r="GW7" s="19">
        <f t="shared" si="19"/>
        <v>40.208545269582906</v>
      </c>
      <c r="GX7" s="36">
        <v>0</v>
      </c>
      <c r="GY7" s="19">
        <v>0</v>
      </c>
      <c r="GZ7" s="19" t="s">
        <v>56</v>
      </c>
      <c r="HA7" s="36">
        <v>233.8</v>
      </c>
      <c r="HB7" s="19">
        <v>0</v>
      </c>
      <c r="HC7" s="19">
        <v>0</v>
      </c>
      <c r="HD7" s="19">
        <v>10633.9</v>
      </c>
      <c r="HE7" s="19">
        <v>7838.9</v>
      </c>
      <c r="HF7" s="38">
        <f t="shared" ref="HF7:HF44" si="26">(HE7/HD7)*100</f>
        <v>73.716134249898914</v>
      </c>
      <c r="HG7" s="36">
        <v>2461</v>
      </c>
      <c r="HH7" s="19">
        <v>1845.9</v>
      </c>
      <c r="HI7" s="19">
        <f t="shared" ref="HI7:HI37" si="27">(HH7/HG7)*100</f>
        <v>75.006095083299471</v>
      </c>
      <c r="HJ7" s="17">
        <f t="shared" ref="HJ7:HJ43" si="28">HM7+HP7+HS7+HV7+HY7+IB7+IE7+IH7+IK7+IN7+IQ7+IT7+IW7+IZ7+JC7+JF7+JI7+JL7+JO7+JR7+JU7+JX7+KA7</f>
        <v>70124.600000000006</v>
      </c>
      <c r="HK7" s="17">
        <f t="shared" ref="HK7:HK42" si="29">HN7+HQ7+HT7+HW7+HZ7+IC7+IF7+II7+IL7+IO7+IR7+IU7+IX7+JA7+JD7+JG7+JJ7+JM7+JP7+JS7+JV7+JY7+KB7</f>
        <v>47299.5</v>
      </c>
      <c r="HL7" s="16">
        <f t="shared" ref="HL7:HL44" si="30">(HK7/HJ7)*100</f>
        <v>67.450652124931892</v>
      </c>
      <c r="HM7" s="34">
        <v>6996.4</v>
      </c>
      <c r="HN7" s="34">
        <v>1749.1</v>
      </c>
      <c r="HO7" s="35">
        <f>(HN7/HM7)*100</f>
        <v>25</v>
      </c>
      <c r="HP7" s="35">
        <v>0</v>
      </c>
      <c r="HQ7" s="35">
        <v>0</v>
      </c>
      <c r="HR7" s="35" t="s">
        <v>56</v>
      </c>
      <c r="HS7" s="35">
        <v>34500</v>
      </c>
      <c r="HT7" s="35">
        <v>24200</v>
      </c>
      <c r="HU7" s="35">
        <f>(HT7/HS7)*100</f>
        <v>70.144927536231876</v>
      </c>
      <c r="HV7" s="35">
        <v>5271.1</v>
      </c>
      <c r="HW7" s="35">
        <v>0</v>
      </c>
      <c r="HX7" s="35">
        <f>(HW7/HV7)*100</f>
        <v>0</v>
      </c>
      <c r="HY7" s="34">
        <v>0</v>
      </c>
      <c r="HZ7" s="34">
        <v>0</v>
      </c>
      <c r="IA7" s="34" t="s">
        <v>56</v>
      </c>
      <c r="IB7" s="34">
        <v>109</v>
      </c>
      <c r="IC7" s="34">
        <v>109</v>
      </c>
      <c r="ID7" s="35">
        <f t="shared" ref="ID7:ID44" si="31">(IC7/IB7)*100</f>
        <v>100</v>
      </c>
      <c r="IE7" s="34">
        <v>15243.9</v>
      </c>
      <c r="IF7" s="34">
        <v>13237.4</v>
      </c>
      <c r="IG7" s="35">
        <f>(IF7/IE7)*100</f>
        <v>86.83735789397727</v>
      </c>
      <c r="IH7" s="18">
        <v>5474.2</v>
      </c>
      <c r="II7" s="19">
        <v>5474.2</v>
      </c>
      <c r="IJ7" s="19">
        <f t="shared" ref="IJ7:IJ44" si="32">(II7/IH7)*100</f>
        <v>100</v>
      </c>
      <c r="IK7" s="18">
        <v>0</v>
      </c>
      <c r="IL7" s="18">
        <v>0</v>
      </c>
      <c r="IM7" s="18" t="s">
        <v>56</v>
      </c>
      <c r="IN7" s="19">
        <v>0</v>
      </c>
      <c r="IO7" s="19">
        <v>0</v>
      </c>
      <c r="IP7" s="19" t="s">
        <v>56</v>
      </c>
      <c r="IQ7" s="19">
        <v>0</v>
      </c>
      <c r="IR7" s="19">
        <v>0</v>
      </c>
      <c r="IS7" s="21" t="s">
        <v>56</v>
      </c>
      <c r="IT7" s="19">
        <v>2504.6999999999998</v>
      </c>
      <c r="IU7" s="19">
        <v>2504.5</v>
      </c>
      <c r="IV7" s="21">
        <f>(IU7/IT7)*100</f>
        <v>99.992015011777866</v>
      </c>
      <c r="IW7" s="19">
        <v>0</v>
      </c>
      <c r="IX7" s="19">
        <v>0</v>
      </c>
      <c r="IY7" s="19" t="s">
        <v>56</v>
      </c>
      <c r="IZ7" s="19">
        <v>0</v>
      </c>
      <c r="JA7" s="19">
        <v>0</v>
      </c>
      <c r="JB7" s="21" t="s">
        <v>56</v>
      </c>
      <c r="JC7" s="19">
        <v>0</v>
      </c>
      <c r="JD7" s="19">
        <v>0</v>
      </c>
      <c r="JE7" s="19" t="s">
        <v>56</v>
      </c>
      <c r="JF7" s="19">
        <v>25.3</v>
      </c>
      <c r="JG7" s="19">
        <v>25.3</v>
      </c>
      <c r="JH7" s="25">
        <f>(JG7/JF7)*100</f>
        <v>100</v>
      </c>
      <c r="JI7" s="23">
        <v>0</v>
      </c>
      <c r="JJ7" s="19">
        <v>0</v>
      </c>
      <c r="JK7" s="25" t="s">
        <v>56</v>
      </c>
      <c r="JL7" s="19">
        <v>0</v>
      </c>
      <c r="JM7" s="19">
        <v>0</v>
      </c>
      <c r="JN7" s="21" t="s">
        <v>56</v>
      </c>
      <c r="JO7" s="19">
        <v>0</v>
      </c>
      <c r="JP7" s="19">
        <v>0</v>
      </c>
      <c r="JQ7" s="19" t="s">
        <v>56</v>
      </c>
      <c r="JR7" s="19">
        <v>0</v>
      </c>
      <c r="JS7" s="19">
        <v>0</v>
      </c>
      <c r="JT7" s="19" t="s">
        <v>56</v>
      </c>
      <c r="JU7" s="19">
        <v>0</v>
      </c>
      <c r="JV7" s="19">
        <v>0</v>
      </c>
      <c r="JW7" s="21" t="s">
        <v>56</v>
      </c>
      <c r="JX7" s="21">
        <v>0</v>
      </c>
      <c r="JY7" s="21">
        <v>0</v>
      </c>
      <c r="JZ7" s="21" t="s">
        <v>56</v>
      </c>
      <c r="KA7" s="21">
        <v>0</v>
      </c>
      <c r="KB7" s="21">
        <v>0</v>
      </c>
      <c r="KC7" s="21" t="s">
        <v>56</v>
      </c>
      <c r="KD7" s="14">
        <f>B7+N7+EG7+HJ7</f>
        <v>841128.1468300001</v>
      </c>
      <c r="KE7" s="14">
        <f>C7+O7+EH7+HK7</f>
        <v>640329</v>
      </c>
      <c r="KF7" s="14">
        <f>KE7/KD7%</f>
        <v>76.127401325617086</v>
      </c>
      <c r="KG7" s="7"/>
      <c r="KH7" s="9"/>
      <c r="KJ7" s="9"/>
    </row>
    <row r="8" spans="1:296" x14ac:dyDescent="0.2">
      <c r="A8" s="27" t="s">
        <v>7</v>
      </c>
      <c r="B8" s="13">
        <f t="shared" si="20"/>
        <v>123718</v>
      </c>
      <c r="C8" s="13">
        <f t="shared" ref="C8:C43" si="33">F8+I8+L8</f>
        <v>85010.7</v>
      </c>
      <c r="D8" s="14">
        <f t="shared" ref="D8:D38" si="34">C8/B8*100</f>
        <v>68.713283434908419</v>
      </c>
      <c r="E8" s="18">
        <v>123718</v>
      </c>
      <c r="F8" s="19">
        <v>85010.7</v>
      </c>
      <c r="G8" s="19">
        <f t="shared" si="0"/>
        <v>68.713283434908419</v>
      </c>
      <c r="H8" s="18">
        <v>0</v>
      </c>
      <c r="I8" s="19">
        <v>0</v>
      </c>
      <c r="J8" s="19" t="s">
        <v>56</v>
      </c>
      <c r="K8" s="19">
        <v>0</v>
      </c>
      <c r="L8" s="19">
        <v>0</v>
      </c>
      <c r="M8" s="19" t="s">
        <v>56</v>
      </c>
      <c r="N8" s="13">
        <f t="shared" ref="N8:N37" si="35">Q8+T8+W8+Z8+AC8+AF8+AI8+AL8+AO8+AR8+AU8+AX8+BA8+BD8+BG8+BJ8+BM8+BP8+BS8+BV8+BY8+CB8+CE8+CH8+CK8+CN8+CQ8+CT8+CW8+CZ8+DC8+DF8+DI8+DL8+DO8+DR8+DU8+DX8+EA8+ED8</f>
        <v>64337.554230000002</v>
      </c>
      <c r="O8" s="13">
        <f t="shared" ref="O8:O37" si="36">R8+U8+X8+AA8+AD8+AG8+AJ8+AM8+AP8+AS8+AV8+AY8+BB8+BE8+BH8+BK8+BN8+BQ8+BT8+BW8+BZ8+CC8+CF8+CI8+CL8+CO8+CR8+CU8+CX8+DA8+DD8+DG8+DJ8+DM8+DP8+DS8+DV8+DY8+EB8+EE8</f>
        <v>19545.099999999999</v>
      </c>
      <c r="P8" s="14">
        <f t="shared" si="21"/>
        <v>30.378991296635739</v>
      </c>
      <c r="Q8" s="19">
        <v>16253.8</v>
      </c>
      <c r="R8" s="19">
        <v>0</v>
      </c>
      <c r="S8" s="19">
        <f t="shared" ref="S8:S38" si="37">R8/Q8%</f>
        <v>0</v>
      </c>
      <c r="T8" s="18">
        <v>0</v>
      </c>
      <c r="U8" s="19">
        <v>0</v>
      </c>
      <c r="V8" s="19" t="s">
        <v>56</v>
      </c>
      <c r="W8" s="18">
        <v>0</v>
      </c>
      <c r="X8" s="19">
        <v>0</v>
      </c>
      <c r="Y8" s="19" t="s">
        <v>56</v>
      </c>
      <c r="Z8" s="18">
        <v>0</v>
      </c>
      <c r="AA8" s="19">
        <v>0</v>
      </c>
      <c r="AB8" s="19" t="s">
        <v>56</v>
      </c>
      <c r="AC8" s="18">
        <v>0</v>
      </c>
      <c r="AD8" s="19">
        <v>0</v>
      </c>
      <c r="AE8" s="19" t="s">
        <v>56</v>
      </c>
      <c r="AF8" s="18">
        <v>0</v>
      </c>
      <c r="AG8" s="19">
        <v>0</v>
      </c>
      <c r="AH8" s="19" t="s">
        <v>56</v>
      </c>
      <c r="AI8" s="18">
        <v>0</v>
      </c>
      <c r="AJ8" s="18">
        <v>0</v>
      </c>
      <c r="AK8" s="19" t="s">
        <v>56</v>
      </c>
      <c r="AL8" s="19">
        <v>2534.4</v>
      </c>
      <c r="AM8" s="19">
        <v>0</v>
      </c>
      <c r="AN8" s="19">
        <f t="shared" si="2"/>
        <v>0</v>
      </c>
      <c r="AO8" s="19">
        <v>0</v>
      </c>
      <c r="AP8" s="19">
        <v>0</v>
      </c>
      <c r="AQ8" s="19" t="s">
        <v>56</v>
      </c>
      <c r="AR8" s="19">
        <v>0</v>
      </c>
      <c r="AS8" s="19">
        <v>0</v>
      </c>
      <c r="AT8" s="19" t="s">
        <v>56</v>
      </c>
      <c r="AU8" s="19">
        <v>0</v>
      </c>
      <c r="AV8" s="19">
        <v>0</v>
      </c>
      <c r="AW8" s="19" t="s">
        <v>56</v>
      </c>
      <c r="AX8" s="19">
        <v>3266.4</v>
      </c>
      <c r="AY8" s="19">
        <v>816.6</v>
      </c>
      <c r="AZ8" s="19">
        <f t="shared" ref="AZ8:AZ37" si="38">(AY8/AX8)*100</f>
        <v>25</v>
      </c>
      <c r="BA8" s="18">
        <v>0</v>
      </c>
      <c r="BB8" s="19">
        <v>0</v>
      </c>
      <c r="BC8" s="19" t="s">
        <v>56</v>
      </c>
      <c r="BD8" s="18">
        <v>0</v>
      </c>
      <c r="BE8" s="19">
        <v>0</v>
      </c>
      <c r="BF8" s="19" t="s">
        <v>56</v>
      </c>
      <c r="BG8" s="18">
        <f>100654.23/1000</f>
        <v>100.65423</v>
      </c>
      <c r="BH8" s="19">
        <v>100.7</v>
      </c>
      <c r="BI8" s="19">
        <f t="shared" si="3"/>
        <v>100.04547250522904</v>
      </c>
      <c r="BJ8" s="18">
        <f>50000/1000</f>
        <v>50</v>
      </c>
      <c r="BK8" s="19">
        <v>50</v>
      </c>
      <c r="BL8" s="19">
        <f>(BK8/BJ8)*100</f>
        <v>100</v>
      </c>
      <c r="BM8" s="18">
        <v>0</v>
      </c>
      <c r="BN8" s="19">
        <v>0</v>
      </c>
      <c r="BO8" s="19" t="s">
        <v>56</v>
      </c>
      <c r="BP8" s="18">
        <v>0</v>
      </c>
      <c r="BQ8" s="19">
        <v>0</v>
      </c>
      <c r="BR8" s="19" t="s">
        <v>56</v>
      </c>
      <c r="BS8" s="18">
        <v>0</v>
      </c>
      <c r="BT8" s="19">
        <v>0</v>
      </c>
      <c r="BU8" s="19" t="s">
        <v>56</v>
      </c>
      <c r="BV8" s="18">
        <v>0</v>
      </c>
      <c r="BW8" s="19">
        <v>0</v>
      </c>
      <c r="BX8" s="19" t="s">
        <v>56</v>
      </c>
      <c r="BY8" s="19">
        <v>0</v>
      </c>
      <c r="BZ8" s="19">
        <v>0</v>
      </c>
      <c r="CA8" s="19" t="s">
        <v>56</v>
      </c>
      <c r="CB8" s="18">
        <v>0</v>
      </c>
      <c r="CC8" s="18">
        <v>0</v>
      </c>
      <c r="CD8" s="34" t="s">
        <v>56</v>
      </c>
      <c r="CE8" s="18">
        <v>560</v>
      </c>
      <c r="CF8" s="18">
        <v>560</v>
      </c>
      <c r="CG8" s="34">
        <f t="shared" si="22"/>
        <v>100</v>
      </c>
      <c r="CH8" s="34">
        <v>0</v>
      </c>
      <c r="CI8" s="34">
        <v>0</v>
      </c>
      <c r="CJ8" s="34" t="s">
        <v>56</v>
      </c>
      <c r="CK8" s="18">
        <v>1900</v>
      </c>
      <c r="CL8" s="18">
        <v>0</v>
      </c>
      <c r="CM8" s="34">
        <v>0</v>
      </c>
      <c r="CN8" s="18">
        <v>672.1</v>
      </c>
      <c r="CO8" s="34">
        <v>672.1</v>
      </c>
      <c r="CP8" s="34">
        <f t="shared" si="4"/>
        <v>100</v>
      </c>
      <c r="CQ8" s="34">
        <v>200.5</v>
      </c>
      <c r="CR8" s="34">
        <v>0</v>
      </c>
      <c r="CS8" s="34">
        <v>0</v>
      </c>
      <c r="CT8" s="34">
        <v>0</v>
      </c>
      <c r="CU8" s="34">
        <v>0</v>
      </c>
      <c r="CV8" s="34" t="s">
        <v>56</v>
      </c>
      <c r="CW8" s="34">
        <v>3712.8</v>
      </c>
      <c r="CX8" s="34">
        <v>697.3</v>
      </c>
      <c r="CY8" s="34">
        <f t="shared" si="23"/>
        <v>18.780973928032747</v>
      </c>
      <c r="CZ8" s="34">
        <v>0</v>
      </c>
      <c r="DA8" s="34">
        <v>0</v>
      </c>
      <c r="DB8" s="34" t="s">
        <v>56</v>
      </c>
      <c r="DC8" s="34">
        <v>0</v>
      </c>
      <c r="DD8" s="34">
        <v>0</v>
      </c>
      <c r="DE8" s="35" t="s">
        <v>56</v>
      </c>
      <c r="DF8" s="34">
        <v>0</v>
      </c>
      <c r="DG8" s="34">
        <v>0</v>
      </c>
      <c r="DH8" s="34" t="s">
        <v>56</v>
      </c>
      <c r="DI8" s="34">
        <v>0</v>
      </c>
      <c r="DJ8" s="34">
        <v>0</v>
      </c>
      <c r="DK8" s="34" t="s">
        <v>56</v>
      </c>
      <c r="DL8" s="34">
        <v>31892.1</v>
      </c>
      <c r="DM8" s="34">
        <v>13766.1</v>
      </c>
      <c r="DN8" s="34">
        <f t="shared" si="24"/>
        <v>43.164608163150127</v>
      </c>
      <c r="DO8" s="34">
        <v>500</v>
      </c>
      <c r="DP8" s="34">
        <v>187.5</v>
      </c>
      <c r="DQ8" s="34">
        <f t="shared" ref="DQ8:DQ37" si="39">(DP8/DO8)*100</f>
        <v>37.5</v>
      </c>
      <c r="DR8" s="34">
        <v>0</v>
      </c>
      <c r="DS8" s="34">
        <v>0</v>
      </c>
      <c r="DT8" s="34" t="s">
        <v>56</v>
      </c>
      <c r="DU8" s="34">
        <v>0</v>
      </c>
      <c r="DV8" s="34">
        <v>0</v>
      </c>
      <c r="DW8" s="34" t="s">
        <v>56</v>
      </c>
      <c r="DX8" s="34">
        <v>0</v>
      </c>
      <c r="DY8" s="34">
        <v>0</v>
      </c>
      <c r="DZ8" s="34" t="s">
        <v>56</v>
      </c>
      <c r="EA8" s="18">
        <v>0</v>
      </c>
      <c r="EB8" s="19">
        <v>0</v>
      </c>
      <c r="EC8" s="34" t="s">
        <v>56</v>
      </c>
      <c r="ED8" s="18">
        <v>2694.8</v>
      </c>
      <c r="EE8" s="19">
        <v>2694.8</v>
      </c>
      <c r="EF8" s="34">
        <f>EE8/ED8%</f>
        <v>100</v>
      </c>
      <c r="EG8" s="13">
        <f t="shared" si="5"/>
        <v>166718.70799999996</v>
      </c>
      <c r="EH8" s="13">
        <f t="shared" si="6"/>
        <v>116929.40000000002</v>
      </c>
      <c r="EI8" s="14">
        <f t="shared" ref="EI8:EI37" si="40">EH8/EG8*100</f>
        <v>70.135740255376774</v>
      </c>
      <c r="EJ8" s="36">
        <v>1057.0999999999999</v>
      </c>
      <c r="EK8" s="36">
        <v>791.8</v>
      </c>
      <c r="EL8" s="19">
        <f t="shared" si="7"/>
        <v>74.903036609592277</v>
      </c>
      <c r="EM8" s="36">
        <v>0</v>
      </c>
      <c r="EN8" s="19">
        <v>0</v>
      </c>
      <c r="EO8" s="19" t="s">
        <v>56</v>
      </c>
      <c r="EP8" s="36">
        <f>308/1000</f>
        <v>0.308</v>
      </c>
      <c r="EQ8" s="19">
        <v>0</v>
      </c>
      <c r="ER8" s="19">
        <f t="shared" si="10"/>
        <v>0</v>
      </c>
      <c r="ES8" s="36">
        <v>44070.8</v>
      </c>
      <c r="ET8" s="19">
        <v>23447.8</v>
      </c>
      <c r="EU8" s="19">
        <v>53.204843116076852</v>
      </c>
      <c r="EV8" s="34">
        <v>97272.8</v>
      </c>
      <c r="EW8" s="34">
        <v>79065.100000000006</v>
      </c>
      <c r="EX8" s="35">
        <v>81.281817733220379</v>
      </c>
      <c r="EY8" s="36">
        <v>7257.5</v>
      </c>
      <c r="EZ8" s="34">
        <v>3159.6</v>
      </c>
      <c r="FA8" s="34">
        <f t="shared" si="25"/>
        <v>43.535652772993451</v>
      </c>
      <c r="FB8" s="36">
        <v>4053.4</v>
      </c>
      <c r="FC8" s="19">
        <v>2689.8</v>
      </c>
      <c r="FD8" s="19">
        <f t="shared" si="11"/>
        <v>66.35910593575764</v>
      </c>
      <c r="FE8" s="36">
        <v>0</v>
      </c>
      <c r="FF8" s="19">
        <v>0</v>
      </c>
      <c r="FG8" s="19" t="s">
        <v>56</v>
      </c>
      <c r="FH8" s="36">
        <v>0</v>
      </c>
      <c r="FI8" s="19">
        <v>0</v>
      </c>
      <c r="FJ8" s="19" t="s">
        <v>56</v>
      </c>
      <c r="FK8" s="36">
        <v>2563.8000000000002</v>
      </c>
      <c r="FL8" s="19">
        <v>580</v>
      </c>
      <c r="FM8" s="19">
        <f t="shared" si="12"/>
        <v>22.622669474998048</v>
      </c>
      <c r="FN8" s="36">
        <v>210</v>
      </c>
      <c r="FO8" s="19">
        <v>157.5</v>
      </c>
      <c r="FP8" s="19">
        <f t="shared" si="13"/>
        <v>75</v>
      </c>
      <c r="FQ8" s="36">
        <v>0.5</v>
      </c>
      <c r="FR8" s="19">
        <v>0</v>
      </c>
      <c r="FS8" s="19">
        <f t="shared" si="14"/>
        <v>0</v>
      </c>
      <c r="FT8" s="36">
        <v>95.5</v>
      </c>
      <c r="FU8" s="19">
        <v>42.6</v>
      </c>
      <c r="FV8" s="19">
        <f t="shared" ref="FV8:FV37" si="41">FU8/FT8%</f>
        <v>44.607329842931939</v>
      </c>
      <c r="FW8" s="36">
        <v>0</v>
      </c>
      <c r="FX8" s="19">
        <v>0</v>
      </c>
      <c r="FY8" s="19" t="s">
        <v>56</v>
      </c>
      <c r="FZ8" s="36">
        <v>540.29999999999995</v>
      </c>
      <c r="GA8" s="19">
        <v>329.5</v>
      </c>
      <c r="GB8" s="19">
        <f t="shared" si="15"/>
        <v>60.984638163982979</v>
      </c>
      <c r="GC8" s="36">
        <v>198.4</v>
      </c>
      <c r="GD8" s="19">
        <v>153.19999999999999</v>
      </c>
      <c r="GE8" s="19">
        <f t="shared" si="16"/>
        <v>77.217741935483872</v>
      </c>
      <c r="GF8" s="36">
        <v>0</v>
      </c>
      <c r="GG8" s="19">
        <v>0</v>
      </c>
      <c r="GH8" s="19" t="s">
        <v>56</v>
      </c>
      <c r="GI8" s="37">
        <v>0</v>
      </c>
      <c r="GJ8" s="19">
        <v>0</v>
      </c>
      <c r="GK8" s="19" t="s">
        <v>56</v>
      </c>
      <c r="GL8" s="37">
        <v>1630.4</v>
      </c>
      <c r="GM8" s="19">
        <v>1179.8</v>
      </c>
      <c r="GN8" s="19">
        <f t="shared" si="17"/>
        <v>72.362610402355244</v>
      </c>
      <c r="GO8" s="36">
        <v>0</v>
      </c>
      <c r="GP8" s="36">
        <v>0</v>
      </c>
      <c r="GQ8" s="19" t="s">
        <v>56</v>
      </c>
      <c r="GR8" s="36">
        <v>0</v>
      </c>
      <c r="GS8" s="19">
        <v>0</v>
      </c>
      <c r="GT8" s="19" t="s">
        <v>56</v>
      </c>
      <c r="GU8" s="36">
        <v>545.20000000000005</v>
      </c>
      <c r="GV8" s="19">
        <v>163</v>
      </c>
      <c r="GW8" s="19">
        <f t="shared" si="19"/>
        <v>29.89728539985326</v>
      </c>
      <c r="GX8" s="36">
        <v>0</v>
      </c>
      <c r="GY8" s="19">
        <v>0</v>
      </c>
      <c r="GZ8" s="19" t="s">
        <v>56</v>
      </c>
      <c r="HA8" s="36">
        <v>113.4</v>
      </c>
      <c r="HB8" s="19">
        <v>0</v>
      </c>
      <c r="HC8" s="19">
        <v>0</v>
      </c>
      <c r="HD8" s="19">
        <v>5788.3</v>
      </c>
      <c r="HE8" s="19">
        <v>4178.8</v>
      </c>
      <c r="HF8" s="38">
        <f t="shared" si="26"/>
        <v>72.193908401430477</v>
      </c>
      <c r="HG8" s="36">
        <v>1321</v>
      </c>
      <c r="HH8" s="19">
        <v>990.9</v>
      </c>
      <c r="HI8" s="19">
        <f t="shared" si="27"/>
        <v>75.01135503406509</v>
      </c>
      <c r="HJ8" s="17">
        <f t="shared" si="28"/>
        <v>15075.5</v>
      </c>
      <c r="HK8" s="17">
        <f t="shared" si="29"/>
        <v>1602.4</v>
      </c>
      <c r="HL8" s="16">
        <f t="shared" si="30"/>
        <v>10.62916652847335</v>
      </c>
      <c r="HM8" s="34">
        <v>4609.1000000000004</v>
      </c>
      <c r="HN8" s="34">
        <v>1152.3</v>
      </c>
      <c r="HO8" s="35">
        <f t="shared" ref="HO8:HO42" si="42">(HN8/HM8)*100</f>
        <v>25.000542405241799</v>
      </c>
      <c r="HP8" s="35">
        <v>0</v>
      </c>
      <c r="HQ8" s="35">
        <v>0</v>
      </c>
      <c r="HR8" s="35" t="s">
        <v>56</v>
      </c>
      <c r="HS8" s="35">
        <v>6845</v>
      </c>
      <c r="HT8" s="35">
        <v>341.1</v>
      </c>
      <c r="HU8" s="35">
        <f t="shared" ref="HU8:HU42" si="43">(HT8/HS8)*100</f>
        <v>4.983199415631848</v>
      </c>
      <c r="HV8" s="35">
        <v>3512.4</v>
      </c>
      <c r="HW8" s="35">
        <v>0</v>
      </c>
      <c r="HX8" s="35">
        <f t="shared" ref="HX8:HX37" si="44">(HW8/HV8)*100</f>
        <v>0</v>
      </c>
      <c r="HY8" s="34">
        <v>0</v>
      </c>
      <c r="HZ8" s="34">
        <v>0</v>
      </c>
      <c r="IA8" s="34" t="s">
        <v>56</v>
      </c>
      <c r="IB8" s="34">
        <v>109</v>
      </c>
      <c r="IC8" s="34">
        <v>109</v>
      </c>
      <c r="ID8" s="35">
        <f t="shared" si="31"/>
        <v>100</v>
      </c>
      <c r="IE8" s="34">
        <v>0</v>
      </c>
      <c r="IF8" s="34">
        <v>0</v>
      </c>
      <c r="IG8" s="35" t="s">
        <v>56</v>
      </c>
      <c r="IH8" s="20">
        <v>0</v>
      </c>
      <c r="II8" s="19">
        <v>0</v>
      </c>
      <c r="IJ8" s="19" t="s">
        <v>56</v>
      </c>
      <c r="IK8" s="18">
        <v>0</v>
      </c>
      <c r="IL8" s="18">
        <v>0</v>
      </c>
      <c r="IM8" s="18" t="s">
        <v>56</v>
      </c>
      <c r="IN8" s="19">
        <v>0</v>
      </c>
      <c r="IO8" s="19">
        <v>0</v>
      </c>
      <c r="IP8" s="19" t="s">
        <v>56</v>
      </c>
      <c r="IQ8" s="19">
        <v>0</v>
      </c>
      <c r="IR8" s="19">
        <v>0</v>
      </c>
      <c r="IS8" s="21" t="s">
        <v>56</v>
      </c>
      <c r="IT8" s="19">
        <v>0</v>
      </c>
      <c r="IU8" s="19">
        <v>0</v>
      </c>
      <c r="IV8" s="21" t="s">
        <v>56</v>
      </c>
      <c r="IW8" s="19">
        <v>0</v>
      </c>
      <c r="IX8" s="19">
        <v>0</v>
      </c>
      <c r="IY8" s="19" t="s">
        <v>56</v>
      </c>
      <c r="IZ8" s="19">
        <v>0</v>
      </c>
      <c r="JA8" s="19">
        <v>0</v>
      </c>
      <c r="JB8" s="21" t="s">
        <v>56</v>
      </c>
      <c r="JC8" s="19">
        <v>0</v>
      </c>
      <c r="JD8" s="19">
        <v>0</v>
      </c>
      <c r="JE8" s="19" t="s">
        <v>56</v>
      </c>
      <c r="JF8" s="19">
        <v>0</v>
      </c>
      <c r="JG8" s="19">
        <v>0</v>
      </c>
      <c r="JH8" s="25" t="s">
        <v>56</v>
      </c>
      <c r="JI8" s="23">
        <v>0</v>
      </c>
      <c r="JJ8" s="19">
        <v>0</v>
      </c>
      <c r="JK8" s="25" t="s">
        <v>56</v>
      </c>
      <c r="JL8" s="19">
        <v>0</v>
      </c>
      <c r="JM8" s="19">
        <v>0</v>
      </c>
      <c r="JN8" s="21" t="s">
        <v>56</v>
      </c>
      <c r="JO8" s="19">
        <v>0</v>
      </c>
      <c r="JP8" s="19">
        <v>0</v>
      </c>
      <c r="JQ8" s="19" t="s">
        <v>56</v>
      </c>
      <c r="JR8" s="19">
        <v>0</v>
      </c>
      <c r="JS8" s="19">
        <v>0</v>
      </c>
      <c r="JT8" s="19" t="s">
        <v>56</v>
      </c>
      <c r="JU8" s="19">
        <v>0</v>
      </c>
      <c r="JV8" s="19">
        <v>0</v>
      </c>
      <c r="JW8" s="21" t="s">
        <v>56</v>
      </c>
      <c r="JX8" s="21">
        <v>0</v>
      </c>
      <c r="JY8" s="21">
        <v>0</v>
      </c>
      <c r="JZ8" s="21" t="s">
        <v>56</v>
      </c>
      <c r="KA8" s="21">
        <v>0</v>
      </c>
      <c r="KB8" s="21">
        <v>0</v>
      </c>
      <c r="KC8" s="21" t="s">
        <v>56</v>
      </c>
      <c r="KD8" s="14">
        <f t="shared" ref="KD8:KD37" si="45">B8+N8+EG8+HJ8</f>
        <v>369849.76222999999</v>
      </c>
      <c r="KE8" s="14">
        <f t="shared" ref="KE8:KE37" si="46">C8+O8+EH8+HK8</f>
        <v>223087.6</v>
      </c>
      <c r="KF8" s="14">
        <f t="shared" ref="KF8:KF37" si="47">KE8/KD8%</f>
        <v>60.318438128741477</v>
      </c>
      <c r="KG8" s="7"/>
      <c r="KH8" s="9"/>
      <c r="KJ8" s="9"/>
    </row>
    <row r="9" spans="1:296" ht="12" customHeight="1" x14ac:dyDescent="0.2">
      <c r="A9" s="27" t="s">
        <v>8</v>
      </c>
      <c r="B9" s="13">
        <f t="shared" si="20"/>
        <v>70391</v>
      </c>
      <c r="C9" s="13">
        <f t="shared" si="33"/>
        <v>70391</v>
      </c>
      <c r="D9" s="14">
        <f t="shared" si="34"/>
        <v>100</v>
      </c>
      <c r="E9" s="18">
        <v>70391</v>
      </c>
      <c r="F9" s="19">
        <v>70391</v>
      </c>
      <c r="G9" s="19">
        <f t="shared" si="0"/>
        <v>100</v>
      </c>
      <c r="H9" s="18">
        <v>0</v>
      </c>
      <c r="I9" s="19">
        <v>0</v>
      </c>
      <c r="J9" s="19" t="s">
        <v>56</v>
      </c>
      <c r="K9" s="19">
        <v>0</v>
      </c>
      <c r="L9" s="19">
        <v>0</v>
      </c>
      <c r="M9" s="19" t="s">
        <v>56</v>
      </c>
      <c r="N9" s="13">
        <f t="shared" si="35"/>
        <v>166704.20563000001</v>
      </c>
      <c r="O9" s="13">
        <f t="shared" si="36"/>
        <v>28242.28</v>
      </c>
      <c r="P9" s="14">
        <f t="shared" si="21"/>
        <v>16.94155219016114</v>
      </c>
      <c r="Q9" s="19">
        <v>30168.1</v>
      </c>
      <c r="R9" s="19">
        <v>926.5</v>
      </c>
      <c r="S9" s="19">
        <f t="shared" si="37"/>
        <v>3.071124797385318</v>
      </c>
      <c r="T9" s="18">
        <v>0</v>
      </c>
      <c r="U9" s="19">
        <v>0</v>
      </c>
      <c r="V9" s="19" t="s">
        <v>56</v>
      </c>
      <c r="W9" s="18">
        <f>4709.3</f>
        <v>4709.3</v>
      </c>
      <c r="X9" s="19">
        <v>4709.3</v>
      </c>
      <c r="Y9" s="19">
        <f t="shared" si="1"/>
        <v>100</v>
      </c>
      <c r="Z9" s="18">
        <v>0</v>
      </c>
      <c r="AA9" s="19">
        <v>0</v>
      </c>
      <c r="AB9" s="19" t="s">
        <v>56</v>
      </c>
      <c r="AC9" s="18">
        <v>0</v>
      </c>
      <c r="AD9" s="19">
        <v>0</v>
      </c>
      <c r="AE9" s="19" t="s">
        <v>56</v>
      </c>
      <c r="AF9" s="18">
        <v>0</v>
      </c>
      <c r="AG9" s="19">
        <v>0</v>
      </c>
      <c r="AH9" s="19" t="s">
        <v>56</v>
      </c>
      <c r="AI9" s="18">
        <v>0</v>
      </c>
      <c r="AJ9" s="18">
        <v>0</v>
      </c>
      <c r="AK9" s="19" t="s">
        <v>56</v>
      </c>
      <c r="AL9" s="19">
        <v>2526.5</v>
      </c>
      <c r="AM9" s="19">
        <v>1060.8</v>
      </c>
      <c r="AN9" s="19">
        <f t="shared" si="2"/>
        <v>41.986938452404509</v>
      </c>
      <c r="AO9" s="19">
        <v>0</v>
      </c>
      <c r="AP9" s="19">
        <v>0</v>
      </c>
      <c r="AQ9" s="19" t="s">
        <v>56</v>
      </c>
      <c r="AR9" s="19">
        <v>0</v>
      </c>
      <c r="AS9" s="19">
        <v>0</v>
      </c>
      <c r="AT9" s="19" t="s">
        <v>56</v>
      </c>
      <c r="AU9" s="19">
        <v>3120.8</v>
      </c>
      <c r="AV9" s="19">
        <v>3120.8</v>
      </c>
      <c r="AW9" s="19">
        <f>(AV9/AU9*100)</f>
        <v>100</v>
      </c>
      <c r="AX9" s="19">
        <v>2216.1</v>
      </c>
      <c r="AY9" s="19">
        <v>554</v>
      </c>
      <c r="AZ9" s="19">
        <f t="shared" si="38"/>
        <v>24.998871892062631</v>
      </c>
      <c r="BA9" s="18">
        <v>0</v>
      </c>
      <c r="BB9" s="19">
        <v>0</v>
      </c>
      <c r="BC9" s="19" t="s">
        <v>56</v>
      </c>
      <c r="BD9" s="18">
        <v>0</v>
      </c>
      <c r="BE9" s="19">
        <v>0</v>
      </c>
      <c r="BF9" s="19" t="s">
        <v>56</v>
      </c>
      <c r="BG9" s="18">
        <f>134205.63/1000</f>
        <v>134.20563000000001</v>
      </c>
      <c r="BH9" s="19">
        <f>134.2</f>
        <v>134.19999999999999</v>
      </c>
      <c r="BI9" s="19">
        <f t="shared" si="3"/>
        <v>99.995804944993722</v>
      </c>
      <c r="BJ9" s="18">
        <f>200000/1000</f>
        <v>200</v>
      </c>
      <c r="BK9" s="19">
        <v>200</v>
      </c>
      <c r="BL9" s="19">
        <f>(BK9/BJ9)*100</f>
        <v>100</v>
      </c>
      <c r="BM9" s="18">
        <v>0</v>
      </c>
      <c r="BN9" s="19">
        <v>0</v>
      </c>
      <c r="BO9" s="19" t="s">
        <v>56</v>
      </c>
      <c r="BP9" s="18">
        <v>0</v>
      </c>
      <c r="BQ9" s="19">
        <v>0</v>
      </c>
      <c r="BR9" s="19" t="s">
        <v>56</v>
      </c>
      <c r="BS9" s="18">
        <v>0</v>
      </c>
      <c r="BT9" s="19">
        <v>0</v>
      </c>
      <c r="BU9" s="19" t="s">
        <v>56</v>
      </c>
      <c r="BV9" s="18">
        <v>0</v>
      </c>
      <c r="BW9" s="19">
        <v>0</v>
      </c>
      <c r="BX9" s="19" t="s">
        <v>56</v>
      </c>
      <c r="BY9" s="19">
        <v>0</v>
      </c>
      <c r="BZ9" s="19">
        <v>0</v>
      </c>
      <c r="CA9" s="19" t="s">
        <v>56</v>
      </c>
      <c r="CB9" s="18">
        <f>1410.3</f>
        <v>1410.3</v>
      </c>
      <c r="CC9" s="18">
        <f>1410.3</f>
        <v>1410.3</v>
      </c>
      <c r="CD9" s="34">
        <v>100</v>
      </c>
      <c r="CE9" s="18">
        <v>0</v>
      </c>
      <c r="CF9" s="18">
        <v>0</v>
      </c>
      <c r="CG9" s="34" t="s">
        <v>56</v>
      </c>
      <c r="CH9" s="34">
        <v>0</v>
      </c>
      <c r="CI9" s="34">
        <v>0</v>
      </c>
      <c r="CJ9" s="34" t="s">
        <v>56</v>
      </c>
      <c r="CK9" s="18">
        <v>0</v>
      </c>
      <c r="CL9" s="18">
        <v>0</v>
      </c>
      <c r="CM9" s="34" t="s">
        <v>56</v>
      </c>
      <c r="CN9" s="18">
        <v>1554.8</v>
      </c>
      <c r="CO9" s="34">
        <v>1554.8</v>
      </c>
      <c r="CP9" s="34">
        <f t="shared" si="4"/>
        <v>100</v>
      </c>
      <c r="CQ9" s="34">
        <v>0</v>
      </c>
      <c r="CR9" s="34">
        <v>0</v>
      </c>
      <c r="CS9" s="34" t="s">
        <v>56</v>
      </c>
      <c r="CT9" s="34">
        <v>0</v>
      </c>
      <c r="CU9" s="34">
        <v>0</v>
      </c>
      <c r="CV9" s="34" t="s">
        <v>56</v>
      </c>
      <c r="CW9" s="34">
        <v>3607.8</v>
      </c>
      <c r="CX9" s="34">
        <v>0</v>
      </c>
      <c r="CY9" s="34">
        <f t="shared" si="23"/>
        <v>0</v>
      </c>
      <c r="CZ9" s="34">
        <v>0</v>
      </c>
      <c r="DA9" s="34">
        <v>0</v>
      </c>
      <c r="DB9" s="34" t="s">
        <v>56</v>
      </c>
      <c r="DC9" s="34">
        <v>48906.1</v>
      </c>
      <c r="DD9" s="34">
        <v>0</v>
      </c>
      <c r="DE9" s="35">
        <f>(DD9/DC9)*100</f>
        <v>0</v>
      </c>
      <c r="DF9" s="34">
        <v>57816</v>
      </c>
      <c r="DG9" s="34">
        <v>4267.7</v>
      </c>
      <c r="DH9" s="34">
        <f>DG9/DF9%</f>
        <v>7.3815206863152065</v>
      </c>
      <c r="DI9" s="34">
        <v>0</v>
      </c>
      <c r="DJ9" s="34">
        <v>0</v>
      </c>
      <c r="DK9" s="34" t="s">
        <v>56</v>
      </c>
      <c r="DL9" s="34">
        <v>10334.200000000001</v>
      </c>
      <c r="DM9" s="34">
        <v>10303.879999999999</v>
      </c>
      <c r="DN9" s="34">
        <f t="shared" si="24"/>
        <v>99.70660525246268</v>
      </c>
      <c r="DO9" s="34">
        <v>0</v>
      </c>
      <c r="DP9" s="34">
        <v>0</v>
      </c>
      <c r="DQ9" s="34" t="s">
        <v>56</v>
      </c>
      <c r="DR9" s="34">
        <v>0</v>
      </c>
      <c r="DS9" s="34">
        <v>0</v>
      </c>
      <c r="DT9" s="34" t="s">
        <v>56</v>
      </c>
      <c r="DU9" s="34">
        <v>0</v>
      </c>
      <c r="DV9" s="34">
        <v>0</v>
      </c>
      <c r="DW9" s="34" t="s">
        <v>56</v>
      </c>
      <c r="DX9" s="34">
        <v>0</v>
      </c>
      <c r="DY9" s="34">
        <v>0</v>
      </c>
      <c r="DZ9" s="34" t="s">
        <v>56</v>
      </c>
      <c r="EA9" s="18">
        <v>0</v>
      </c>
      <c r="EB9" s="19">
        <v>0</v>
      </c>
      <c r="EC9" s="34" t="s">
        <v>56</v>
      </c>
      <c r="ED9" s="18">
        <v>0</v>
      </c>
      <c r="EE9" s="19">
        <v>0</v>
      </c>
      <c r="EF9" s="34" t="s">
        <v>56</v>
      </c>
      <c r="EG9" s="13">
        <f t="shared" si="5"/>
        <v>150241.49999999997</v>
      </c>
      <c r="EH9" s="13">
        <f t="shared" si="6"/>
        <v>112132.7</v>
      </c>
      <c r="EI9" s="14">
        <f t="shared" si="40"/>
        <v>74.634971029975077</v>
      </c>
      <c r="EJ9" s="36">
        <v>765.3</v>
      </c>
      <c r="EK9" s="36">
        <v>324.39999999999998</v>
      </c>
      <c r="EL9" s="19">
        <f t="shared" si="7"/>
        <v>42.388605775512872</v>
      </c>
      <c r="EM9" s="36">
        <v>0</v>
      </c>
      <c r="EN9" s="19">
        <v>0</v>
      </c>
      <c r="EO9" s="19" t="s">
        <v>56</v>
      </c>
      <c r="EP9" s="36">
        <v>0</v>
      </c>
      <c r="EQ9" s="19">
        <v>0</v>
      </c>
      <c r="ER9" s="19" t="s">
        <v>56</v>
      </c>
      <c r="ES9" s="36">
        <v>23033.9</v>
      </c>
      <c r="ET9" s="19">
        <v>15930</v>
      </c>
      <c r="EU9" s="19">
        <v>69.158935308393268</v>
      </c>
      <c r="EV9" s="34">
        <v>111168.3</v>
      </c>
      <c r="EW9" s="34">
        <v>86972.7</v>
      </c>
      <c r="EX9" s="35">
        <v>78.235162361932311</v>
      </c>
      <c r="EY9" s="36">
        <v>6187.2</v>
      </c>
      <c r="EZ9" s="34">
        <v>2774.7</v>
      </c>
      <c r="FA9" s="34">
        <f t="shared" si="25"/>
        <v>44.845810705973619</v>
      </c>
      <c r="FB9" s="36">
        <v>1135.3</v>
      </c>
      <c r="FC9" s="19">
        <v>1001.3</v>
      </c>
      <c r="FD9" s="19">
        <f t="shared" si="11"/>
        <v>88.196952347397158</v>
      </c>
      <c r="FE9" s="36">
        <v>0</v>
      </c>
      <c r="FF9" s="19">
        <v>0</v>
      </c>
      <c r="FG9" s="19" t="s">
        <v>56</v>
      </c>
      <c r="FH9" s="36">
        <v>0</v>
      </c>
      <c r="FI9" s="19">
        <v>0</v>
      </c>
      <c r="FJ9" s="19" t="s">
        <v>56</v>
      </c>
      <c r="FK9" s="36">
        <v>0</v>
      </c>
      <c r="FL9" s="19">
        <v>0</v>
      </c>
      <c r="FM9" s="19" t="s">
        <v>56</v>
      </c>
      <c r="FN9" s="36">
        <v>227.5</v>
      </c>
      <c r="FO9" s="19">
        <v>170.1</v>
      </c>
      <c r="FP9" s="19">
        <f t="shared" si="13"/>
        <v>74.769230769230774</v>
      </c>
      <c r="FQ9" s="36">
        <v>0.5</v>
      </c>
      <c r="FR9" s="19">
        <v>0.5</v>
      </c>
      <c r="FS9" s="19">
        <f t="shared" si="14"/>
        <v>100</v>
      </c>
      <c r="FT9" s="36">
        <v>63.6</v>
      </c>
      <c r="FU9" s="19">
        <v>37.299999999999997</v>
      </c>
      <c r="FV9" s="19">
        <f t="shared" si="41"/>
        <v>58.647798742138356</v>
      </c>
      <c r="FW9" s="36">
        <v>0</v>
      </c>
      <c r="FX9" s="19">
        <v>0</v>
      </c>
      <c r="FY9" s="19" t="s">
        <v>56</v>
      </c>
      <c r="FZ9" s="36">
        <v>548.4</v>
      </c>
      <c r="GA9" s="19">
        <v>305.8</v>
      </c>
      <c r="GB9" s="19">
        <f t="shared" si="15"/>
        <v>55.762217359591538</v>
      </c>
      <c r="GC9" s="36">
        <v>198.4</v>
      </c>
      <c r="GD9" s="19">
        <v>50.2</v>
      </c>
      <c r="GE9" s="19">
        <f t="shared" si="16"/>
        <v>25.302419354838712</v>
      </c>
      <c r="GF9" s="36">
        <v>0</v>
      </c>
      <c r="GG9" s="19">
        <v>0</v>
      </c>
      <c r="GH9" s="19" t="s">
        <v>56</v>
      </c>
      <c r="GI9" s="37">
        <v>0</v>
      </c>
      <c r="GJ9" s="19">
        <v>0</v>
      </c>
      <c r="GK9" s="19" t="s">
        <v>56</v>
      </c>
      <c r="GL9" s="37">
        <v>1622.3</v>
      </c>
      <c r="GM9" s="19">
        <v>1193.9000000000001</v>
      </c>
      <c r="GN9" s="19">
        <f t="shared" si="17"/>
        <v>73.593046908709866</v>
      </c>
      <c r="GO9" s="36">
        <v>0</v>
      </c>
      <c r="GP9" s="36">
        <v>0</v>
      </c>
      <c r="GQ9" s="19" t="s">
        <v>56</v>
      </c>
      <c r="GR9" s="36">
        <v>0</v>
      </c>
      <c r="GS9" s="19">
        <v>0</v>
      </c>
      <c r="GT9" s="19" t="s">
        <v>56</v>
      </c>
      <c r="GU9" s="36">
        <v>371.9</v>
      </c>
      <c r="GV9" s="19">
        <v>33.4</v>
      </c>
      <c r="GW9" s="19">
        <f t="shared" si="19"/>
        <v>8.9809088464641036</v>
      </c>
      <c r="GX9" s="36">
        <v>0</v>
      </c>
      <c r="GY9" s="19">
        <v>0</v>
      </c>
      <c r="GZ9" s="19" t="s">
        <v>56</v>
      </c>
      <c r="HA9" s="36">
        <v>113.4</v>
      </c>
      <c r="HB9" s="19">
        <v>0</v>
      </c>
      <c r="HC9" s="19">
        <v>0</v>
      </c>
      <c r="HD9" s="19">
        <v>3723.5</v>
      </c>
      <c r="HE9" s="19">
        <v>2526.6</v>
      </c>
      <c r="HF9" s="38">
        <f t="shared" si="26"/>
        <v>67.855512286826908</v>
      </c>
      <c r="HG9" s="36">
        <v>1082</v>
      </c>
      <c r="HH9" s="19">
        <v>811.8</v>
      </c>
      <c r="HI9" s="19">
        <f t="shared" si="27"/>
        <v>75.027726432532333</v>
      </c>
      <c r="HJ9" s="17">
        <f t="shared" si="28"/>
        <v>22636.400000000001</v>
      </c>
      <c r="HK9" s="17">
        <f t="shared" si="29"/>
        <v>6400.1</v>
      </c>
      <c r="HL9" s="16">
        <f t="shared" si="30"/>
        <v>28.273488717287197</v>
      </c>
      <c r="HM9" s="34">
        <v>4570</v>
      </c>
      <c r="HN9" s="34">
        <v>1083.9000000000001</v>
      </c>
      <c r="HO9" s="35">
        <f t="shared" si="42"/>
        <v>23.717724288840262</v>
      </c>
      <c r="HP9" s="35">
        <v>0</v>
      </c>
      <c r="HQ9" s="35">
        <v>0</v>
      </c>
      <c r="HR9" s="35" t="s">
        <v>56</v>
      </c>
      <c r="HS9" s="35">
        <v>10000</v>
      </c>
      <c r="HT9" s="35">
        <v>324.8</v>
      </c>
      <c r="HU9" s="35">
        <f t="shared" si="43"/>
        <v>3.2480000000000002</v>
      </c>
      <c r="HV9" s="35">
        <v>2831.4</v>
      </c>
      <c r="HW9" s="35">
        <v>1559.1</v>
      </c>
      <c r="HX9" s="35">
        <f t="shared" si="44"/>
        <v>55.064632337359612</v>
      </c>
      <c r="HY9" s="34">
        <v>0</v>
      </c>
      <c r="HZ9" s="34">
        <v>0</v>
      </c>
      <c r="IA9" s="34" t="s">
        <v>56</v>
      </c>
      <c r="IB9" s="34">
        <v>134</v>
      </c>
      <c r="IC9" s="34">
        <v>134</v>
      </c>
      <c r="ID9" s="35">
        <f t="shared" si="31"/>
        <v>100</v>
      </c>
      <c r="IE9" s="34">
        <v>0</v>
      </c>
      <c r="IF9" s="34">
        <v>0</v>
      </c>
      <c r="IG9" s="35" t="s">
        <v>56</v>
      </c>
      <c r="IH9" s="18">
        <v>2401</v>
      </c>
      <c r="II9" s="19">
        <v>598.29999999999995</v>
      </c>
      <c r="IJ9" s="19">
        <f t="shared" si="32"/>
        <v>24.918783840066638</v>
      </c>
      <c r="IK9" s="18">
        <v>0</v>
      </c>
      <c r="IL9" s="18">
        <v>0</v>
      </c>
      <c r="IM9" s="18" t="s">
        <v>56</v>
      </c>
      <c r="IN9" s="19">
        <v>0</v>
      </c>
      <c r="IO9" s="19">
        <v>0</v>
      </c>
      <c r="IP9" s="19" t="s">
        <v>56</v>
      </c>
      <c r="IQ9" s="19">
        <v>0</v>
      </c>
      <c r="IR9" s="19">
        <v>0</v>
      </c>
      <c r="IS9" s="21" t="s">
        <v>56</v>
      </c>
      <c r="IT9" s="19">
        <v>2673</v>
      </c>
      <c r="IU9" s="19">
        <v>2673</v>
      </c>
      <c r="IV9" s="21">
        <f>(IU9/IT9)*100</f>
        <v>100</v>
      </c>
      <c r="IW9" s="19">
        <v>0</v>
      </c>
      <c r="IX9" s="19">
        <v>0</v>
      </c>
      <c r="IY9" s="19" t="s">
        <v>56</v>
      </c>
      <c r="IZ9" s="19">
        <v>0</v>
      </c>
      <c r="JA9" s="19">
        <v>0</v>
      </c>
      <c r="JB9" s="21" t="s">
        <v>56</v>
      </c>
      <c r="JC9" s="19">
        <v>0</v>
      </c>
      <c r="JD9" s="19">
        <v>0</v>
      </c>
      <c r="JE9" s="19" t="s">
        <v>56</v>
      </c>
      <c r="JF9" s="19">
        <v>27</v>
      </c>
      <c r="JG9" s="19">
        <v>27</v>
      </c>
      <c r="JH9" s="25">
        <f>(JG9/JF9)*100</f>
        <v>100</v>
      </c>
      <c r="JI9" s="23">
        <v>0</v>
      </c>
      <c r="JJ9" s="19">
        <v>0</v>
      </c>
      <c r="JK9" s="25" t="s">
        <v>56</v>
      </c>
      <c r="JL9" s="19">
        <v>0</v>
      </c>
      <c r="JM9" s="19">
        <v>0</v>
      </c>
      <c r="JN9" s="21" t="s">
        <v>56</v>
      </c>
      <c r="JO9" s="19">
        <v>0</v>
      </c>
      <c r="JP9" s="19">
        <v>0</v>
      </c>
      <c r="JQ9" s="19" t="s">
        <v>56</v>
      </c>
      <c r="JR9" s="19">
        <v>0</v>
      </c>
      <c r="JS9" s="19">
        <v>0</v>
      </c>
      <c r="JT9" s="19" t="s">
        <v>56</v>
      </c>
      <c r="JU9" s="19">
        <v>0</v>
      </c>
      <c r="JV9" s="19">
        <v>0</v>
      </c>
      <c r="JW9" s="21" t="s">
        <v>56</v>
      </c>
      <c r="JX9" s="21">
        <v>0</v>
      </c>
      <c r="JY9" s="21">
        <v>0</v>
      </c>
      <c r="JZ9" s="21" t="s">
        <v>56</v>
      </c>
      <c r="KA9" s="21">
        <v>0</v>
      </c>
      <c r="KB9" s="21">
        <v>0</v>
      </c>
      <c r="KC9" s="21" t="s">
        <v>56</v>
      </c>
      <c r="KD9" s="14">
        <f t="shared" si="45"/>
        <v>409973.10563000001</v>
      </c>
      <c r="KE9" s="14">
        <f t="shared" si="46"/>
        <v>217166.07999999999</v>
      </c>
      <c r="KF9" s="14">
        <f t="shared" si="47"/>
        <v>52.970811259993233</v>
      </c>
      <c r="KG9" s="7"/>
      <c r="KH9" s="9"/>
      <c r="KJ9" s="9"/>
    </row>
    <row r="10" spans="1:296" x14ac:dyDescent="0.2">
      <c r="A10" s="27" t="s">
        <v>9</v>
      </c>
      <c r="B10" s="13">
        <f t="shared" si="20"/>
        <v>143488</v>
      </c>
      <c r="C10" s="13">
        <f t="shared" si="33"/>
        <v>143488</v>
      </c>
      <c r="D10" s="14">
        <f t="shared" si="34"/>
        <v>100</v>
      </c>
      <c r="E10" s="18">
        <v>143488</v>
      </c>
      <c r="F10" s="19">
        <v>143488</v>
      </c>
      <c r="G10" s="19">
        <f t="shared" si="0"/>
        <v>99.999999999999986</v>
      </c>
      <c r="H10" s="18">
        <v>0</v>
      </c>
      <c r="I10" s="19">
        <v>0</v>
      </c>
      <c r="J10" s="19" t="s">
        <v>56</v>
      </c>
      <c r="K10" s="19">
        <v>0</v>
      </c>
      <c r="L10" s="19">
        <v>0</v>
      </c>
      <c r="M10" s="19" t="s">
        <v>56</v>
      </c>
      <c r="N10" s="13">
        <f t="shared" si="35"/>
        <v>180202</v>
      </c>
      <c r="O10" s="13">
        <f t="shared" si="36"/>
        <v>70533.899999999994</v>
      </c>
      <c r="P10" s="14">
        <f t="shared" si="21"/>
        <v>39.141574455333455</v>
      </c>
      <c r="Q10" s="19">
        <v>12190.3</v>
      </c>
      <c r="R10" s="19">
        <v>0</v>
      </c>
      <c r="S10" s="19">
        <f t="shared" si="37"/>
        <v>0</v>
      </c>
      <c r="T10" s="18">
        <v>0</v>
      </c>
      <c r="U10" s="19">
        <v>0</v>
      </c>
      <c r="V10" s="19" t="s">
        <v>56</v>
      </c>
      <c r="W10" s="18">
        <v>0</v>
      </c>
      <c r="X10" s="19">
        <v>0</v>
      </c>
      <c r="Y10" s="19" t="s">
        <v>56</v>
      </c>
      <c r="Z10" s="18">
        <v>0</v>
      </c>
      <c r="AA10" s="19">
        <v>0</v>
      </c>
      <c r="AB10" s="19" t="s">
        <v>56</v>
      </c>
      <c r="AC10" s="18">
        <v>0</v>
      </c>
      <c r="AD10" s="19">
        <v>0</v>
      </c>
      <c r="AE10" s="19" t="s">
        <v>56</v>
      </c>
      <c r="AF10" s="18">
        <v>0</v>
      </c>
      <c r="AG10" s="19">
        <v>0</v>
      </c>
      <c r="AH10" s="19" t="s">
        <v>56</v>
      </c>
      <c r="AI10" s="18">
        <v>0</v>
      </c>
      <c r="AJ10" s="18">
        <v>0</v>
      </c>
      <c r="AK10" s="19" t="s">
        <v>56</v>
      </c>
      <c r="AL10" s="19">
        <v>6759.8</v>
      </c>
      <c r="AM10" s="19">
        <v>3795.5</v>
      </c>
      <c r="AN10" s="19">
        <f t="shared" si="2"/>
        <v>56.14811089085476</v>
      </c>
      <c r="AO10" s="19">
        <f>14050.8</f>
        <v>14050.8</v>
      </c>
      <c r="AP10" s="19">
        <v>6897.3</v>
      </c>
      <c r="AQ10" s="19">
        <f>(AP10/AO10)*100</f>
        <v>49.088308139038347</v>
      </c>
      <c r="AR10" s="19">
        <v>0</v>
      </c>
      <c r="AS10" s="19">
        <v>0</v>
      </c>
      <c r="AT10" s="19" t="s">
        <v>56</v>
      </c>
      <c r="AU10" s="19">
        <v>4041</v>
      </c>
      <c r="AV10" s="19">
        <v>4041</v>
      </c>
      <c r="AW10" s="19">
        <f t="shared" ref="AW10:AW37" si="48">(AV10/AU10*100)</f>
        <v>100</v>
      </c>
      <c r="AX10" s="19">
        <v>6169.1</v>
      </c>
      <c r="AY10" s="19">
        <v>1314</v>
      </c>
      <c r="AZ10" s="19">
        <f t="shared" si="38"/>
        <v>21.299703360295666</v>
      </c>
      <c r="BA10" s="18">
        <v>0</v>
      </c>
      <c r="BB10" s="19">
        <v>0</v>
      </c>
      <c r="BC10" s="19" t="s">
        <v>56</v>
      </c>
      <c r="BD10" s="18">
        <v>0</v>
      </c>
      <c r="BE10" s="19">
        <v>0</v>
      </c>
      <c r="BF10" s="19" t="s">
        <v>56</v>
      </c>
      <c r="BG10" s="18">
        <v>0</v>
      </c>
      <c r="BH10" s="19">
        <v>0</v>
      </c>
      <c r="BI10" s="19" t="s">
        <v>56</v>
      </c>
      <c r="BJ10" s="18">
        <v>0</v>
      </c>
      <c r="BK10" s="19">
        <v>0</v>
      </c>
      <c r="BL10" s="19" t="s">
        <v>56</v>
      </c>
      <c r="BM10" s="18">
        <v>0</v>
      </c>
      <c r="BN10" s="19">
        <v>0</v>
      </c>
      <c r="BO10" s="19" t="s">
        <v>56</v>
      </c>
      <c r="BP10" s="18">
        <v>0</v>
      </c>
      <c r="BQ10" s="19">
        <v>0</v>
      </c>
      <c r="BR10" s="19" t="s">
        <v>56</v>
      </c>
      <c r="BS10" s="18">
        <v>0</v>
      </c>
      <c r="BT10" s="19">
        <v>0</v>
      </c>
      <c r="BU10" s="19" t="s">
        <v>56</v>
      </c>
      <c r="BV10" s="18">
        <v>0</v>
      </c>
      <c r="BW10" s="19">
        <v>0</v>
      </c>
      <c r="BX10" s="19" t="s">
        <v>56</v>
      </c>
      <c r="BY10" s="19">
        <v>0</v>
      </c>
      <c r="BZ10" s="19">
        <v>0</v>
      </c>
      <c r="CA10" s="19" t="s">
        <v>56</v>
      </c>
      <c r="CB10" s="18">
        <f>1274.9</f>
        <v>1274.9000000000001</v>
      </c>
      <c r="CC10" s="18">
        <v>1274.9000000000001</v>
      </c>
      <c r="CD10" s="34">
        <v>100</v>
      </c>
      <c r="CE10" s="18">
        <v>1066.3</v>
      </c>
      <c r="CF10" s="18">
        <f>1188.6-147.2</f>
        <v>1041.3999999999999</v>
      </c>
      <c r="CG10" s="34">
        <f t="shared" si="22"/>
        <v>97.664822282659657</v>
      </c>
      <c r="CH10" s="34">
        <v>0</v>
      </c>
      <c r="CI10" s="34">
        <v>0</v>
      </c>
      <c r="CJ10" s="34" t="s">
        <v>56</v>
      </c>
      <c r="CK10" s="18">
        <v>2000</v>
      </c>
      <c r="CL10" s="18">
        <v>0</v>
      </c>
      <c r="CM10" s="34">
        <v>0</v>
      </c>
      <c r="CN10" s="18">
        <v>1082.8</v>
      </c>
      <c r="CO10" s="34">
        <v>1082.8</v>
      </c>
      <c r="CP10" s="34">
        <f t="shared" si="4"/>
        <v>100</v>
      </c>
      <c r="CQ10" s="34">
        <v>0</v>
      </c>
      <c r="CR10" s="34">
        <v>0</v>
      </c>
      <c r="CS10" s="34" t="s">
        <v>56</v>
      </c>
      <c r="CT10" s="34">
        <v>0</v>
      </c>
      <c r="CU10" s="34">
        <v>0</v>
      </c>
      <c r="CV10" s="34" t="s">
        <v>56</v>
      </c>
      <c r="CW10" s="34">
        <v>8924.5</v>
      </c>
      <c r="CX10" s="34">
        <v>6428</v>
      </c>
      <c r="CY10" s="34">
        <f t="shared" si="23"/>
        <v>72.026444058490668</v>
      </c>
      <c r="CZ10" s="34">
        <v>2035.7</v>
      </c>
      <c r="DA10" s="34">
        <v>1351.6</v>
      </c>
      <c r="DB10" s="34">
        <f t="shared" ref="DB10:DB37" si="49">(DA10/CZ10)*100</f>
        <v>66.394851893697492</v>
      </c>
      <c r="DC10" s="34">
        <v>0</v>
      </c>
      <c r="DD10" s="34">
        <v>0</v>
      </c>
      <c r="DE10" s="35" t="s">
        <v>56</v>
      </c>
      <c r="DF10" s="34">
        <v>0</v>
      </c>
      <c r="DG10" s="34">
        <v>0</v>
      </c>
      <c r="DH10" s="34" t="s">
        <v>56</v>
      </c>
      <c r="DI10" s="34">
        <v>0</v>
      </c>
      <c r="DJ10" s="34">
        <v>0</v>
      </c>
      <c r="DK10" s="34" t="s">
        <v>56</v>
      </c>
      <c r="DL10" s="34">
        <v>76362.3</v>
      </c>
      <c r="DM10" s="34">
        <v>40538.9</v>
      </c>
      <c r="DN10" s="34">
        <f t="shared" si="24"/>
        <v>53.08758379462116</v>
      </c>
      <c r="DO10" s="34">
        <v>50</v>
      </c>
      <c r="DP10" s="34">
        <v>50</v>
      </c>
      <c r="DQ10" s="34">
        <f t="shared" si="39"/>
        <v>100</v>
      </c>
      <c r="DR10" s="34">
        <v>0</v>
      </c>
      <c r="DS10" s="34">
        <v>0</v>
      </c>
      <c r="DT10" s="34" t="s">
        <v>56</v>
      </c>
      <c r="DU10" s="34">
        <v>4484</v>
      </c>
      <c r="DV10" s="34">
        <v>2259.3000000000002</v>
      </c>
      <c r="DW10" s="34">
        <f>(DV10/DU10)*100</f>
        <v>50.385816235504024</v>
      </c>
      <c r="DX10" s="34">
        <v>0</v>
      </c>
      <c r="DY10" s="34">
        <v>0</v>
      </c>
      <c r="DZ10" s="34" t="s">
        <v>56</v>
      </c>
      <c r="EA10" s="18">
        <v>36938.300000000003</v>
      </c>
      <c r="EB10" s="19">
        <v>0</v>
      </c>
      <c r="EC10" s="34">
        <f>EB10/EA10%</f>
        <v>0</v>
      </c>
      <c r="ED10" s="18">
        <v>2772.2</v>
      </c>
      <c r="EE10" s="19">
        <v>459.2</v>
      </c>
      <c r="EF10" s="34">
        <f>EE10/ED10%</f>
        <v>16.564461438568646</v>
      </c>
      <c r="EG10" s="13">
        <f t="shared" si="5"/>
        <v>269938.04599999997</v>
      </c>
      <c r="EH10" s="13">
        <f t="shared" si="6"/>
        <v>199499.69999999995</v>
      </c>
      <c r="EI10" s="14">
        <f t="shared" si="40"/>
        <v>73.90573613324591</v>
      </c>
      <c r="EJ10" s="36">
        <v>1963.3</v>
      </c>
      <c r="EK10" s="36">
        <v>1472.6</v>
      </c>
      <c r="EL10" s="19">
        <f t="shared" si="7"/>
        <v>75.006366831355365</v>
      </c>
      <c r="EM10" s="36">
        <v>0</v>
      </c>
      <c r="EN10" s="19">
        <v>0</v>
      </c>
      <c r="EO10" s="19" t="s">
        <v>56</v>
      </c>
      <c r="EP10" s="36">
        <f>1046/1000</f>
        <v>1.046</v>
      </c>
      <c r="EQ10" s="19">
        <v>0</v>
      </c>
      <c r="ER10" s="19">
        <f t="shared" si="10"/>
        <v>0</v>
      </c>
      <c r="ES10" s="36">
        <v>75327.5</v>
      </c>
      <c r="ET10" s="19">
        <v>52746.3</v>
      </c>
      <c r="EU10" s="19">
        <v>70.022634496033987</v>
      </c>
      <c r="EV10" s="34">
        <v>167057.5</v>
      </c>
      <c r="EW10" s="34">
        <v>131842</v>
      </c>
      <c r="EX10" s="35">
        <v>78.920132289780469</v>
      </c>
      <c r="EY10" s="36">
        <v>7039.2</v>
      </c>
      <c r="EZ10" s="34">
        <v>4154.3999999999996</v>
      </c>
      <c r="FA10" s="34">
        <f t="shared" si="25"/>
        <v>59.018070235254001</v>
      </c>
      <c r="FB10" s="36">
        <v>1295.4000000000001</v>
      </c>
      <c r="FC10" s="19">
        <v>641.4</v>
      </c>
      <c r="FD10" s="19">
        <f t="shared" si="11"/>
        <v>49.513663733209818</v>
      </c>
      <c r="FE10" s="36">
        <v>0</v>
      </c>
      <c r="FF10" s="19">
        <v>0</v>
      </c>
      <c r="FG10" s="19" t="s">
        <v>56</v>
      </c>
      <c r="FH10" s="36">
        <v>0</v>
      </c>
      <c r="FI10" s="19">
        <v>0</v>
      </c>
      <c r="FJ10" s="19" t="s">
        <v>56</v>
      </c>
      <c r="FK10" s="36">
        <v>1470.9</v>
      </c>
      <c r="FL10" s="19">
        <v>398.2</v>
      </c>
      <c r="FM10" s="19">
        <f t="shared" si="12"/>
        <v>27.071860765517705</v>
      </c>
      <c r="FN10" s="36">
        <v>175</v>
      </c>
      <c r="FO10" s="19">
        <v>131.4</v>
      </c>
      <c r="FP10" s="19">
        <f t="shared" si="13"/>
        <v>75.085714285714289</v>
      </c>
      <c r="FQ10" s="36">
        <v>1.5</v>
      </c>
      <c r="FR10" s="19">
        <v>1.5</v>
      </c>
      <c r="FS10" s="19">
        <f t="shared" si="14"/>
        <v>100</v>
      </c>
      <c r="FT10" s="36">
        <v>95.5</v>
      </c>
      <c r="FU10" s="19">
        <v>39.9</v>
      </c>
      <c r="FV10" s="19">
        <f t="shared" si="41"/>
        <v>41.780104712041883</v>
      </c>
      <c r="FW10" s="36">
        <v>1.5</v>
      </c>
      <c r="FX10" s="19">
        <v>0</v>
      </c>
      <c r="FY10" s="19">
        <f>FX10/FW10%</f>
        <v>0</v>
      </c>
      <c r="FZ10" s="36">
        <v>602.79999999999995</v>
      </c>
      <c r="GA10" s="19">
        <v>354.3</v>
      </c>
      <c r="GB10" s="19">
        <f t="shared" si="15"/>
        <v>58.775713337757139</v>
      </c>
      <c r="GC10" s="36">
        <v>209.9</v>
      </c>
      <c r="GD10" s="19">
        <v>188.9</v>
      </c>
      <c r="GE10" s="19">
        <f t="shared" si="16"/>
        <v>89.995235826584079</v>
      </c>
      <c r="GF10" s="36">
        <v>0</v>
      </c>
      <c r="GG10" s="19">
        <v>0</v>
      </c>
      <c r="GH10" s="19" t="s">
        <v>56</v>
      </c>
      <c r="GI10" s="37">
        <v>0</v>
      </c>
      <c r="GJ10" s="19">
        <v>0</v>
      </c>
      <c r="GK10" s="19" t="s">
        <v>56</v>
      </c>
      <c r="GL10" s="37">
        <v>1134.9000000000001</v>
      </c>
      <c r="GM10" s="19">
        <v>843.4</v>
      </c>
      <c r="GN10" s="19">
        <f t="shared" si="17"/>
        <v>74.314917613886678</v>
      </c>
      <c r="GO10" s="36">
        <v>0</v>
      </c>
      <c r="GP10" s="36">
        <v>0</v>
      </c>
      <c r="GQ10" s="19" t="s">
        <v>56</v>
      </c>
      <c r="GR10" s="36">
        <v>0</v>
      </c>
      <c r="GS10" s="19">
        <v>0</v>
      </c>
      <c r="GT10" s="19" t="s">
        <v>56</v>
      </c>
      <c r="GU10" s="36">
        <v>1568.1</v>
      </c>
      <c r="GV10" s="19">
        <v>335</v>
      </c>
      <c r="GW10" s="19">
        <f t="shared" si="19"/>
        <v>21.363433454499077</v>
      </c>
      <c r="GX10" s="36">
        <v>1944</v>
      </c>
      <c r="GY10" s="19">
        <v>0</v>
      </c>
      <c r="GZ10" s="19">
        <f>GY10/GX10%</f>
        <v>0</v>
      </c>
      <c r="HA10" s="36">
        <v>285.39999999999998</v>
      </c>
      <c r="HB10" s="19">
        <v>0</v>
      </c>
      <c r="HC10" s="19">
        <v>0</v>
      </c>
      <c r="HD10" s="19">
        <v>7165.6</v>
      </c>
      <c r="HE10" s="19">
        <v>4401</v>
      </c>
      <c r="HF10" s="38">
        <f t="shared" si="26"/>
        <v>61.41844367533772</v>
      </c>
      <c r="HG10" s="36">
        <v>2599</v>
      </c>
      <c r="HH10" s="19">
        <v>1949.4</v>
      </c>
      <c r="HI10" s="19">
        <f t="shared" si="27"/>
        <v>75.005771450557916</v>
      </c>
      <c r="HJ10" s="17">
        <f t="shared" si="28"/>
        <v>28091.5</v>
      </c>
      <c r="HK10" s="17">
        <f t="shared" si="29"/>
        <v>5894.2</v>
      </c>
      <c r="HL10" s="16">
        <f t="shared" si="30"/>
        <v>20.982147624726341</v>
      </c>
      <c r="HM10" s="34">
        <v>6132.4</v>
      </c>
      <c r="HN10" s="34">
        <v>0</v>
      </c>
      <c r="HO10" s="35">
        <f t="shared" si="42"/>
        <v>0</v>
      </c>
      <c r="HP10" s="35">
        <v>0</v>
      </c>
      <c r="HQ10" s="35">
        <v>0</v>
      </c>
      <c r="HR10" s="35" t="s">
        <v>56</v>
      </c>
      <c r="HS10" s="35">
        <v>9750</v>
      </c>
      <c r="HT10" s="35">
        <v>279.2</v>
      </c>
      <c r="HU10" s="35">
        <f t="shared" si="43"/>
        <v>2.8635897435897433</v>
      </c>
      <c r="HV10" s="35">
        <v>5749.4</v>
      </c>
      <c r="HW10" s="35">
        <v>1711.1</v>
      </c>
      <c r="HX10" s="35">
        <f t="shared" si="44"/>
        <v>29.761366403450793</v>
      </c>
      <c r="HY10" s="34">
        <v>0</v>
      </c>
      <c r="HZ10" s="34">
        <v>0</v>
      </c>
      <c r="IA10" s="34" t="s">
        <v>56</v>
      </c>
      <c r="IB10" s="34">
        <v>149</v>
      </c>
      <c r="IC10" s="34">
        <v>149</v>
      </c>
      <c r="ID10" s="35">
        <f t="shared" si="31"/>
        <v>100</v>
      </c>
      <c r="IE10" s="34">
        <v>0</v>
      </c>
      <c r="IF10" s="34">
        <v>0</v>
      </c>
      <c r="IG10" s="35" t="s">
        <v>56</v>
      </c>
      <c r="IH10" s="20">
        <v>5732.8</v>
      </c>
      <c r="II10" s="19">
        <v>3198.2</v>
      </c>
      <c r="IJ10" s="19">
        <f t="shared" si="32"/>
        <v>55.787747697460219</v>
      </c>
      <c r="IK10" s="18">
        <v>0</v>
      </c>
      <c r="IL10" s="18">
        <v>0</v>
      </c>
      <c r="IM10" s="18" t="s">
        <v>56</v>
      </c>
      <c r="IN10" s="19">
        <v>0</v>
      </c>
      <c r="IO10" s="19">
        <v>0</v>
      </c>
      <c r="IP10" s="19" t="s">
        <v>56</v>
      </c>
      <c r="IQ10" s="19">
        <v>0</v>
      </c>
      <c r="IR10" s="19">
        <v>0</v>
      </c>
      <c r="IS10" s="21" t="s">
        <v>56</v>
      </c>
      <c r="IT10" s="19">
        <v>0</v>
      </c>
      <c r="IU10" s="19">
        <v>0</v>
      </c>
      <c r="IV10" s="21" t="s">
        <v>56</v>
      </c>
      <c r="IW10" s="19">
        <v>0</v>
      </c>
      <c r="IX10" s="19">
        <v>0</v>
      </c>
      <c r="IY10" s="19" t="s">
        <v>56</v>
      </c>
      <c r="IZ10" s="19">
        <v>0</v>
      </c>
      <c r="JA10" s="19">
        <v>0</v>
      </c>
      <c r="JB10" s="21" t="s">
        <v>56</v>
      </c>
      <c r="JC10" s="19">
        <v>0</v>
      </c>
      <c r="JD10" s="19">
        <v>0</v>
      </c>
      <c r="JE10" s="19" t="s">
        <v>56</v>
      </c>
      <c r="JF10" s="19">
        <v>0</v>
      </c>
      <c r="JG10" s="19">
        <v>0</v>
      </c>
      <c r="JH10" s="25" t="s">
        <v>56</v>
      </c>
      <c r="JI10" s="23">
        <v>0</v>
      </c>
      <c r="JJ10" s="19">
        <v>0</v>
      </c>
      <c r="JK10" s="25" t="s">
        <v>56</v>
      </c>
      <c r="JL10" s="19">
        <v>577.9</v>
      </c>
      <c r="JM10" s="19">
        <v>556.70000000000005</v>
      </c>
      <c r="JN10" s="21">
        <f>(JM10/JL10)*100</f>
        <v>96.331545250043277</v>
      </c>
      <c r="JO10" s="19">
        <v>0</v>
      </c>
      <c r="JP10" s="19">
        <v>0</v>
      </c>
      <c r="JQ10" s="19" t="s">
        <v>56</v>
      </c>
      <c r="JR10" s="19">
        <v>0</v>
      </c>
      <c r="JS10" s="19">
        <v>0</v>
      </c>
      <c r="JT10" s="19" t="s">
        <v>56</v>
      </c>
      <c r="JU10" s="19">
        <v>0</v>
      </c>
      <c r="JV10" s="19">
        <v>0</v>
      </c>
      <c r="JW10" s="21" t="s">
        <v>56</v>
      </c>
      <c r="JX10" s="21">
        <v>0</v>
      </c>
      <c r="JY10" s="21">
        <v>0</v>
      </c>
      <c r="JZ10" s="21" t="s">
        <v>56</v>
      </c>
      <c r="KA10" s="21">
        <v>0</v>
      </c>
      <c r="KB10" s="21">
        <v>0</v>
      </c>
      <c r="KC10" s="21" t="s">
        <v>56</v>
      </c>
      <c r="KD10" s="14">
        <f t="shared" si="45"/>
        <v>621719.54599999997</v>
      </c>
      <c r="KE10" s="14">
        <f t="shared" si="46"/>
        <v>419415.8</v>
      </c>
      <c r="KF10" s="14">
        <f t="shared" si="47"/>
        <v>67.460610286169128</v>
      </c>
      <c r="KG10" s="7"/>
      <c r="KH10" s="9"/>
      <c r="KJ10" s="9"/>
    </row>
    <row r="11" spans="1:296" x14ac:dyDescent="0.2">
      <c r="A11" s="27" t="s">
        <v>10</v>
      </c>
      <c r="B11" s="13">
        <f t="shared" si="20"/>
        <v>151836</v>
      </c>
      <c r="C11" s="13">
        <f t="shared" si="33"/>
        <v>151836</v>
      </c>
      <c r="D11" s="14">
        <f t="shared" si="34"/>
        <v>100</v>
      </c>
      <c r="E11" s="18">
        <v>151836</v>
      </c>
      <c r="F11" s="19">
        <v>151836</v>
      </c>
      <c r="G11" s="19">
        <f t="shared" si="0"/>
        <v>100</v>
      </c>
      <c r="H11" s="18">
        <v>0</v>
      </c>
      <c r="I11" s="19">
        <v>0</v>
      </c>
      <c r="J11" s="19" t="s">
        <v>56</v>
      </c>
      <c r="K11" s="19">
        <v>0</v>
      </c>
      <c r="L11" s="19">
        <v>0</v>
      </c>
      <c r="M11" s="19" t="s">
        <v>56</v>
      </c>
      <c r="N11" s="13">
        <f t="shared" si="35"/>
        <v>334365.53803</v>
      </c>
      <c r="O11" s="13">
        <f t="shared" si="36"/>
        <v>100403.28</v>
      </c>
      <c r="P11" s="14">
        <f t="shared" si="21"/>
        <v>30.027998875587354</v>
      </c>
      <c r="Q11" s="19">
        <v>14222</v>
      </c>
      <c r="R11" s="19">
        <v>0</v>
      </c>
      <c r="S11" s="19">
        <f t="shared" si="37"/>
        <v>0</v>
      </c>
      <c r="T11" s="18">
        <v>0</v>
      </c>
      <c r="U11" s="19">
        <v>0</v>
      </c>
      <c r="V11" s="19" t="s">
        <v>56</v>
      </c>
      <c r="W11" s="18">
        <v>7329</v>
      </c>
      <c r="X11" s="19">
        <v>7329</v>
      </c>
      <c r="Y11" s="19">
        <f t="shared" si="1"/>
        <v>99.999999999999986</v>
      </c>
      <c r="Z11" s="18">
        <f>2040.4</f>
        <v>2040.4</v>
      </c>
      <c r="AA11" s="19">
        <v>612.1</v>
      </c>
      <c r="AB11" s="19">
        <f>AA11/Z11%</f>
        <v>29.999019800039211</v>
      </c>
      <c r="AC11" s="18">
        <v>0</v>
      </c>
      <c r="AD11" s="19">
        <v>0</v>
      </c>
      <c r="AE11" s="19" t="s">
        <v>56</v>
      </c>
      <c r="AF11" s="18">
        <v>0</v>
      </c>
      <c r="AG11" s="19">
        <v>0</v>
      </c>
      <c r="AH11" s="19" t="s">
        <v>56</v>
      </c>
      <c r="AI11" s="18">
        <v>0</v>
      </c>
      <c r="AJ11" s="18">
        <v>0</v>
      </c>
      <c r="AK11" s="19" t="s">
        <v>56</v>
      </c>
      <c r="AL11" s="19">
        <v>6391</v>
      </c>
      <c r="AM11" s="19">
        <v>2971.5</v>
      </c>
      <c r="AN11" s="19">
        <f t="shared" si="2"/>
        <v>46.49507119386638</v>
      </c>
      <c r="AO11" s="19">
        <v>0</v>
      </c>
      <c r="AP11" s="19">
        <v>0</v>
      </c>
      <c r="AQ11" s="19" t="s">
        <v>56</v>
      </c>
      <c r="AR11" s="19">
        <v>0</v>
      </c>
      <c r="AS11" s="19">
        <v>0</v>
      </c>
      <c r="AT11" s="19" t="s">
        <v>56</v>
      </c>
      <c r="AU11" s="19">
        <v>0</v>
      </c>
      <c r="AV11" s="19">
        <v>0</v>
      </c>
      <c r="AW11" s="19" t="s">
        <v>56</v>
      </c>
      <c r="AX11" s="19">
        <v>16833.8</v>
      </c>
      <c r="AY11" s="19">
        <v>1143</v>
      </c>
      <c r="AZ11" s="19">
        <f t="shared" si="38"/>
        <v>6.7899107747507985</v>
      </c>
      <c r="BA11" s="18">
        <v>0</v>
      </c>
      <c r="BB11" s="19">
        <v>0</v>
      </c>
      <c r="BC11" s="19" t="s">
        <v>56</v>
      </c>
      <c r="BD11" s="18">
        <v>0</v>
      </c>
      <c r="BE11" s="19">
        <v>0</v>
      </c>
      <c r="BF11" s="19" t="s">
        <v>56</v>
      </c>
      <c r="BG11" s="18">
        <f>111838.03/1000</f>
        <v>111.83803</v>
      </c>
      <c r="BH11" s="19">
        <f>111.8</f>
        <v>111.8</v>
      </c>
      <c r="BI11" s="19">
        <f t="shared" si="3"/>
        <v>99.965995466837157</v>
      </c>
      <c r="BJ11" s="18">
        <f>100000/1000</f>
        <v>100</v>
      </c>
      <c r="BK11" s="19">
        <v>100</v>
      </c>
      <c r="BL11" s="19">
        <f>(BK11/BJ11)*100</f>
        <v>100</v>
      </c>
      <c r="BM11" s="18">
        <v>0</v>
      </c>
      <c r="BN11" s="19">
        <v>0</v>
      </c>
      <c r="BO11" s="19" t="s">
        <v>56</v>
      </c>
      <c r="BP11" s="18">
        <v>0</v>
      </c>
      <c r="BQ11" s="19">
        <v>0</v>
      </c>
      <c r="BR11" s="19" t="s">
        <v>56</v>
      </c>
      <c r="BS11" s="18">
        <v>0</v>
      </c>
      <c r="BT11" s="19">
        <v>0</v>
      </c>
      <c r="BU11" s="19" t="s">
        <v>56</v>
      </c>
      <c r="BV11" s="18">
        <f>73136400/1000</f>
        <v>73136.399999999994</v>
      </c>
      <c r="BW11" s="19">
        <v>0</v>
      </c>
      <c r="BX11" s="19">
        <v>0</v>
      </c>
      <c r="BY11" s="19">
        <v>1464.5</v>
      </c>
      <c r="BZ11" s="19">
        <v>1258.2</v>
      </c>
      <c r="CA11" s="19">
        <f t="shared" ref="CA11:CA37" si="50">(BZ11/BY11)*100</f>
        <v>85.913280983270752</v>
      </c>
      <c r="CB11" s="18">
        <v>0</v>
      </c>
      <c r="CC11" s="18">
        <v>0</v>
      </c>
      <c r="CD11" s="34" t="s">
        <v>56</v>
      </c>
      <c r="CE11" s="18">
        <v>1662.2</v>
      </c>
      <c r="CF11" s="18">
        <f>3324.5-1662.3</f>
        <v>1662.2</v>
      </c>
      <c r="CG11" s="34">
        <f t="shared" si="22"/>
        <v>100</v>
      </c>
      <c r="CH11" s="34">
        <v>0</v>
      </c>
      <c r="CI11" s="34">
        <v>0</v>
      </c>
      <c r="CJ11" s="34" t="s">
        <v>56</v>
      </c>
      <c r="CK11" s="18">
        <v>2500</v>
      </c>
      <c r="CL11" s="18">
        <v>0</v>
      </c>
      <c r="CM11" s="34">
        <v>0</v>
      </c>
      <c r="CN11" s="18">
        <v>3199.1</v>
      </c>
      <c r="CO11" s="34">
        <f>1299.4+1890.2</f>
        <v>3189.6000000000004</v>
      </c>
      <c r="CP11" s="34">
        <f t="shared" si="4"/>
        <v>99.703041480416374</v>
      </c>
      <c r="CQ11" s="34">
        <v>421.7</v>
      </c>
      <c r="CR11" s="34">
        <v>0</v>
      </c>
      <c r="CS11" s="34">
        <v>0</v>
      </c>
      <c r="CT11" s="34">
        <v>72.7</v>
      </c>
      <c r="CU11" s="34">
        <v>0</v>
      </c>
      <c r="CV11" s="34">
        <v>0</v>
      </c>
      <c r="CW11" s="34">
        <v>18965.8</v>
      </c>
      <c r="CX11" s="34">
        <v>12877.1</v>
      </c>
      <c r="CY11" s="34">
        <f t="shared" si="23"/>
        <v>67.896424089677211</v>
      </c>
      <c r="CZ11" s="34">
        <v>2035.7</v>
      </c>
      <c r="DA11" s="34">
        <v>2035.4</v>
      </c>
      <c r="DB11" s="34">
        <f t="shared" si="49"/>
        <v>99.985263054477585</v>
      </c>
      <c r="DC11" s="34">
        <v>0</v>
      </c>
      <c r="DD11" s="34">
        <v>0</v>
      </c>
      <c r="DE11" s="35" t="s">
        <v>56</v>
      </c>
      <c r="DF11" s="34">
        <v>0</v>
      </c>
      <c r="DG11" s="34">
        <v>0</v>
      </c>
      <c r="DH11" s="34" t="s">
        <v>56</v>
      </c>
      <c r="DI11" s="34">
        <v>0</v>
      </c>
      <c r="DJ11" s="34">
        <v>0</v>
      </c>
      <c r="DK11" s="34" t="s">
        <v>56</v>
      </c>
      <c r="DL11" s="34">
        <v>83210.399999999994</v>
      </c>
      <c r="DM11" s="34">
        <v>59114.18</v>
      </c>
      <c r="DN11" s="34">
        <f t="shared" si="24"/>
        <v>71.041816888273587</v>
      </c>
      <c r="DO11" s="34">
        <v>0</v>
      </c>
      <c r="DP11" s="34">
        <v>0</v>
      </c>
      <c r="DQ11" s="34" t="s">
        <v>56</v>
      </c>
      <c r="DR11" s="34">
        <v>0</v>
      </c>
      <c r="DS11" s="34">
        <v>0</v>
      </c>
      <c r="DT11" s="34" t="s">
        <v>56</v>
      </c>
      <c r="DU11" s="34">
        <v>5432.2</v>
      </c>
      <c r="DV11" s="34">
        <v>5245.9</v>
      </c>
      <c r="DW11" s="34">
        <f>(DV11/DU11)*100</f>
        <v>96.570450277972085</v>
      </c>
      <c r="DX11" s="34">
        <v>0</v>
      </c>
      <c r="DY11" s="34">
        <v>0</v>
      </c>
      <c r="DZ11" s="34" t="s">
        <v>56</v>
      </c>
      <c r="EA11" s="18">
        <v>92112.3</v>
      </c>
      <c r="EB11" s="19">
        <v>0</v>
      </c>
      <c r="EC11" s="34">
        <f>EB11/EA11%</f>
        <v>0</v>
      </c>
      <c r="ED11" s="18">
        <v>3124.5</v>
      </c>
      <c r="EE11" s="19">
        <v>2753.3</v>
      </c>
      <c r="EF11" s="34">
        <f>EE11/ED11%</f>
        <v>88.119699151864296</v>
      </c>
      <c r="EG11" s="13">
        <f t="shared" si="5"/>
        <v>548306.26500000013</v>
      </c>
      <c r="EH11" s="13">
        <f t="shared" si="6"/>
        <v>400595.39999999997</v>
      </c>
      <c r="EI11" s="14">
        <f t="shared" si="40"/>
        <v>73.060518467721664</v>
      </c>
      <c r="EJ11" s="36">
        <v>5285.7</v>
      </c>
      <c r="EK11" s="36">
        <v>3487.9</v>
      </c>
      <c r="EL11" s="19">
        <f t="shared" si="7"/>
        <v>65.987475641826066</v>
      </c>
      <c r="EM11" s="36">
        <v>114.1</v>
      </c>
      <c r="EN11" s="19">
        <v>0</v>
      </c>
      <c r="EO11" s="19">
        <f t="shared" si="9"/>
        <v>0</v>
      </c>
      <c r="EP11" s="36">
        <f>2665/1000</f>
        <v>2.665</v>
      </c>
      <c r="EQ11" s="19">
        <v>0</v>
      </c>
      <c r="ER11" s="19">
        <f t="shared" si="10"/>
        <v>0</v>
      </c>
      <c r="ES11" s="36">
        <v>147280.9</v>
      </c>
      <c r="ET11" s="19">
        <v>100924.5</v>
      </c>
      <c r="EU11" s="19">
        <v>68.5251787570554</v>
      </c>
      <c r="EV11" s="34">
        <v>347764.7</v>
      </c>
      <c r="EW11" s="34">
        <v>264559.59999999998</v>
      </c>
      <c r="EX11" s="35">
        <v>76.074311164991727</v>
      </c>
      <c r="EY11" s="36">
        <v>8914.5</v>
      </c>
      <c r="EZ11" s="34">
        <v>3671.8</v>
      </c>
      <c r="FA11" s="34">
        <f t="shared" si="25"/>
        <v>41.18907398059342</v>
      </c>
      <c r="FB11" s="36">
        <v>2481.5</v>
      </c>
      <c r="FC11" s="19">
        <v>1749.7</v>
      </c>
      <c r="FD11" s="19">
        <f t="shared" si="11"/>
        <v>70.509772315131968</v>
      </c>
      <c r="FE11" s="36">
        <v>802.7</v>
      </c>
      <c r="FF11" s="19">
        <v>0</v>
      </c>
      <c r="FG11" s="19">
        <f>FF11/FE11%</f>
        <v>0</v>
      </c>
      <c r="FH11" s="36">
        <v>0</v>
      </c>
      <c r="FI11" s="19">
        <v>0</v>
      </c>
      <c r="FJ11" s="19" t="s">
        <v>56</v>
      </c>
      <c r="FK11" s="36">
        <v>2818.3</v>
      </c>
      <c r="FL11" s="19">
        <v>2818.3</v>
      </c>
      <c r="FM11" s="19">
        <f t="shared" si="12"/>
        <v>100</v>
      </c>
      <c r="FN11" s="36">
        <v>297.5</v>
      </c>
      <c r="FO11" s="19">
        <v>223.2</v>
      </c>
      <c r="FP11" s="19">
        <f t="shared" si="13"/>
        <v>75.025210084033603</v>
      </c>
      <c r="FQ11" s="36">
        <v>14.9</v>
      </c>
      <c r="FR11" s="19">
        <v>12.1</v>
      </c>
      <c r="FS11" s="19">
        <f t="shared" si="14"/>
        <v>81.208053691275168</v>
      </c>
      <c r="FT11" s="36">
        <v>95.5</v>
      </c>
      <c r="FU11" s="19">
        <v>56</v>
      </c>
      <c r="FV11" s="19">
        <f t="shared" si="41"/>
        <v>58.638743455497384</v>
      </c>
      <c r="FW11" s="36">
        <v>0</v>
      </c>
      <c r="FX11" s="19">
        <v>0</v>
      </c>
      <c r="FY11" s="19" t="s">
        <v>56</v>
      </c>
      <c r="FZ11" s="36">
        <v>654.9</v>
      </c>
      <c r="GA11" s="19">
        <v>485.8</v>
      </c>
      <c r="GB11" s="19">
        <f t="shared" si="15"/>
        <v>74.179264009772496</v>
      </c>
      <c r="GC11" s="36">
        <v>443.1</v>
      </c>
      <c r="GD11" s="19">
        <v>245.9</v>
      </c>
      <c r="GE11" s="19">
        <f t="shared" si="16"/>
        <v>55.495373504852175</v>
      </c>
      <c r="GF11" s="36">
        <v>0</v>
      </c>
      <c r="GG11" s="19">
        <v>0</v>
      </c>
      <c r="GH11" s="19" t="s">
        <v>56</v>
      </c>
      <c r="GI11" s="37">
        <v>0</v>
      </c>
      <c r="GJ11" s="19">
        <v>0</v>
      </c>
      <c r="GK11" s="19" t="s">
        <v>56</v>
      </c>
      <c r="GL11" s="37">
        <v>2728.3</v>
      </c>
      <c r="GM11" s="19">
        <v>1929.6</v>
      </c>
      <c r="GN11" s="19">
        <f t="shared" si="17"/>
        <v>70.725360114356917</v>
      </c>
      <c r="GO11" s="36">
        <v>0</v>
      </c>
      <c r="GP11" s="36">
        <v>0</v>
      </c>
      <c r="GQ11" s="19" t="s">
        <v>56</v>
      </c>
      <c r="GR11" s="36">
        <v>399.2</v>
      </c>
      <c r="GS11" s="19">
        <v>299.39999999999998</v>
      </c>
      <c r="GT11" s="19">
        <f t="shared" si="18"/>
        <v>75</v>
      </c>
      <c r="GU11" s="36">
        <v>1910.9</v>
      </c>
      <c r="GV11" s="19">
        <v>430</v>
      </c>
      <c r="GW11" s="19">
        <f t="shared" si="19"/>
        <v>22.502485739703804</v>
      </c>
      <c r="GX11" s="36">
        <v>0</v>
      </c>
      <c r="GY11" s="19">
        <v>0</v>
      </c>
      <c r="GZ11" s="19" t="s">
        <v>56</v>
      </c>
      <c r="HA11" s="36">
        <v>616.9</v>
      </c>
      <c r="HB11" s="19">
        <v>0</v>
      </c>
      <c r="HC11" s="19">
        <v>0</v>
      </c>
      <c r="HD11" s="19">
        <v>18654</v>
      </c>
      <c r="HE11" s="19">
        <v>12977.3</v>
      </c>
      <c r="HF11" s="38">
        <f t="shared" si="26"/>
        <v>69.568457167363562</v>
      </c>
      <c r="HG11" s="36">
        <v>7026</v>
      </c>
      <c r="HH11" s="19">
        <v>6724.3</v>
      </c>
      <c r="HI11" s="19">
        <f t="shared" si="27"/>
        <v>95.70594933105609</v>
      </c>
      <c r="HJ11" s="17">
        <f t="shared" si="28"/>
        <v>78756.399999999994</v>
      </c>
      <c r="HK11" s="17">
        <f t="shared" si="29"/>
        <v>22231.399999999998</v>
      </c>
      <c r="HL11" s="16">
        <f t="shared" si="30"/>
        <v>28.228055116790507</v>
      </c>
      <c r="HM11" s="34">
        <v>13592.9</v>
      </c>
      <c r="HN11" s="34">
        <v>2546.6999999999998</v>
      </c>
      <c r="HO11" s="35">
        <f t="shared" si="42"/>
        <v>18.735516335734097</v>
      </c>
      <c r="HP11" s="35">
        <v>0</v>
      </c>
      <c r="HQ11" s="35">
        <v>0</v>
      </c>
      <c r="HR11" s="35" t="s">
        <v>56</v>
      </c>
      <c r="HS11" s="35">
        <v>18350</v>
      </c>
      <c r="HT11" s="35">
        <v>1594.1</v>
      </c>
      <c r="HU11" s="35">
        <f t="shared" si="43"/>
        <v>8.6871934604904624</v>
      </c>
      <c r="HV11" s="35">
        <v>17310.5</v>
      </c>
      <c r="HW11" s="35">
        <v>698.6</v>
      </c>
      <c r="HX11" s="35">
        <f t="shared" si="44"/>
        <v>4.0357008751913579</v>
      </c>
      <c r="HY11" s="34">
        <v>0</v>
      </c>
      <c r="HZ11" s="34">
        <v>0</v>
      </c>
      <c r="IA11" s="34" t="s">
        <v>56</v>
      </c>
      <c r="IB11" s="34">
        <v>154</v>
      </c>
      <c r="IC11" s="34">
        <v>154</v>
      </c>
      <c r="ID11" s="35">
        <f t="shared" si="31"/>
        <v>100</v>
      </c>
      <c r="IE11" s="34">
        <v>0</v>
      </c>
      <c r="IF11" s="34">
        <v>0</v>
      </c>
      <c r="IG11" s="35" t="s">
        <v>56</v>
      </c>
      <c r="IH11" s="18">
        <v>15438</v>
      </c>
      <c r="II11" s="19">
        <v>15436.8</v>
      </c>
      <c r="IJ11" s="19">
        <f t="shared" si="32"/>
        <v>99.992226972405746</v>
      </c>
      <c r="IK11" s="18">
        <v>0</v>
      </c>
      <c r="IL11" s="18">
        <v>0</v>
      </c>
      <c r="IM11" s="18" t="s">
        <v>56</v>
      </c>
      <c r="IN11" s="19">
        <v>0</v>
      </c>
      <c r="IO11" s="19">
        <v>0</v>
      </c>
      <c r="IP11" s="19" t="s">
        <v>56</v>
      </c>
      <c r="IQ11" s="19">
        <v>0</v>
      </c>
      <c r="IR11" s="19">
        <v>0</v>
      </c>
      <c r="IS11" s="21" t="s">
        <v>56</v>
      </c>
      <c r="IT11" s="19">
        <v>2767.1</v>
      </c>
      <c r="IU11" s="19">
        <v>1783.2</v>
      </c>
      <c r="IV11" s="21">
        <f>(IU11/IT11)*100</f>
        <v>64.442918579017743</v>
      </c>
      <c r="IW11" s="19">
        <v>0</v>
      </c>
      <c r="IX11" s="19">
        <v>0</v>
      </c>
      <c r="IY11" s="19" t="s">
        <v>56</v>
      </c>
      <c r="IZ11" s="19">
        <v>0</v>
      </c>
      <c r="JA11" s="19">
        <v>0</v>
      </c>
      <c r="JB11" s="21" t="s">
        <v>56</v>
      </c>
      <c r="JC11" s="19">
        <v>0</v>
      </c>
      <c r="JD11" s="19">
        <v>0</v>
      </c>
      <c r="JE11" s="19" t="s">
        <v>56</v>
      </c>
      <c r="JF11" s="19">
        <v>28</v>
      </c>
      <c r="JG11" s="19">
        <v>18</v>
      </c>
      <c r="JH11" s="25">
        <f>(JG11/JF11)*100</f>
        <v>64.285714285714292</v>
      </c>
      <c r="JI11" s="23">
        <v>0</v>
      </c>
      <c r="JJ11" s="19">
        <v>0</v>
      </c>
      <c r="JK11" s="25" t="s">
        <v>56</v>
      </c>
      <c r="JL11" s="19">
        <v>11115.9</v>
      </c>
      <c r="JM11" s="19">
        <v>0</v>
      </c>
      <c r="JN11" s="21">
        <f>(JM11/JL11)*100</f>
        <v>0</v>
      </c>
      <c r="JO11" s="19">
        <v>0</v>
      </c>
      <c r="JP11" s="19">
        <v>0</v>
      </c>
      <c r="JQ11" s="19" t="s">
        <v>56</v>
      </c>
      <c r="JR11" s="19">
        <v>0</v>
      </c>
      <c r="JS11" s="19">
        <v>0</v>
      </c>
      <c r="JT11" s="19" t="s">
        <v>56</v>
      </c>
      <c r="JU11" s="19">
        <v>0</v>
      </c>
      <c r="JV11" s="19">
        <v>0</v>
      </c>
      <c r="JW11" s="21" t="s">
        <v>56</v>
      </c>
      <c r="JX11" s="21">
        <v>0</v>
      </c>
      <c r="JY11" s="21">
        <v>0</v>
      </c>
      <c r="JZ11" s="21" t="s">
        <v>56</v>
      </c>
      <c r="KA11" s="21">
        <v>0</v>
      </c>
      <c r="KB11" s="21">
        <v>0</v>
      </c>
      <c r="KC11" s="21" t="s">
        <v>56</v>
      </c>
      <c r="KD11" s="14">
        <f t="shared" si="45"/>
        <v>1113264.20303</v>
      </c>
      <c r="KE11" s="14">
        <f t="shared" si="46"/>
        <v>675066.08</v>
      </c>
      <c r="KF11" s="14">
        <f t="shared" si="47"/>
        <v>60.638443072422085</v>
      </c>
      <c r="KG11" s="7"/>
      <c r="KH11" s="9"/>
      <c r="KJ11" s="9"/>
    </row>
    <row r="12" spans="1:296" x14ac:dyDescent="0.2">
      <c r="A12" s="27" t="s">
        <v>13</v>
      </c>
      <c r="B12" s="13">
        <f t="shared" si="20"/>
        <v>50548</v>
      </c>
      <c r="C12" s="13">
        <f t="shared" si="33"/>
        <v>4212.3</v>
      </c>
      <c r="D12" s="14">
        <f t="shared" si="34"/>
        <v>8.3332673894120433</v>
      </c>
      <c r="E12" s="18">
        <v>50548</v>
      </c>
      <c r="F12" s="19">
        <v>4212.3</v>
      </c>
      <c r="G12" s="19">
        <f t="shared" si="0"/>
        <v>8.3332673894120433</v>
      </c>
      <c r="H12" s="18">
        <v>0</v>
      </c>
      <c r="I12" s="19">
        <v>0</v>
      </c>
      <c r="J12" s="19" t="s">
        <v>56</v>
      </c>
      <c r="K12" s="19">
        <v>0</v>
      </c>
      <c r="L12" s="19">
        <v>0</v>
      </c>
      <c r="M12" s="19" t="s">
        <v>56</v>
      </c>
      <c r="N12" s="13">
        <f t="shared" si="35"/>
        <v>28864.189440000002</v>
      </c>
      <c r="O12" s="13">
        <f t="shared" si="36"/>
        <v>11023.3</v>
      </c>
      <c r="P12" s="14">
        <f t="shared" si="21"/>
        <v>38.190228840183217</v>
      </c>
      <c r="Q12" s="19">
        <v>16253.8</v>
      </c>
      <c r="R12" s="19">
        <v>2848.6</v>
      </c>
      <c r="S12" s="19">
        <f t="shared" si="37"/>
        <v>17.525747825123972</v>
      </c>
      <c r="T12" s="18">
        <v>0</v>
      </c>
      <c r="U12" s="19">
        <v>0</v>
      </c>
      <c r="V12" s="19" t="s">
        <v>56</v>
      </c>
      <c r="W12" s="18">
        <v>0</v>
      </c>
      <c r="X12" s="19">
        <v>0</v>
      </c>
      <c r="Y12" s="19" t="s">
        <v>56</v>
      </c>
      <c r="Z12" s="18">
        <v>0</v>
      </c>
      <c r="AA12" s="19">
        <v>0</v>
      </c>
      <c r="AB12" s="19" t="s">
        <v>56</v>
      </c>
      <c r="AC12" s="18">
        <v>0</v>
      </c>
      <c r="AD12" s="19">
        <v>0</v>
      </c>
      <c r="AE12" s="19" t="s">
        <v>56</v>
      </c>
      <c r="AF12" s="18">
        <v>0</v>
      </c>
      <c r="AG12" s="19">
        <v>0</v>
      </c>
      <c r="AH12" s="19" t="s">
        <v>56</v>
      </c>
      <c r="AI12" s="18">
        <v>0</v>
      </c>
      <c r="AJ12" s="18">
        <v>0</v>
      </c>
      <c r="AK12" s="19" t="s">
        <v>56</v>
      </c>
      <c r="AL12" s="19">
        <v>77.900000000000006</v>
      </c>
      <c r="AM12" s="19">
        <v>72.400000000000006</v>
      </c>
      <c r="AN12" s="19">
        <f t="shared" si="2"/>
        <v>92.939666238767657</v>
      </c>
      <c r="AO12" s="19">
        <v>0</v>
      </c>
      <c r="AP12" s="19">
        <v>0</v>
      </c>
      <c r="AQ12" s="19" t="s">
        <v>56</v>
      </c>
      <c r="AR12" s="19">
        <v>0</v>
      </c>
      <c r="AS12" s="19">
        <v>0</v>
      </c>
      <c r="AT12" s="19" t="s">
        <v>56</v>
      </c>
      <c r="AU12" s="19">
        <v>4026.6</v>
      </c>
      <c r="AV12" s="19">
        <v>3054.2</v>
      </c>
      <c r="AW12" s="19">
        <f t="shared" si="48"/>
        <v>75.850593552873391</v>
      </c>
      <c r="AX12" s="19">
        <v>3416.4</v>
      </c>
      <c r="AY12" s="19">
        <v>808.6</v>
      </c>
      <c r="AZ12" s="19">
        <f t="shared" si="38"/>
        <v>23.668188736681888</v>
      </c>
      <c r="BA12" s="18">
        <v>0</v>
      </c>
      <c r="BB12" s="19">
        <v>0</v>
      </c>
      <c r="BC12" s="19" t="s">
        <v>56</v>
      </c>
      <c r="BD12" s="18">
        <v>0</v>
      </c>
      <c r="BE12" s="19">
        <v>0</v>
      </c>
      <c r="BF12" s="19" t="s">
        <v>56</v>
      </c>
      <c r="BG12" s="18">
        <f>145389.44/1000</f>
        <v>145.38944000000001</v>
      </c>
      <c r="BH12" s="19">
        <v>145.4</v>
      </c>
      <c r="BI12" s="19">
        <f t="shared" si="3"/>
        <v>100.00726325103116</v>
      </c>
      <c r="BJ12" s="18">
        <v>0</v>
      </c>
      <c r="BK12" s="19">
        <v>0</v>
      </c>
      <c r="BL12" s="19" t="s">
        <v>56</v>
      </c>
      <c r="BM12" s="18">
        <v>0</v>
      </c>
      <c r="BN12" s="19">
        <v>0</v>
      </c>
      <c r="BO12" s="19" t="s">
        <v>56</v>
      </c>
      <c r="BP12" s="18">
        <v>0</v>
      </c>
      <c r="BQ12" s="19">
        <v>0</v>
      </c>
      <c r="BR12" s="19" t="s">
        <v>56</v>
      </c>
      <c r="BS12" s="18">
        <v>0</v>
      </c>
      <c r="BT12" s="19">
        <v>0</v>
      </c>
      <c r="BU12" s="19" t="s">
        <v>56</v>
      </c>
      <c r="BV12" s="18">
        <v>0</v>
      </c>
      <c r="BW12" s="19">
        <v>0</v>
      </c>
      <c r="BX12" s="19" t="s">
        <v>56</v>
      </c>
      <c r="BY12" s="19">
        <v>0</v>
      </c>
      <c r="BZ12" s="19">
        <v>0</v>
      </c>
      <c r="CA12" s="19" t="s">
        <v>56</v>
      </c>
      <c r="CB12" s="18">
        <f>1728.2</f>
        <v>1728.2</v>
      </c>
      <c r="CC12" s="18">
        <f>1728.2</f>
        <v>1728.2</v>
      </c>
      <c r="CD12" s="34">
        <v>100</v>
      </c>
      <c r="CE12" s="18">
        <v>0</v>
      </c>
      <c r="CF12" s="18">
        <v>0</v>
      </c>
      <c r="CG12" s="34" t="s">
        <v>56</v>
      </c>
      <c r="CH12" s="34">
        <v>0</v>
      </c>
      <c r="CI12" s="34">
        <v>0</v>
      </c>
      <c r="CJ12" s="34" t="s">
        <v>56</v>
      </c>
      <c r="CK12" s="18">
        <v>850</v>
      </c>
      <c r="CL12" s="18">
        <v>0</v>
      </c>
      <c r="CM12" s="34">
        <v>0</v>
      </c>
      <c r="CN12" s="18">
        <v>0</v>
      </c>
      <c r="CO12" s="34">
        <v>0</v>
      </c>
      <c r="CP12" s="34" t="s">
        <v>56</v>
      </c>
      <c r="CQ12" s="34">
        <v>0</v>
      </c>
      <c r="CR12" s="34">
        <v>0</v>
      </c>
      <c r="CS12" s="34" t="s">
        <v>56</v>
      </c>
      <c r="CT12" s="34">
        <v>0</v>
      </c>
      <c r="CU12" s="34">
        <v>0</v>
      </c>
      <c r="CV12" s="34" t="s">
        <v>56</v>
      </c>
      <c r="CW12" s="34">
        <v>965.9</v>
      </c>
      <c r="CX12" s="34">
        <v>965.9</v>
      </c>
      <c r="CY12" s="34">
        <f t="shared" si="23"/>
        <v>100</v>
      </c>
      <c r="CZ12" s="34">
        <v>0</v>
      </c>
      <c r="DA12" s="34">
        <v>0</v>
      </c>
      <c r="DB12" s="34" t="s">
        <v>56</v>
      </c>
      <c r="DC12" s="34">
        <v>1100</v>
      </c>
      <c r="DD12" s="34">
        <v>1100</v>
      </c>
      <c r="DE12" s="35">
        <f>(DD12/DC12)*100</f>
        <v>100</v>
      </c>
      <c r="DF12" s="34">
        <v>0</v>
      </c>
      <c r="DG12" s="34">
        <v>0</v>
      </c>
      <c r="DH12" s="34" t="s">
        <v>56</v>
      </c>
      <c r="DI12" s="34">
        <v>0</v>
      </c>
      <c r="DJ12" s="34">
        <v>0</v>
      </c>
      <c r="DK12" s="34" t="s">
        <v>56</v>
      </c>
      <c r="DL12" s="34">
        <v>0</v>
      </c>
      <c r="DM12" s="34">
        <v>0</v>
      </c>
      <c r="DN12" s="34" t="s">
        <v>56</v>
      </c>
      <c r="DO12" s="34">
        <v>300</v>
      </c>
      <c r="DP12" s="34">
        <v>300</v>
      </c>
      <c r="DQ12" s="34">
        <f t="shared" si="39"/>
        <v>100</v>
      </c>
      <c r="DR12" s="34">
        <v>0</v>
      </c>
      <c r="DS12" s="34">
        <v>0</v>
      </c>
      <c r="DT12" s="34" t="s">
        <v>56</v>
      </c>
      <c r="DU12" s="34">
        <v>0</v>
      </c>
      <c r="DV12" s="34">
        <v>0</v>
      </c>
      <c r="DW12" s="34" t="s">
        <v>56</v>
      </c>
      <c r="DX12" s="34">
        <v>0</v>
      </c>
      <c r="DY12" s="34">
        <v>0</v>
      </c>
      <c r="DZ12" s="34" t="s">
        <v>56</v>
      </c>
      <c r="EA12" s="18">
        <v>0</v>
      </c>
      <c r="EB12" s="19">
        <v>0</v>
      </c>
      <c r="EC12" s="34" t="s">
        <v>56</v>
      </c>
      <c r="ED12" s="18">
        <v>0</v>
      </c>
      <c r="EE12" s="19">
        <v>0</v>
      </c>
      <c r="EF12" s="34" t="s">
        <v>56</v>
      </c>
      <c r="EG12" s="13">
        <f t="shared" si="5"/>
        <v>180615.7</v>
      </c>
      <c r="EH12" s="13">
        <f t="shared" si="6"/>
        <v>128103.4</v>
      </c>
      <c r="EI12" s="14">
        <f t="shared" si="40"/>
        <v>70.925949405284257</v>
      </c>
      <c r="EJ12" s="36">
        <v>1067.4000000000001</v>
      </c>
      <c r="EK12" s="36">
        <v>529.1</v>
      </c>
      <c r="EL12" s="19">
        <f t="shared" si="7"/>
        <v>49.569046280682031</v>
      </c>
      <c r="EM12" s="36">
        <v>0</v>
      </c>
      <c r="EN12" s="19">
        <v>0</v>
      </c>
      <c r="EO12" s="19" t="s">
        <v>56</v>
      </c>
      <c r="EP12" s="36">
        <v>0</v>
      </c>
      <c r="EQ12" s="19">
        <v>0</v>
      </c>
      <c r="ER12" s="19" t="s">
        <v>56</v>
      </c>
      <c r="ES12" s="36">
        <v>49762.9</v>
      </c>
      <c r="ET12" s="19">
        <v>28498.2</v>
      </c>
      <c r="EU12" s="19">
        <v>57.267964688553121</v>
      </c>
      <c r="EV12" s="34">
        <v>111042.8</v>
      </c>
      <c r="EW12" s="34">
        <v>88252.2</v>
      </c>
      <c r="EX12" s="35">
        <v>79.475841747506365</v>
      </c>
      <c r="EY12" s="36">
        <v>8195.4</v>
      </c>
      <c r="EZ12" s="34">
        <v>4366.8</v>
      </c>
      <c r="FA12" s="34">
        <f t="shared" si="25"/>
        <v>53.28354930814848</v>
      </c>
      <c r="FB12" s="36">
        <v>683</v>
      </c>
      <c r="FC12" s="19">
        <v>156.5</v>
      </c>
      <c r="FD12" s="19">
        <f t="shared" si="11"/>
        <v>22.913616398243047</v>
      </c>
      <c r="FE12" s="36">
        <v>0</v>
      </c>
      <c r="FF12" s="19">
        <v>0</v>
      </c>
      <c r="FG12" s="19" t="s">
        <v>56</v>
      </c>
      <c r="FH12" s="36">
        <v>22.1</v>
      </c>
      <c r="FI12" s="19">
        <v>0</v>
      </c>
      <c r="FJ12" s="19">
        <v>0</v>
      </c>
      <c r="FK12" s="36">
        <v>0</v>
      </c>
      <c r="FL12" s="19">
        <v>0</v>
      </c>
      <c r="FM12" s="19" t="s">
        <v>56</v>
      </c>
      <c r="FN12" s="36">
        <v>157.5</v>
      </c>
      <c r="FO12" s="19">
        <v>117.9</v>
      </c>
      <c r="FP12" s="19">
        <f t="shared" si="13"/>
        <v>74.857142857142861</v>
      </c>
      <c r="FQ12" s="36">
        <v>4.8</v>
      </c>
      <c r="FR12" s="19">
        <v>3.6</v>
      </c>
      <c r="FS12" s="19">
        <f t="shared" si="14"/>
        <v>75</v>
      </c>
      <c r="FT12" s="36">
        <v>95.5</v>
      </c>
      <c r="FU12" s="19">
        <v>48.1</v>
      </c>
      <c r="FV12" s="19">
        <f t="shared" si="41"/>
        <v>50.366492146596862</v>
      </c>
      <c r="FW12" s="36">
        <v>0.5</v>
      </c>
      <c r="FX12" s="19">
        <v>0</v>
      </c>
      <c r="FY12" s="19" t="s">
        <v>56</v>
      </c>
      <c r="FZ12" s="36">
        <v>554.5</v>
      </c>
      <c r="GA12" s="19">
        <v>375.9</v>
      </c>
      <c r="GB12" s="19">
        <f t="shared" si="15"/>
        <v>67.790802524797115</v>
      </c>
      <c r="GC12" s="36">
        <v>198.4</v>
      </c>
      <c r="GD12" s="19">
        <v>154.9</v>
      </c>
      <c r="GE12" s="19">
        <f t="shared" si="16"/>
        <v>78.074596774193552</v>
      </c>
      <c r="GF12" s="36">
        <v>0</v>
      </c>
      <c r="GG12" s="19">
        <v>0</v>
      </c>
      <c r="GH12" s="19" t="s">
        <v>56</v>
      </c>
      <c r="GI12" s="37">
        <v>0</v>
      </c>
      <c r="GJ12" s="19">
        <v>0</v>
      </c>
      <c r="GK12" s="19" t="s">
        <v>56</v>
      </c>
      <c r="GL12" s="37">
        <v>1321.2</v>
      </c>
      <c r="GM12" s="19">
        <v>825.9</v>
      </c>
      <c r="GN12" s="19">
        <f t="shared" si="17"/>
        <v>62.51135331516803</v>
      </c>
      <c r="GO12" s="36">
        <v>0</v>
      </c>
      <c r="GP12" s="36">
        <v>0</v>
      </c>
      <c r="GQ12" s="19" t="s">
        <v>56</v>
      </c>
      <c r="GR12" s="36">
        <v>0</v>
      </c>
      <c r="GS12" s="19">
        <v>0</v>
      </c>
      <c r="GT12" s="19" t="s">
        <v>56</v>
      </c>
      <c r="GU12" s="36">
        <v>416.7</v>
      </c>
      <c r="GV12" s="19">
        <v>70</v>
      </c>
      <c r="GW12" s="19">
        <f t="shared" ref="GW12:GW26" si="51">GV12/GU12%</f>
        <v>16.798656107511398</v>
      </c>
      <c r="GX12" s="36">
        <v>900</v>
      </c>
      <c r="GY12" s="19">
        <v>0</v>
      </c>
      <c r="GZ12" s="19">
        <v>0</v>
      </c>
      <c r="HA12" s="36">
        <v>113.4</v>
      </c>
      <c r="HB12" s="19">
        <v>0</v>
      </c>
      <c r="HC12" s="19">
        <v>0</v>
      </c>
      <c r="HD12" s="19">
        <v>4803.6000000000004</v>
      </c>
      <c r="HE12" s="19">
        <v>4598</v>
      </c>
      <c r="HF12" s="38">
        <f t="shared" si="26"/>
        <v>95.719876759097332</v>
      </c>
      <c r="HG12" s="36">
        <v>1276</v>
      </c>
      <c r="HH12" s="19">
        <v>106.3</v>
      </c>
      <c r="HI12" s="19">
        <f t="shared" si="27"/>
        <v>8.330721003134796</v>
      </c>
      <c r="HJ12" s="17">
        <f t="shared" si="28"/>
        <v>18562.399999999998</v>
      </c>
      <c r="HK12" s="17">
        <f t="shared" si="29"/>
        <v>4199.7179999999998</v>
      </c>
      <c r="HL12" s="16">
        <f t="shared" si="30"/>
        <v>22.624865319139769</v>
      </c>
      <c r="HM12" s="34">
        <v>4921.6000000000004</v>
      </c>
      <c r="HN12" s="34">
        <v>1208.9000000000001</v>
      </c>
      <c r="HO12" s="35">
        <f t="shared" si="42"/>
        <v>24.563150195058515</v>
      </c>
      <c r="HP12" s="35">
        <v>0</v>
      </c>
      <c r="HQ12" s="35">
        <v>0</v>
      </c>
      <c r="HR12" s="35" t="s">
        <v>56</v>
      </c>
      <c r="HS12" s="35">
        <v>10650</v>
      </c>
      <c r="HT12" s="35">
        <v>0</v>
      </c>
      <c r="HU12" s="35">
        <f t="shared" si="43"/>
        <v>0</v>
      </c>
      <c r="HV12" s="35">
        <v>0</v>
      </c>
      <c r="HW12" s="35">
        <v>0</v>
      </c>
      <c r="HX12" s="35" t="s">
        <v>56</v>
      </c>
      <c r="HY12" s="34">
        <v>0</v>
      </c>
      <c r="HZ12" s="34">
        <v>0</v>
      </c>
      <c r="IA12" s="34" t="s">
        <v>56</v>
      </c>
      <c r="IB12" s="34">
        <v>109</v>
      </c>
      <c r="IC12" s="34">
        <v>109</v>
      </c>
      <c r="ID12" s="35">
        <f t="shared" si="31"/>
        <v>100</v>
      </c>
      <c r="IE12" s="34">
        <v>0</v>
      </c>
      <c r="IF12" s="34">
        <v>0</v>
      </c>
      <c r="IG12" s="35" t="s">
        <v>56</v>
      </c>
      <c r="IH12" s="18">
        <v>2480</v>
      </c>
      <c r="II12" s="19">
        <v>2480</v>
      </c>
      <c r="IJ12" s="19">
        <f t="shared" si="32"/>
        <v>100</v>
      </c>
      <c r="IK12" s="18">
        <v>0</v>
      </c>
      <c r="IL12" s="18">
        <v>0</v>
      </c>
      <c r="IM12" s="18" t="s">
        <v>56</v>
      </c>
      <c r="IN12" s="19">
        <v>0</v>
      </c>
      <c r="IO12" s="19">
        <v>0</v>
      </c>
      <c r="IP12" s="19" t="s">
        <v>56</v>
      </c>
      <c r="IQ12" s="19">
        <v>0</v>
      </c>
      <c r="IR12" s="19">
        <v>0</v>
      </c>
      <c r="IS12" s="21" t="s">
        <v>56</v>
      </c>
      <c r="IT12" s="19">
        <v>0</v>
      </c>
      <c r="IU12" s="19">
        <v>0</v>
      </c>
      <c r="IV12" s="21" t="s">
        <v>56</v>
      </c>
      <c r="IW12" s="19">
        <v>0</v>
      </c>
      <c r="IX12" s="19">
        <v>0</v>
      </c>
      <c r="IY12" s="19" t="s">
        <v>56</v>
      </c>
      <c r="IZ12" s="19">
        <v>397.8</v>
      </c>
      <c r="JA12" s="19">
        <v>397.8</v>
      </c>
      <c r="JB12" s="21">
        <f>(JA12/IZ12)*100</f>
        <v>100</v>
      </c>
      <c r="JC12" s="19">
        <v>0</v>
      </c>
      <c r="JD12" s="19">
        <v>0</v>
      </c>
      <c r="JE12" s="19" t="s">
        <v>56</v>
      </c>
      <c r="JF12" s="19">
        <v>0</v>
      </c>
      <c r="JG12" s="19">
        <v>0</v>
      </c>
      <c r="JH12" s="25" t="s">
        <v>56</v>
      </c>
      <c r="JI12" s="23">
        <v>4</v>
      </c>
      <c r="JJ12" s="19">
        <v>4.0179999999999998</v>
      </c>
      <c r="JK12" s="25">
        <f>(JJ12/JI12)*100</f>
        <v>100.44999999999999</v>
      </c>
      <c r="JL12" s="19">
        <v>0</v>
      </c>
      <c r="JM12" s="19">
        <v>0</v>
      </c>
      <c r="JN12" s="21" t="s">
        <v>56</v>
      </c>
      <c r="JO12" s="19">
        <v>0</v>
      </c>
      <c r="JP12" s="19">
        <v>0</v>
      </c>
      <c r="JQ12" s="19" t="s">
        <v>56</v>
      </c>
      <c r="JR12" s="19">
        <v>0</v>
      </c>
      <c r="JS12" s="19">
        <v>0</v>
      </c>
      <c r="JT12" s="19" t="s">
        <v>56</v>
      </c>
      <c r="JU12" s="19">
        <v>0</v>
      </c>
      <c r="JV12" s="19">
        <v>0</v>
      </c>
      <c r="JW12" s="21" t="s">
        <v>56</v>
      </c>
      <c r="JX12" s="21">
        <v>0</v>
      </c>
      <c r="JY12" s="21">
        <v>0</v>
      </c>
      <c r="JZ12" s="21" t="s">
        <v>56</v>
      </c>
      <c r="KA12" s="21">
        <v>0</v>
      </c>
      <c r="KB12" s="21">
        <v>0</v>
      </c>
      <c r="KC12" s="21" t="s">
        <v>56</v>
      </c>
      <c r="KD12" s="14">
        <f t="shared" si="45"/>
        <v>278590.28944000002</v>
      </c>
      <c r="KE12" s="14">
        <f t="shared" si="46"/>
        <v>147538.71799999999</v>
      </c>
      <c r="KF12" s="14">
        <f t="shared" si="47"/>
        <v>52.959031090627946</v>
      </c>
      <c r="KG12" s="7"/>
      <c r="KH12" s="9"/>
      <c r="KJ12" s="9"/>
    </row>
    <row r="13" spans="1:296" x14ac:dyDescent="0.2">
      <c r="A13" s="27" t="s">
        <v>14</v>
      </c>
      <c r="B13" s="13">
        <f t="shared" si="20"/>
        <v>191893</v>
      </c>
      <c r="C13" s="13">
        <f t="shared" si="33"/>
        <v>147106.20000000001</v>
      </c>
      <c r="D13" s="14">
        <f t="shared" si="34"/>
        <v>76.660534777193547</v>
      </c>
      <c r="E13" s="18">
        <v>191893</v>
      </c>
      <c r="F13" s="19">
        <v>147106.20000000001</v>
      </c>
      <c r="G13" s="19">
        <f t="shared" si="0"/>
        <v>76.660534777193547</v>
      </c>
      <c r="H13" s="18">
        <v>0</v>
      </c>
      <c r="I13" s="19">
        <v>0</v>
      </c>
      <c r="J13" s="19" t="s">
        <v>56</v>
      </c>
      <c r="K13" s="19">
        <v>0</v>
      </c>
      <c r="L13" s="19">
        <v>0</v>
      </c>
      <c r="M13" s="19" t="s">
        <v>56</v>
      </c>
      <c r="N13" s="13">
        <f t="shared" si="35"/>
        <v>90169.554239999998</v>
      </c>
      <c r="O13" s="13">
        <f t="shared" si="36"/>
        <v>32968.600000000006</v>
      </c>
      <c r="P13" s="14">
        <f t="shared" si="21"/>
        <v>36.562895622450412</v>
      </c>
      <c r="Q13" s="19">
        <v>25796.9</v>
      </c>
      <c r="R13" s="19">
        <v>0</v>
      </c>
      <c r="S13" s="19">
        <f t="shared" si="37"/>
        <v>0</v>
      </c>
      <c r="T13" s="18">
        <v>0</v>
      </c>
      <c r="U13" s="19">
        <v>0</v>
      </c>
      <c r="V13" s="19" t="s">
        <v>56</v>
      </c>
      <c r="W13" s="18">
        <f>4709.3</f>
        <v>4709.3</v>
      </c>
      <c r="X13" s="19">
        <v>4709.3</v>
      </c>
      <c r="Y13" s="19">
        <f t="shared" si="1"/>
        <v>100</v>
      </c>
      <c r="Z13" s="18">
        <v>0</v>
      </c>
      <c r="AA13" s="19">
        <v>0</v>
      </c>
      <c r="AB13" s="19" t="s">
        <v>56</v>
      </c>
      <c r="AC13" s="18">
        <v>0</v>
      </c>
      <c r="AD13" s="19">
        <v>0</v>
      </c>
      <c r="AE13" s="19" t="s">
        <v>56</v>
      </c>
      <c r="AF13" s="18">
        <v>0</v>
      </c>
      <c r="AG13" s="19">
        <v>0</v>
      </c>
      <c r="AH13" s="19" t="s">
        <v>56</v>
      </c>
      <c r="AI13" s="18">
        <v>0</v>
      </c>
      <c r="AJ13" s="18">
        <v>0</v>
      </c>
      <c r="AK13" s="19" t="s">
        <v>56</v>
      </c>
      <c r="AL13" s="19">
        <v>805.1</v>
      </c>
      <c r="AM13" s="19">
        <v>693.4</v>
      </c>
      <c r="AN13" s="19">
        <f t="shared" si="2"/>
        <v>86.125947087318337</v>
      </c>
      <c r="AO13" s="19">
        <v>0</v>
      </c>
      <c r="AP13" s="19">
        <v>0</v>
      </c>
      <c r="AQ13" s="19" t="s">
        <v>56</v>
      </c>
      <c r="AR13" s="19">
        <v>0</v>
      </c>
      <c r="AS13" s="19">
        <v>0</v>
      </c>
      <c r="AT13" s="19" t="s">
        <v>56</v>
      </c>
      <c r="AU13" s="19">
        <v>1558.8</v>
      </c>
      <c r="AV13" s="19">
        <f>1558.8</f>
        <v>1558.8</v>
      </c>
      <c r="AW13" s="19">
        <f t="shared" si="48"/>
        <v>100</v>
      </c>
      <c r="AX13" s="19">
        <v>6307.7</v>
      </c>
      <c r="AY13" s="19">
        <v>1576.8</v>
      </c>
      <c r="AZ13" s="19">
        <f t="shared" si="38"/>
        <v>24.998018295099637</v>
      </c>
      <c r="BA13" s="18">
        <v>0</v>
      </c>
      <c r="BB13" s="19">
        <v>0</v>
      </c>
      <c r="BC13" s="19" t="s">
        <v>56</v>
      </c>
      <c r="BD13" s="18">
        <v>0</v>
      </c>
      <c r="BE13" s="19">
        <v>0</v>
      </c>
      <c r="BF13" s="19" t="s">
        <v>56</v>
      </c>
      <c r="BG13" s="18">
        <f>100654.24/1000</f>
        <v>100.65424</v>
      </c>
      <c r="BH13" s="19">
        <v>100.7</v>
      </c>
      <c r="BI13" s="19">
        <f t="shared" si="3"/>
        <v>100.0454625657101</v>
      </c>
      <c r="BJ13" s="18">
        <f>300000/1000</f>
        <v>300</v>
      </c>
      <c r="BK13" s="19">
        <v>300</v>
      </c>
      <c r="BL13" s="19">
        <f>(BK13/BJ13)*100</f>
        <v>100</v>
      </c>
      <c r="BM13" s="18">
        <v>0</v>
      </c>
      <c r="BN13" s="19">
        <v>0</v>
      </c>
      <c r="BO13" s="19" t="s">
        <v>56</v>
      </c>
      <c r="BP13" s="18">
        <v>0</v>
      </c>
      <c r="BQ13" s="19">
        <v>0</v>
      </c>
      <c r="BR13" s="19" t="s">
        <v>56</v>
      </c>
      <c r="BS13" s="18">
        <v>0</v>
      </c>
      <c r="BT13" s="19">
        <v>0</v>
      </c>
      <c r="BU13" s="19" t="s">
        <v>56</v>
      </c>
      <c r="BV13" s="18">
        <v>0</v>
      </c>
      <c r="BW13" s="19">
        <v>0</v>
      </c>
      <c r="BX13" s="19" t="s">
        <v>56</v>
      </c>
      <c r="BY13" s="19">
        <v>0</v>
      </c>
      <c r="BZ13" s="19">
        <v>0</v>
      </c>
      <c r="CA13" s="19" t="s">
        <v>56</v>
      </c>
      <c r="CB13" s="18">
        <f>1318.9</f>
        <v>1318.9</v>
      </c>
      <c r="CC13" s="18">
        <v>1318.9</v>
      </c>
      <c r="CD13" s="34">
        <v>100</v>
      </c>
      <c r="CE13" s="18">
        <v>2123.6</v>
      </c>
      <c r="CF13" s="18">
        <f>2853.2-814.2</f>
        <v>2038.9999999999998</v>
      </c>
      <c r="CG13" s="34">
        <f t="shared" si="22"/>
        <v>96.01619890751553</v>
      </c>
      <c r="CH13" s="34">
        <v>0</v>
      </c>
      <c r="CI13" s="34">
        <v>0</v>
      </c>
      <c r="CJ13" s="34" t="s">
        <v>56</v>
      </c>
      <c r="CK13" s="18">
        <v>1750</v>
      </c>
      <c r="CL13" s="18">
        <v>0</v>
      </c>
      <c r="CM13" s="34">
        <v>0</v>
      </c>
      <c r="CN13" s="18">
        <v>2298.4</v>
      </c>
      <c r="CO13" s="34">
        <f>2925.2-626.8</f>
        <v>2298.3999999999996</v>
      </c>
      <c r="CP13" s="34">
        <f t="shared" si="4"/>
        <v>99.999999999999972</v>
      </c>
      <c r="CQ13" s="34">
        <v>0</v>
      </c>
      <c r="CR13" s="34">
        <v>0</v>
      </c>
      <c r="CS13" s="34" t="s">
        <v>56</v>
      </c>
      <c r="CT13" s="34">
        <v>0</v>
      </c>
      <c r="CU13" s="34">
        <v>0</v>
      </c>
      <c r="CV13" s="34" t="s">
        <v>56</v>
      </c>
      <c r="CW13" s="34">
        <v>2930.3</v>
      </c>
      <c r="CX13" s="34">
        <v>1423.6</v>
      </c>
      <c r="CY13" s="34">
        <f t="shared" si="23"/>
        <v>48.582056444732615</v>
      </c>
      <c r="CZ13" s="34">
        <v>2035.7</v>
      </c>
      <c r="DA13" s="34">
        <v>0</v>
      </c>
      <c r="DB13" s="34">
        <f t="shared" si="49"/>
        <v>0</v>
      </c>
      <c r="DC13" s="34">
        <v>4000</v>
      </c>
      <c r="DD13" s="34">
        <v>2200</v>
      </c>
      <c r="DE13" s="35">
        <f>(DD13/DC13)*100</f>
        <v>55.000000000000007</v>
      </c>
      <c r="DF13" s="34">
        <v>0</v>
      </c>
      <c r="DG13" s="34">
        <v>0</v>
      </c>
      <c r="DH13" s="34" t="s">
        <v>56</v>
      </c>
      <c r="DI13" s="34">
        <v>0</v>
      </c>
      <c r="DJ13" s="34">
        <v>0</v>
      </c>
      <c r="DK13" s="34" t="s">
        <v>56</v>
      </c>
      <c r="DL13" s="34">
        <v>34134.199999999997</v>
      </c>
      <c r="DM13" s="34">
        <v>14749.7</v>
      </c>
      <c r="DN13" s="34">
        <f t="shared" si="24"/>
        <v>43.210914566622336</v>
      </c>
      <c r="DO13" s="34">
        <v>0</v>
      </c>
      <c r="DP13" s="34">
        <v>0</v>
      </c>
      <c r="DQ13" s="34" t="s">
        <v>56</v>
      </c>
      <c r="DR13" s="34">
        <v>0</v>
      </c>
      <c r="DS13" s="34">
        <v>0</v>
      </c>
      <c r="DT13" s="34" t="s">
        <v>56</v>
      </c>
      <c r="DU13" s="34">
        <v>0</v>
      </c>
      <c r="DV13" s="34">
        <v>0</v>
      </c>
      <c r="DW13" s="34" t="s">
        <v>56</v>
      </c>
      <c r="DX13" s="34">
        <v>0</v>
      </c>
      <c r="DY13" s="34">
        <v>0</v>
      </c>
      <c r="DZ13" s="34" t="s">
        <v>56</v>
      </c>
      <c r="EA13" s="18">
        <v>0</v>
      </c>
      <c r="EB13" s="19">
        <v>0</v>
      </c>
      <c r="EC13" s="34" t="s">
        <v>56</v>
      </c>
      <c r="ED13" s="18">
        <v>0</v>
      </c>
      <c r="EE13" s="19">
        <v>0</v>
      </c>
      <c r="EF13" s="34" t="s">
        <v>56</v>
      </c>
      <c r="EG13" s="13">
        <f t="shared" si="5"/>
        <v>341259.4</v>
      </c>
      <c r="EH13" s="13">
        <f t="shared" si="6"/>
        <v>237791.1</v>
      </c>
      <c r="EI13" s="14">
        <f t="shared" si="40"/>
        <v>69.680454223385496</v>
      </c>
      <c r="EJ13" s="36">
        <v>1963.3</v>
      </c>
      <c r="EK13" s="36">
        <v>1502.4</v>
      </c>
      <c r="EL13" s="19">
        <f t="shared" si="7"/>
        <v>76.524219426475838</v>
      </c>
      <c r="EM13" s="36">
        <v>0</v>
      </c>
      <c r="EN13" s="19">
        <v>0</v>
      </c>
      <c r="EO13" s="19" t="s">
        <v>56</v>
      </c>
      <c r="EP13" s="36">
        <v>0</v>
      </c>
      <c r="EQ13" s="19">
        <v>0</v>
      </c>
      <c r="ER13" s="19" t="s">
        <v>56</v>
      </c>
      <c r="ES13" s="36">
        <v>95668.9</v>
      </c>
      <c r="ET13" s="19">
        <v>51027.8</v>
      </c>
      <c r="EU13" s="19">
        <v>53.337918592144369</v>
      </c>
      <c r="EV13" s="34">
        <v>203114.5</v>
      </c>
      <c r="EW13" s="34">
        <v>162849</v>
      </c>
      <c r="EX13" s="35">
        <v>80.175959865002255</v>
      </c>
      <c r="EY13" s="36">
        <v>16509.5</v>
      </c>
      <c r="EZ13" s="34">
        <v>7930.7</v>
      </c>
      <c r="FA13" s="34">
        <f t="shared" si="25"/>
        <v>48.037190708380024</v>
      </c>
      <c r="FB13" s="36">
        <v>1605.8</v>
      </c>
      <c r="FC13" s="19">
        <v>0</v>
      </c>
      <c r="FD13" s="19">
        <f t="shared" si="11"/>
        <v>0</v>
      </c>
      <c r="FE13" s="36">
        <v>0</v>
      </c>
      <c r="FF13" s="19">
        <v>0</v>
      </c>
      <c r="FG13" s="19" t="s">
        <v>56</v>
      </c>
      <c r="FH13" s="36">
        <v>0</v>
      </c>
      <c r="FI13" s="19">
        <v>0</v>
      </c>
      <c r="FJ13" s="19" t="s">
        <v>56</v>
      </c>
      <c r="FK13" s="36">
        <v>0</v>
      </c>
      <c r="FL13" s="19">
        <v>0</v>
      </c>
      <c r="FM13" s="19" t="s">
        <v>56</v>
      </c>
      <c r="FN13" s="36">
        <v>175</v>
      </c>
      <c r="FO13" s="19">
        <v>131.4</v>
      </c>
      <c r="FP13" s="19">
        <f t="shared" si="13"/>
        <v>75.085714285714289</v>
      </c>
      <c r="FQ13" s="36">
        <v>4.9000000000000004</v>
      </c>
      <c r="FR13" s="19">
        <v>4.9000000000000004</v>
      </c>
      <c r="FS13" s="19">
        <f t="shared" si="14"/>
        <v>100</v>
      </c>
      <c r="FT13" s="36">
        <v>159.1</v>
      </c>
      <c r="FU13" s="19">
        <v>87.8</v>
      </c>
      <c r="FV13" s="19">
        <f t="shared" si="41"/>
        <v>55.185417976115652</v>
      </c>
      <c r="FW13" s="36">
        <v>0</v>
      </c>
      <c r="FX13" s="19">
        <v>0</v>
      </c>
      <c r="FY13" s="19" t="s">
        <v>56</v>
      </c>
      <c r="FZ13" s="36">
        <v>528</v>
      </c>
      <c r="GA13" s="19">
        <v>219.1</v>
      </c>
      <c r="GB13" s="19">
        <f t="shared" si="15"/>
        <v>41.496212121212118</v>
      </c>
      <c r="GC13" s="36">
        <v>198.4</v>
      </c>
      <c r="GD13" s="19">
        <v>148.80000000000001</v>
      </c>
      <c r="GE13" s="19">
        <f t="shared" si="16"/>
        <v>75</v>
      </c>
      <c r="GF13" s="36">
        <v>0</v>
      </c>
      <c r="GG13" s="19">
        <v>0</v>
      </c>
      <c r="GH13" s="19" t="s">
        <v>56</v>
      </c>
      <c r="GI13" s="37">
        <v>0</v>
      </c>
      <c r="GJ13" s="19">
        <v>0</v>
      </c>
      <c r="GK13" s="19" t="s">
        <v>56</v>
      </c>
      <c r="GL13" s="37">
        <v>1458.5</v>
      </c>
      <c r="GM13" s="19">
        <v>1020.7</v>
      </c>
      <c r="GN13" s="19">
        <f t="shared" si="17"/>
        <v>69.982859101816928</v>
      </c>
      <c r="GO13" s="36">
        <v>0</v>
      </c>
      <c r="GP13" s="36">
        <v>0</v>
      </c>
      <c r="GQ13" s="19" t="s">
        <v>56</v>
      </c>
      <c r="GR13" s="36">
        <v>99</v>
      </c>
      <c r="GS13" s="19">
        <v>74.2</v>
      </c>
      <c r="GT13" s="19">
        <f t="shared" ref="GT13:GT25" si="52">GS13/GR13%</f>
        <v>74.949494949494948</v>
      </c>
      <c r="GU13" s="36">
        <v>2576.8000000000002</v>
      </c>
      <c r="GV13" s="19">
        <v>250</v>
      </c>
      <c r="GW13" s="19">
        <f t="shared" si="51"/>
        <v>9.7019559143123253</v>
      </c>
      <c r="GX13" s="36">
        <v>0</v>
      </c>
      <c r="GY13" s="19">
        <v>0</v>
      </c>
      <c r="GZ13" s="19" t="s">
        <v>56</v>
      </c>
      <c r="HA13" s="36">
        <v>214</v>
      </c>
      <c r="HB13" s="19">
        <v>0</v>
      </c>
      <c r="HC13" s="19">
        <v>0</v>
      </c>
      <c r="HD13" s="19">
        <v>14893.7</v>
      </c>
      <c r="HE13" s="19">
        <v>10976.5</v>
      </c>
      <c r="HF13" s="38">
        <f t="shared" si="26"/>
        <v>73.698946534440736</v>
      </c>
      <c r="HG13" s="36">
        <v>2090</v>
      </c>
      <c r="HH13" s="19">
        <v>1567.8</v>
      </c>
      <c r="HI13" s="19">
        <f t="shared" si="27"/>
        <v>75.014354066985646</v>
      </c>
      <c r="HJ13" s="17">
        <f t="shared" si="28"/>
        <v>56684.3</v>
      </c>
      <c r="HK13" s="17">
        <f t="shared" si="29"/>
        <v>15374.9</v>
      </c>
      <c r="HL13" s="16">
        <f t="shared" si="30"/>
        <v>27.123736202087699</v>
      </c>
      <c r="HM13" s="34">
        <v>6640.2</v>
      </c>
      <c r="HN13" s="34">
        <v>1655.7</v>
      </c>
      <c r="HO13" s="35">
        <f t="shared" si="42"/>
        <v>24.934489925002261</v>
      </c>
      <c r="HP13" s="35">
        <v>0</v>
      </c>
      <c r="HQ13" s="35">
        <v>0</v>
      </c>
      <c r="HR13" s="35" t="s">
        <v>56</v>
      </c>
      <c r="HS13" s="35">
        <v>30300</v>
      </c>
      <c r="HT13" s="35">
        <v>2370</v>
      </c>
      <c r="HU13" s="35">
        <f t="shared" si="43"/>
        <v>7.8217821782178216</v>
      </c>
      <c r="HV13" s="35">
        <v>8394.9</v>
      </c>
      <c r="HW13" s="35">
        <v>0</v>
      </c>
      <c r="HX13" s="35">
        <f t="shared" si="44"/>
        <v>0</v>
      </c>
      <c r="HY13" s="34">
        <v>0</v>
      </c>
      <c r="HZ13" s="34">
        <v>0</v>
      </c>
      <c r="IA13" s="34" t="s">
        <v>56</v>
      </c>
      <c r="IB13" s="34">
        <v>109</v>
      </c>
      <c r="IC13" s="34">
        <v>109</v>
      </c>
      <c r="ID13" s="35">
        <f t="shared" si="31"/>
        <v>100</v>
      </c>
      <c r="IE13" s="34">
        <v>0</v>
      </c>
      <c r="IF13" s="34">
        <v>0</v>
      </c>
      <c r="IG13" s="35" t="s">
        <v>56</v>
      </c>
      <c r="IH13" s="18">
        <v>4054.8</v>
      </c>
      <c r="II13" s="19">
        <v>4054.8</v>
      </c>
      <c r="IJ13" s="19">
        <f t="shared" si="32"/>
        <v>100</v>
      </c>
      <c r="IK13" s="18">
        <v>0</v>
      </c>
      <c r="IL13" s="18">
        <v>0</v>
      </c>
      <c r="IM13" s="18" t="s">
        <v>56</v>
      </c>
      <c r="IN13" s="19">
        <v>0</v>
      </c>
      <c r="IO13" s="19">
        <v>0</v>
      </c>
      <c r="IP13" s="19" t="s">
        <v>56</v>
      </c>
      <c r="IQ13" s="19">
        <v>0</v>
      </c>
      <c r="IR13" s="19">
        <v>0</v>
      </c>
      <c r="IS13" s="21" t="s">
        <v>56</v>
      </c>
      <c r="IT13" s="19">
        <v>7113.5</v>
      </c>
      <c r="IU13" s="19">
        <v>7113.5</v>
      </c>
      <c r="IV13" s="21">
        <f>(IU13/IT13)*100</f>
        <v>100</v>
      </c>
      <c r="IW13" s="19">
        <v>0</v>
      </c>
      <c r="IX13" s="19">
        <v>0</v>
      </c>
      <c r="IY13" s="19" t="s">
        <v>56</v>
      </c>
      <c r="IZ13" s="19">
        <v>0</v>
      </c>
      <c r="JA13" s="19">
        <v>0</v>
      </c>
      <c r="JB13" s="21" t="s">
        <v>56</v>
      </c>
      <c r="JC13" s="19">
        <v>0</v>
      </c>
      <c r="JD13" s="19">
        <v>0</v>
      </c>
      <c r="JE13" s="19" t="s">
        <v>56</v>
      </c>
      <c r="JF13" s="19">
        <v>71.900000000000006</v>
      </c>
      <c r="JG13" s="19">
        <v>71.900000000000006</v>
      </c>
      <c r="JH13" s="25">
        <f>(JG13/JF13)*100</f>
        <v>100</v>
      </c>
      <c r="JI13" s="23">
        <v>0</v>
      </c>
      <c r="JJ13" s="19">
        <v>0</v>
      </c>
      <c r="JK13" s="25" t="s">
        <v>56</v>
      </c>
      <c r="JL13" s="19">
        <v>0</v>
      </c>
      <c r="JM13" s="19">
        <v>0</v>
      </c>
      <c r="JN13" s="21" t="s">
        <v>56</v>
      </c>
      <c r="JO13" s="19">
        <v>0</v>
      </c>
      <c r="JP13" s="19">
        <v>0</v>
      </c>
      <c r="JQ13" s="19" t="s">
        <v>56</v>
      </c>
      <c r="JR13" s="19">
        <v>0</v>
      </c>
      <c r="JS13" s="19">
        <v>0</v>
      </c>
      <c r="JT13" s="19" t="s">
        <v>56</v>
      </c>
      <c r="JU13" s="19">
        <v>0</v>
      </c>
      <c r="JV13" s="19">
        <v>0</v>
      </c>
      <c r="JW13" s="21" t="s">
        <v>56</v>
      </c>
      <c r="JX13" s="21">
        <v>0</v>
      </c>
      <c r="JY13" s="21">
        <v>0</v>
      </c>
      <c r="JZ13" s="21" t="s">
        <v>56</v>
      </c>
      <c r="KA13" s="21">
        <v>0</v>
      </c>
      <c r="KB13" s="21">
        <v>0</v>
      </c>
      <c r="KC13" s="21" t="s">
        <v>56</v>
      </c>
      <c r="KD13" s="14">
        <f t="shared" si="45"/>
        <v>680006.25424000004</v>
      </c>
      <c r="KE13" s="14">
        <f t="shared" si="46"/>
        <v>433240.80000000005</v>
      </c>
      <c r="KF13" s="14">
        <f t="shared" si="47"/>
        <v>63.711296373914372</v>
      </c>
      <c r="KG13" s="7"/>
      <c r="KH13" s="9"/>
      <c r="KJ13" s="9"/>
    </row>
    <row r="14" spans="1:296" ht="16.899999999999999" customHeight="1" x14ac:dyDescent="0.2">
      <c r="A14" s="27" t="s">
        <v>15</v>
      </c>
      <c r="B14" s="13">
        <f t="shared" si="20"/>
        <v>57636</v>
      </c>
      <c r="C14" s="13">
        <f t="shared" si="33"/>
        <v>57636</v>
      </c>
      <c r="D14" s="14">
        <f t="shared" si="34"/>
        <v>100</v>
      </c>
      <c r="E14" s="18">
        <v>57636</v>
      </c>
      <c r="F14" s="19">
        <v>57636</v>
      </c>
      <c r="G14" s="19">
        <f t="shared" si="0"/>
        <v>100</v>
      </c>
      <c r="H14" s="18">
        <v>0</v>
      </c>
      <c r="I14" s="19">
        <v>0</v>
      </c>
      <c r="J14" s="19" t="s">
        <v>56</v>
      </c>
      <c r="K14" s="19">
        <v>0</v>
      </c>
      <c r="L14" s="19">
        <v>0</v>
      </c>
      <c r="M14" s="19" t="s">
        <v>56</v>
      </c>
      <c r="N14" s="13">
        <f t="shared" si="35"/>
        <v>96607</v>
      </c>
      <c r="O14" s="13">
        <f t="shared" si="36"/>
        <v>39575.300000000003</v>
      </c>
      <c r="P14" s="14">
        <f t="shared" si="21"/>
        <v>40.965250965250966</v>
      </c>
      <c r="Q14" s="19">
        <v>4063.4</v>
      </c>
      <c r="R14" s="19">
        <v>866.1</v>
      </c>
      <c r="S14" s="19">
        <f t="shared" si="37"/>
        <v>21.314662597824483</v>
      </c>
      <c r="T14" s="18">
        <v>0</v>
      </c>
      <c r="U14" s="19">
        <v>0</v>
      </c>
      <c r="V14" s="19" t="s">
        <v>56</v>
      </c>
      <c r="W14" s="18">
        <v>10492.5</v>
      </c>
      <c r="X14" s="19">
        <v>10492.5</v>
      </c>
      <c r="Y14" s="19">
        <f t="shared" si="1"/>
        <v>100</v>
      </c>
      <c r="Z14" s="18">
        <f>1020.2</f>
        <v>1020.2</v>
      </c>
      <c r="AA14" s="19">
        <v>1020.2</v>
      </c>
      <c r="AB14" s="19">
        <f>AA14/Z14%</f>
        <v>100</v>
      </c>
      <c r="AC14" s="18">
        <v>0</v>
      </c>
      <c r="AD14" s="19">
        <v>0</v>
      </c>
      <c r="AE14" s="19" t="s">
        <v>56</v>
      </c>
      <c r="AF14" s="18">
        <v>0</v>
      </c>
      <c r="AG14" s="19">
        <v>0</v>
      </c>
      <c r="AH14" s="19" t="s">
        <v>56</v>
      </c>
      <c r="AI14" s="18">
        <v>0</v>
      </c>
      <c r="AJ14" s="18">
        <v>0</v>
      </c>
      <c r="AK14" s="19" t="s">
        <v>56</v>
      </c>
      <c r="AL14" s="19">
        <v>9481.5</v>
      </c>
      <c r="AM14" s="19">
        <v>0</v>
      </c>
      <c r="AN14" s="19">
        <f t="shared" si="2"/>
        <v>0</v>
      </c>
      <c r="AO14" s="19">
        <v>0</v>
      </c>
      <c r="AP14" s="19">
        <v>0</v>
      </c>
      <c r="AQ14" s="19" t="s">
        <v>56</v>
      </c>
      <c r="AR14" s="19">
        <v>0</v>
      </c>
      <c r="AS14" s="19">
        <v>0</v>
      </c>
      <c r="AT14" s="19" t="s">
        <v>56</v>
      </c>
      <c r="AU14" s="19">
        <v>2696.3</v>
      </c>
      <c r="AV14" s="19">
        <v>2696.3</v>
      </c>
      <c r="AW14" s="19">
        <f t="shared" si="48"/>
        <v>100</v>
      </c>
      <c r="AX14" s="19">
        <v>7865.8</v>
      </c>
      <c r="AY14" s="19">
        <v>1966.4</v>
      </c>
      <c r="AZ14" s="19">
        <f t="shared" si="38"/>
        <v>24.999364336748965</v>
      </c>
      <c r="BA14" s="18">
        <v>0</v>
      </c>
      <c r="BB14" s="19">
        <v>0</v>
      </c>
      <c r="BC14" s="19" t="s">
        <v>56</v>
      </c>
      <c r="BD14" s="18">
        <v>0</v>
      </c>
      <c r="BE14" s="19">
        <v>0</v>
      </c>
      <c r="BF14" s="19" t="s">
        <v>56</v>
      </c>
      <c r="BG14" s="18">
        <v>0</v>
      </c>
      <c r="BH14" s="19">
        <v>0</v>
      </c>
      <c r="BI14" s="19" t="s">
        <v>56</v>
      </c>
      <c r="BJ14" s="18">
        <v>0</v>
      </c>
      <c r="BK14" s="19">
        <v>0</v>
      </c>
      <c r="BL14" s="19" t="s">
        <v>56</v>
      </c>
      <c r="BM14" s="18">
        <v>0</v>
      </c>
      <c r="BN14" s="19">
        <v>0</v>
      </c>
      <c r="BO14" s="19" t="s">
        <v>56</v>
      </c>
      <c r="BP14" s="18">
        <v>0</v>
      </c>
      <c r="BQ14" s="19">
        <v>0</v>
      </c>
      <c r="BR14" s="19" t="s">
        <v>56</v>
      </c>
      <c r="BS14" s="18">
        <v>0</v>
      </c>
      <c r="BT14" s="19">
        <v>0</v>
      </c>
      <c r="BU14" s="19" t="s">
        <v>56</v>
      </c>
      <c r="BV14" s="18">
        <v>0</v>
      </c>
      <c r="BW14" s="19">
        <v>0</v>
      </c>
      <c r="BX14" s="19" t="s">
        <v>56</v>
      </c>
      <c r="BY14" s="19">
        <v>1301.2</v>
      </c>
      <c r="BZ14" s="19">
        <v>767.2</v>
      </c>
      <c r="CA14" s="19">
        <f t="shared" si="50"/>
        <v>58.960959114663389</v>
      </c>
      <c r="CB14" s="18">
        <v>0</v>
      </c>
      <c r="CC14" s="18">
        <v>0</v>
      </c>
      <c r="CD14" s="34" t="s">
        <v>56</v>
      </c>
      <c r="CE14" s="18">
        <v>1365</v>
      </c>
      <c r="CF14" s="18">
        <v>1029.8</v>
      </c>
      <c r="CG14" s="34">
        <f t="shared" si="22"/>
        <v>75.443223443223445</v>
      </c>
      <c r="CH14" s="34">
        <v>0</v>
      </c>
      <c r="CI14" s="34">
        <v>0</v>
      </c>
      <c r="CJ14" s="34" t="s">
        <v>56</v>
      </c>
      <c r="CK14" s="18">
        <v>2500</v>
      </c>
      <c r="CL14" s="18">
        <v>0</v>
      </c>
      <c r="CM14" s="34">
        <v>0</v>
      </c>
      <c r="CN14" s="18">
        <v>1727.6</v>
      </c>
      <c r="CO14" s="34">
        <f>3612.3-1884.7</f>
        <v>1727.6000000000001</v>
      </c>
      <c r="CP14" s="34">
        <f t="shared" si="4"/>
        <v>100.00000000000001</v>
      </c>
      <c r="CQ14" s="34">
        <v>0</v>
      </c>
      <c r="CR14" s="34">
        <v>0</v>
      </c>
      <c r="CS14" s="34" t="s">
        <v>56</v>
      </c>
      <c r="CT14" s="34">
        <v>0</v>
      </c>
      <c r="CU14" s="34">
        <v>0</v>
      </c>
      <c r="CV14" s="34" t="s">
        <v>56</v>
      </c>
      <c r="CW14" s="34">
        <v>0</v>
      </c>
      <c r="CX14" s="34">
        <v>0</v>
      </c>
      <c r="CY14" s="34" t="s">
        <v>56</v>
      </c>
      <c r="CZ14" s="34">
        <v>0</v>
      </c>
      <c r="DA14" s="34">
        <v>0</v>
      </c>
      <c r="DB14" s="34" t="s">
        <v>56</v>
      </c>
      <c r="DC14" s="34">
        <v>0</v>
      </c>
      <c r="DD14" s="34">
        <v>0</v>
      </c>
      <c r="DE14" s="35" t="s">
        <v>56</v>
      </c>
      <c r="DF14" s="34">
        <v>0</v>
      </c>
      <c r="DG14" s="34">
        <v>0</v>
      </c>
      <c r="DH14" s="34" t="s">
        <v>56</v>
      </c>
      <c r="DI14" s="34">
        <v>0</v>
      </c>
      <c r="DJ14" s="34">
        <v>0</v>
      </c>
      <c r="DK14" s="34" t="s">
        <v>56</v>
      </c>
      <c r="DL14" s="34">
        <v>23693.5</v>
      </c>
      <c r="DM14" s="34">
        <v>19009.2</v>
      </c>
      <c r="DN14" s="34">
        <f t="shared" si="24"/>
        <v>80.229598835123568</v>
      </c>
      <c r="DO14" s="34">
        <v>400</v>
      </c>
      <c r="DP14" s="34">
        <v>0</v>
      </c>
      <c r="DQ14" s="34">
        <f t="shared" si="39"/>
        <v>0</v>
      </c>
      <c r="DR14" s="34">
        <v>0</v>
      </c>
      <c r="DS14" s="34">
        <v>0</v>
      </c>
      <c r="DT14" s="34" t="s">
        <v>56</v>
      </c>
      <c r="DU14" s="34">
        <v>0</v>
      </c>
      <c r="DV14" s="34">
        <v>0</v>
      </c>
      <c r="DW14" s="34" t="s">
        <v>56</v>
      </c>
      <c r="DX14" s="34">
        <v>0</v>
      </c>
      <c r="DY14" s="34">
        <v>0</v>
      </c>
      <c r="DZ14" s="34" t="s">
        <v>56</v>
      </c>
      <c r="EA14" s="18">
        <v>30000</v>
      </c>
      <c r="EB14" s="19">
        <v>0</v>
      </c>
      <c r="EC14" s="34">
        <f>EB14/EA14%</f>
        <v>0</v>
      </c>
      <c r="ED14" s="18">
        <v>0</v>
      </c>
      <c r="EE14" s="19">
        <v>0</v>
      </c>
      <c r="EF14" s="34" t="s">
        <v>56</v>
      </c>
      <c r="EG14" s="13">
        <f t="shared" si="5"/>
        <v>314283.00000000006</v>
      </c>
      <c r="EH14" s="13">
        <f t="shared" si="6"/>
        <v>238806.89999999997</v>
      </c>
      <c r="EI14" s="14">
        <f t="shared" si="40"/>
        <v>75.984669867603372</v>
      </c>
      <c r="EJ14" s="36">
        <v>2416.3000000000002</v>
      </c>
      <c r="EK14" s="36">
        <v>1140.0999999999999</v>
      </c>
      <c r="EL14" s="19">
        <f t="shared" si="7"/>
        <v>47.18371063195795</v>
      </c>
      <c r="EM14" s="36">
        <v>0</v>
      </c>
      <c r="EN14" s="19">
        <v>0</v>
      </c>
      <c r="EO14" s="19" t="s">
        <v>56</v>
      </c>
      <c r="EP14" s="36">
        <v>0</v>
      </c>
      <c r="EQ14" s="19">
        <v>0</v>
      </c>
      <c r="ER14" s="19" t="s">
        <v>56</v>
      </c>
      <c r="ES14" s="36">
        <v>86765.8</v>
      </c>
      <c r="ET14" s="19">
        <v>60881.3</v>
      </c>
      <c r="EU14" s="19">
        <v>70.167393143381375</v>
      </c>
      <c r="EV14" s="34">
        <v>196246.2</v>
      </c>
      <c r="EW14" s="34">
        <v>157031.6</v>
      </c>
      <c r="EX14" s="35">
        <v>80.017651297197091</v>
      </c>
      <c r="EY14" s="36">
        <v>5491</v>
      </c>
      <c r="EZ14" s="34">
        <v>2818.1</v>
      </c>
      <c r="FA14" s="34">
        <f t="shared" si="25"/>
        <v>51.322163540338735</v>
      </c>
      <c r="FB14" s="36">
        <v>1933.9</v>
      </c>
      <c r="FC14" s="19">
        <v>1439.3</v>
      </c>
      <c r="FD14" s="19">
        <f t="shared" si="11"/>
        <v>74.424737576917096</v>
      </c>
      <c r="FE14" s="36">
        <v>0</v>
      </c>
      <c r="FF14" s="19">
        <v>0</v>
      </c>
      <c r="FG14" s="19" t="s">
        <v>56</v>
      </c>
      <c r="FH14" s="36">
        <v>0</v>
      </c>
      <c r="FI14" s="19">
        <v>0</v>
      </c>
      <c r="FJ14" s="19" t="s">
        <v>56</v>
      </c>
      <c r="FK14" s="36">
        <v>21.6</v>
      </c>
      <c r="FL14" s="19">
        <v>0</v>
      </c>
      <c r="FM14" s="19">
        <f t="shared" si="12"/>
        <v>0</v>
      </c>
      <c r="FN14" s="36">
        <v>140</v>
      </c>
      <c r="FO14" s="19">
        <v>105.3</v>
      </c>
      <c r="FP14" s="19">
        <f t="shared" si="13"/>
        <v>75.214285714285722</v>
      </c>
      <c r="FQ14" s="36">
        <v>2.4</v>
      </c>
      <c r="FR14" s="19">
        <v>2.4</v>
      </c>
      <c r="FS14" s="19">
        <f t="shared" si="14"/>
        <v>100</v>
      </c>
      <c r="FT14" s="36">
        <v>63.6</v>
      </c>
      <c r="FU14" s="19">
        <v>37.299999999999997</v>
      </c>
      <c r="FV14" s="19">
        <f t="shared" si="41"/>
        <v>58.647798742138356</v>
      </c>
      <c r="FW14" s="36">
        <v>0.5</v>
      </c>
      <c r="FX14" s="19">
        <v>0</v>
      </c>
      <c r="FY14" s="19">
        <f>FX14/FW14%</f>
        <v>0</v>
      </c>
      <c r="FZ14" s="36">
        <v>582.29999999999995</v>
      </c>
      <c r="GA14" s="19">
        <v>276.7</v>
      </c>
      <c r="GB14" s="19">
        <f t="shared" si="15"/>
        <v>47.518461274257255</v>
      </c>
      <c r="GC14" s="36">
        <v>209.9</v>
      </c>
      <c r="GD14" s="19">
        <v>209.9</v>
      </c>
      <c r="GE14" s="19">
        <f t="shared" si="16"/>
        <v>100</v>
      </c>
      <c r="GF14" s="36">
        <v>0</v>
      </c>
      <c r="GG14" s="19">
        <v>0</v>
      </c>
      <c r="GH14" s="19" t="s">
        <v>56</v>
      </c>
      <c r="GI14" s="37">
        <v>0</v>
      </c>
      <c r="GJ14" s="19">
        <v>0</v>
      </c>
      <c r="GK14" s="19" t="s">
        <v>56</v>
      </c>
      <c r="GL14" s="37">
        <v>2067.6999999999998</v>
      </c>
      <c r="GM14" s="19">
        <v>1230.2</v>
      </c>
      <c r="GN14" s="19">
        <f t="shared" si="17"/>
        <v>59.496058422401703</v>
      </c>
      <c r="GO14" s="36">
        <v>0</v>
      </c>
      <c r="GP14" s="36">
        <v>0</v>
      </c>
      <c r="GQ14" s="19" t="s">
        <v>56</v>
      </c>
      <c r="GR14" s="36">
        <v>260</v>
      </c>
      <c r="GS14" s="19">
        <v>208.8</v>
      </c>
      <c r="GT14" s="19">
        <f t="shared" si="52"/>
        <v>80.307692307692307</v>
      </c>
      <c r="GU14" s="36">
        <v>460.8</v>
      </c>
      <c r="GV14" s="19">
        <v>202.1</v>
      </c>
      <c r="GW14" s="19">
        <f t="shared" si="51"/>
        <v>43.858506944444436</v>
      </c>
      <c r="GX14" s="36">
        <v>1040.5</v>
      </c>
      <c r="GY14" s="19">
        <v>0</v>
      </c>
      <c r="GZ14" s="19">
        <f>GY14/GX14%</f>
        <v>0</v>
      </c>
      <c r="HA14" s="36">
        <v>285.39999999999998</v>
      </c>
      <c r="HB14" s="19">
        <v>0</v>
      </c>
      <c r="HC14" s="19">
        <v>0</v>
      </c>
      <c r="HD14" s="19">
        <v>13147.1</v>
      </c>
      <c r="HE14" s="19">
        <v>10249.4</v>
      </c>
      <c r="HF14" s="38">
        <f t="shared" si="26"/>
        <v>77.959397890028967</v>
      </c>
      <c r="HG14" s="36">
        <v>3148</v>
      </c>
      <c r="HH14" s="19">
        <v>2974.4</v>
      </c>
      <c r="HI14" s="19">
        <f t="shared" si="27"/>
        <v>94.485387547649296</v>
      </c>
      <c r="HJ14" s="17">
        <f t="shared" si="28"/>
        <v>26447.600000000002</v>
      </c>
      <c r="HK14" s="17">
        <f t="shared" si="29"/>
        <v>4769.3</v>
      </c>
      <c r="HL14" s="16">
        <f t="shared" si="30"/>
        <v>18.033016228315613</v>
      </c>
      <c r="HM14" s="34">
        <v>6679.3</v>
      </c>
      <c r="HN14" s="34">
        <v>0</v>
      </c>
      <c r="HO14" s="35">
        <f t="shared" si="42"/>
        <v>0</v>
      </c>
      <c r="HP14" s="35">
        <v>0</v>
      </c>
      <c r="HQ14" s="35">
        <v>0</v>
      </c>
      <c r="HR14" s="35" t="s">
        <v>56</v>
      </c>
      <c r="HS14" s="35">
        <v>6410</v>
      </c>
      <c r="HT14" s="35">
        <v>1037.4000000000001</v>
      </c>
      <c r="HU14" s="35">
        <f t="shared" si="43"/>
        <v>16.184087363494541</v>
      </c>
      <c r="HV14" s="35">
        <v>0</v>
      </c>
      <c r="HW14" s="35">
        <v>0</v>
      </c>
      <c r="HX14" s="35" t="s">
        <v>56</v>
      </c>
      <c r="HY14" s="34">
        <v>0</v>
      </c>
      <c r="HZ14" s="34">
        <v>0</v>
      </c>
      <c r="IA14" s="34" t="s">
        <v>56</v>
      </c>
      <c r="IB14" s="34">
        <v>124</v>
      </c>
      <c r="IC14" s="34">
        <v>124</v>
      </c>
      <c r="ID14" s="35">
        <f t="shared" si="31"/>
        <v>100</v>
      </c>
      <c r="IE14" s="34">
        <v>0</v>
      </c>
      <c r="IF14" s="34">
        <v>0</v>
      </c>
      <c r="IG14" s="35" t="s">
        <v>56</v>
      </c>
      <c r="IH14" s="18">
        <v>7296.1</v>
      </c>
      <c r="II14" s="19">
        <v>0</v>
      </c>
      <c r="IJ14" s="19">
        <f t="shared" si="32"/>
        <v>0</v>
      </c>
      <c r="IK14" s="18">
        <v>0</v>
      </c>
      <c r="IL14" s="18">
        <v>0</v>
      </c>
      <c r="IM14" s="18" t="s">
        <v>56</v>
      </c>
      <c r="IN14" s="19">
        <v>0</v>
      </c>
      <c r="IO14" s="19">
        <v>0</v>
      </c>
      <c r="IP14" s="19" t="s">
        <v>56</v>
      </c>
      <c r="IQ14" s="19">
        <v>0</v>
      </c>
      <c r="IR14" s="19">
        <v>0</v>
      </c>
      <c r="IS14" s="21" t="s">
        <v>56</v>
      </c>
      <c r="IT14" s="19">
        <v>2649.9</v>
      </c>
      <c r="IU14" s="19">
        <v>1002.9</v>
      </c>
      <c r="IV14" s="21">
        <f>(IU14/IT14)*100</f>
        <v>37.846711196648933</v>
      </c>
      <c r="IW14" s="19">
        <v>0</v>
      </c>
      <c r="IX14" s="19">
        <v>0</v>
      </c>
      <c r="IY14" s="19" t="s">
        <v>56</v>
      </c>
      <c r="IZ14" s="19">
        <v>0</v>
      </c>
      <c r="JA14" s="19">
        <v>0</v>
      </c>
      <c r="JB14" s="21" t="s">
        <v>56</v>
      </c>
      <c r="JC14" s="19">
        <v>0</v>
      </c>
      <c r="JD14" s="19">
        <v>0</v>
      </c>
      <c r="JE14" s="19" t="s">
        <v>56</v>
      </c>
      <c r="JF14" s="19">
        <v>26.8</v>
      </c>
      <c r="JG14" s="19">
        <v>10.1</v>
      </c>
      <c r="JH14" s="25">
        <f>(JG14/JF14)*100</f>
        <v>37.686567164179102</v>
      </c>
      <c r="JI14" s="23">
        <v>0</v>
      </c>
      <c r="JJ14" s="19">
        <v>0</v>
      </c>
      <c r="JK14" s="25" t="s">
        <v>56</v>
      </c>
      <c r="JL14" s="19">
        <v>3261.5</v>
      </c>
      <c r="JM14" s="19">
        <v>2594.9</v>
      </c>
      <c r="JN14" s="21">
        <f>(JM14/JL14)*100</f>
        <v>79.561551433389539</v>
      </c>
      <c r="JO14" s="19">
        <v>0</v>
      </c>
      <c r="JP14" s="19">
        <v>0</v>
      </c>
      <c r="JQ14" s="19" t="s">
        <v>56</v>
      </c>
      <c r="JR14" s="19">
        <v>0</v>
      </c>
      <c r="JS14" s="19">
        <v>0</v>
      </c>
      <c r="JT14" s="19" t="s">
        <v>56</v>
      </c>
      <c r="JU14" s="19">
        <v>0</v>
      </c>
      <c r="JV14" s="19">
        <v>0</v>
      </c>
      <c r="JW14" s="21" t="s">
        <v>56</v>
      </c>
      <c r="JX14" s="21">
        <v>0</v>
      </c>
      <c r="JY14" s="21">
        <v>0</v>
      </c>
      <c r="JZ14" s="21" t="s">
        <v>56</v>
      </c>
      <c r="KA14" s="21">
        <v>0</v>
      </c>
      <c r="KB14" s="21">
        <v>0</v>
      </c>
      <c r="KC14" s="21" t="s">
        <v>56</v>
      </c>
      <c r="KD14" s="14">
        <f t="shared" si="45"/>
        <v>494973.60000000003</v>
      </c>
      <c r="KE14" s="14">
        <f t="shared" si="46"/>
        <v>340787.49999999994</v>
      </c>
      <c r="KF14" s="14">
        <f t="shared" si="47"/>
        <v>68.849631576310315</v>
      </c>
      <c r="KG14" s="7"/>
      <c r="KH14" s="9"/>
      <c r="KJ14" s="9"/>
    </row>
    <row r="15" spans="1:296" x14ac:dyDescent="0.2">
      <c r="A15" s="27" t="s">
        <v>16</v>
      </c>
      <c r="B15" s="13">
        <f t="shared" si="20"/>
        <v>98644</v>
      </c>
      <c r="C15" s="13">
        <f t="shared" si="33"/>
        <v>0</v>
      </c>
      <c r="D15" s="14">
        <f t="shared" si="34"/>
        <v>0</v>
      </c>
      <c r="E15" s="18">
        <v>98644</v>
      </c>
      <c r="F15" s="19">
        <v>0</v>
      </c>
      <c r="G15" s="19">
        <f t="shared" si="0"/>
        <v>0</v>
      </c>
      <c r="H15" s="18">
        <v>0</v>
      </c>
      <c r="I15" s="19">
        <v>0</v>
      </c>
      <c r="J15" s="19" t="s">
        <v>56</v>
      </c>
      <c r="K15" s="19">
        <v>0</v>
      </c>
      <c r="L15" s="19">
        <v>0</v>
      </c>
      <c r="M15" s="19" t="s">
        <v>56</v>
      </c>
      <c r="N15" s="13">
        <f t="shared" si="35"/>
        <v>153818.45274000001</v>
      </c>
      <c r="O15" s="13">
        <f t="shared" si="36"/>
        <v>126689.20000000001</v>
      </c>
      <c r="P15" s="14">
        <f t="shared" si="21"/>
        <v>82.362810016132016</v>
      </c>
      <c r="Q15" s="19">
        <v>0</v>
      </c>
      <c r="R15" s="19">
        <v>0</v>
      </c>
      <c r="S15" s="19" t="s">
        <v>56</v>
      </c>
      <c r="T15" s="18">
        <v>0</v>
      </c>
      <c r="U15" s="19">
        <v>0</v>
      </c>
      <c r="V15" s="19" t="s">
        <v>56</v>
      </c>
      <c r="W15" s="18">
        <v>0</v>
      </c>
      <c r="X15" s="19">
        <v>0</v>
      </c>
      <c r="Y15" s="19" t="s">
        <v>56</v>
      </c>
      <c r="Z15" s="18">
        <v>0</v>
      </c>
      <c r="AA15" s="19">
        <v>0</v>
      </c>
      <c r="AB15" s="19" t="s">
        <v>56</v>
      </c>
      <c r="AC15" s="18">
        <f>76077.6</f>
        <v>76077.600000000006</v>
      </c>
      <c r="AD15" s="19">
        <v>76077.600000000006</v>
      </c>
      <c r="AE15" s="19">
        <v>100</v>
      </c>
      <c r="AF15" s="18">
        <f>28596.1</f>
        <v>28596.1</v>
      </c>
      <c r="AG15" s="19">
        <v>28596.1</v>
      </c>
      <c r="AH15" s="19">
        <f>AG15/AF15%</f>
        <v>99.999999999999986</v>
      </c>
      <c r="AI15" s="18">
        <v>0</v>
      </c>
      <c r="AJ15" s="18">
        <v>0</v>
      </c>
      <c r="AK15" s="19" t="s">
        <v>56</v>
      </c>
      <c r="AL15" s="19">
        <v>2729.8</v>
      </c>
      <c r="AM15" s="19">
        <v>807.4</v>
      </c>
      <c r="AN15" s="19">
        <f t="shared" si="2"/>
        <v>29.577258407209317</v>
      </c>
      <c r="AO15" s="19">
        <f>4901.8</f>
        <v>4901.8</v>
      </c>
      <c r="AP15" s="19">
        <v>0</v>
      </c>
      <c r="AQ15" s="19">
        <v>0</v>
      </c>
      <c r="AR15" s="19">
        <v>0</v>
      </c>
      <c r="AS15" s="19">
        <v>0</v>
      </c>
      <c r="AT15" s="19" t="s">
        <v>56</v>
      </c>
      <c r="AU15" s="19">
        <v>0</v>
      </c>
      <c r="AV15" s="19">
        <v>0</v>
      </c>
      <c r="AW15" s="19" t="s">
        <v>56</v>
      </c>
      <c r="AX15" s="19">
        <v>2793.2</v>
      </c>
      <c r="AY15" s="19">
        <v>577.79999999999995</v>
      </c>
      <c r="AZ15" s="19">
        <f t="shared" si="38"/>
        <v>20.685951596734927</v>
      </c>
      <c r="BA15" s="18">
        <v>0</v>
      </c>
      <c r="BB15" s="19">
        <v>0</v>
      </c>
      <c r="BC15" s="19" t="s">
        <v>56</v>
      </c>
      <c r="BD15" s="18">
        <v>0</v>
      </c>
      <c r="BE15" s="19">
        <v>0</v>
      </c>
      <c r="BF15" s="19" t="s">
        <v>56</v>
      </c>
      <c r="BG15" s="18">
        <v>0</v>
      </c>
      <c r="BH15" s="19">
        <v>0</v>
      </c>
      <c r="BI15" s="19" t="s">
        <v>56</v>
      </c>
      <c r="BJ15" s="18">
        <v>0</v>
      </c>
      <c r="BK15" s="19">
        <v>0</v>
      </c>
      <c r="BL15" s="19" t="s">
        <v>56</v>
      </c>
      <c r="BM15" s="18">
        <v>0</v>
      </c>
      <c r="BN15" s="19">
        <v>0</v>
      </c>
      <c r="BO15" s="19" t="s">
        <v>56</v>
      </c>
      <c r="BP15" s="18">
        <f>599752.74/1000</f>
        <v>599.75274000000002</v>
      </c>
      <c r="BQ15" s="19">
        <v>0</v>
      </c>
      <c r="BR15" s="19">
        <f>BQ15/BP15%</f>
        <v>0</v>
      </c>
      <c r="BS15" s="18">
        <v>0</v>
      </c>
      <c r="BT15" s="19">
        <v>0</v>
      </c>
      <c r="BU15" s="19" t="s">
        <v>56</v>
      </c>
      <c r="BV15" s="18">
        <v>0</v>
      </c>
      <c r="BW15" s="19">
        <v>0</v>
      </c>
      <c r="BX15" s="19" t="s">
        <v>56</v>
      </c>
      <c r="BY15" s="19">
        <v>2679.2</v>
      </c>
      <c r="BZ15" s="19">
        <v>1620.7</v>
      </c>
      <c r="CA15" s="19">
        <f t="shared" si="50"/>
        <v>60.491937891908044</v>
      </c>
      <c r="CB15" s="18">
        <f>227.1</f>
        <v>227.1</v>
      </c>
      <c r="CC15" s="18">
        <f>227.1</f>
        <v>227.1</v>
      </c>
      <c r="CD15" s="34">
        <v>100</v>
      </c>
      <c r="CE15" s="18">
        <v>0</v>
      </c>
      <c r="CF15" s="18">
        <v>0</v>
      </c>
      <c r="CG15" s="34" t="s">
        <v>56</v>
      </c>
      <c r="CH15" s="34">
        <v>0</v>
      </c>
      <c r="CI15" s="34">
        <v>0</v>
      </c>
      <c r="CJ15" s="34" t="s">
        <v>56</v>
      </c>
      <c r="CK15" s="18">
        <v>2000</v>
      </c>
      <c r="CL15" s="18">
        <v>0</v>
      </c>
      <c r="CM15" s="34">
        <v>0</v>
      </c>
      <c r="CN15" s="18">
        <v>12901.8</v>
      </c>
      <c r="CO15" s="34">
        <f>20052.6-7150.8</f>
        <v>12901.8</v>
      </c>
      <c r="CP15" s="34">
        <f t="shared" si="4"/>
        <v>100</v>
      </c>
      <c r="CQ15" s="34">
        <v>174.5</v>
      </c>
      <c r="CR15" s="34">
        <v>0</v>
      </c>
      <c r="CS15" s="34">
        <v>0</v>
      </c>
      <c r="CT15" s="34">
        <v>0</v>
      </c>
      <c r="CU15" s="34">
        <v>0</v>
      </c>
      <c r="CV15" s="34" t="s">
        <v>56</v>
      </c>
      <c r="CW15" s="34">
        <v>0</v>
      </c>
      <c r="CX15" s="34">
        <v>0</v>
      </c>
      <c r="CY15" s="34" t="s">
        <v>56</v>
      </c>
      <c r="CZ15" s="34">
        <v>0</v>
      </c>
      <c r="DA15" s="34">
        <v>0</v>
      </c>
      <c r="DB15" s="34" t="s">
        <v>56</v>
      </c>
      <c r="DC15" s="34">
        <v>0</v>
      </c>
      <c r="DD15" s="34">
        <v>0</v>
      </c>
      <c r="DE15" s="35" t="s">
        <v>56</v>
      </c>
      <c r="DF15" s="34">
        <v>0</v>
      </c>
      <c r="DG15" s="34">
        <v>0</v>
      </c>
      <c r="DH15" s="34" t="s">
        <v>56</v>
      </c>
      <c r="DI15" s="34">
        <v>0</v>
      </c>
      <c r="DJ15" s="34">
        <v>0</v>
      </c>
      <c r="DK15" s="34" t="s">
        <v>56</v>
      </c>
      <c r="DL15" s="34">
        <v>20037.599999999999</v>
      </c>
      <c r="DM15" s="34">
        <v>5855.7</v>
      </c>
      <c r="DN15" s="34">
        <f t="shared" si="24"/>
        <v>29.22355970774943</v>
      </c>
      <c r="DO15" s="34">
        <v>100</v>
      </c>
      <c r="DP15" s="34">
        <v>25</v>
      </c>
      <c r="DQ15" s="34">
        <f t="shared" si="39"/>
        <v>25</v>
      </c>
      <c r="DR15" s="34">
        <v>0</v>
      </c>
      <c r="DS15" s="34">
        <v>0</v>
      </c>
      <c r="DT15" s="34" t="s">
        <v>56</v>
      </c>
      <c r="DU15" s="34">
        <v>0</v>
      </c>
      <c r="DV15" s="34">
        <v>0</v>
      </c>
      <c r="DW15" s="34" t="s">
        <v>56</v>
      </c>
      <c r="DX15" s="34">
        <v>0</v>
      </c>
      <c r="DY15" s="34">
        <v>0</v>
      </c>
      <c r="DZ15" s="34" t="s">
        <v>56</v>
      </c>
      <c r="EA15" s="18">
        <v>0</v>
      </c>
      <c r="EB15" s="19">
        <v>0</v>
      </c>
      <c r="EC15" s="34" t="s">
        <v>56</v>
      </c>
      <c r="ED15" s="18">
        <v>0</v>
      </c>
      <c r="EE15" s="19">
        <v>0</v>
      </c>
      <c r="EF15" s="34" t="s">
        <v>56</v>
      </c>
      <c r="EG15" s="13">
        <f t="shared" si="5"/>
        <v>195111.47799999994</v>
      </c>
      <c r="EH15" s="13">
        <f t="shared" si="6"/>
        <v>139161</v>
      </c>
      <c r="EI15" s="14">
        <f t="shared" si="40"/>
        <v>71.323840824987258</v>
      </c>
      <c r="EJ15" s="36">
        <v>1154.5</v>
      </c>
      <c r="EK15" s="36">
        <v>666</v>
      </c>
      <c r="EL15" s="19">
        <f t="shared" si="7"/>
        <v>57.687310524036377</v>
      </c>
      <c r="EM15" s="36">
        <v>0</v>
      </c>
      <c r="EN15" s="19">
        <v>0</v>
      </c>
      <c r="EO15" s="19" t="s">
        <v>56</v>
      </c>
      <c r="EP15" s="36">
        <f>278/1000</f>
        <v>0.27800000000000002</v>
      </c>
      <c r="EQ15" s="19">
        <v>0</v>
      </c>
      <c r="ER15" s="19">
        <f t="shared" si="10"/>
        <v>0</v>
      </c>
      <c r="ES15" s="36">
        <v>59444</v>
      </c>
      <c r="ET15" s="19">
        <v>38942</v>
      </c>
      <c r="EU15" s="19">
        <v>65.510396339411884</v>
      </c>
      <c r="EV15" s="34">
        <v>116763.6</v>
      </c>
      <c r="EW15" s="34">
        <v>90462.5</v>
      </c>
      <c r="EX15" s="35">
        <v>77.474915127659642</v>
      </c>
      <c r="EY15" s="36">
        <v>2117.6999999999998</v>
      </c>
      <c r="EZ15" s="34">
        <v>717.4</v>
      </c>
      <c r="FA15" s="34">
        <f t="shared" si="25"/>
        <v>33.8763753128394</v>
      </c>
      <c r="FB15" s="36">
        <v>287</v>
      </c>
      <c r="FC15" s="19">
        <v>78.2</v>
      </c>
      <c r="FD15" s="19">
        <f t="shared" si="11"/>
        <v>27.247386759581882</v>
      </c>
      <c r="FE15" s="36">
        <v>0</v>
      </c>
      <c r="FF15" s="19">
        <v>0</v>
      </c>
      <c r="FG15" s="19" t="s">
        <v>56</v>
      </c>
      <c r="FH15" s="36">
        <v>27.3</v>
      </c>
      <c r="FI15" s="19">
        <v>0.7</v>
      </c>
      <c r="FJ15" s="19">
        <f>FI15/FH15%</f>
        <v>2.5641025641025639</v>
      </c>
      <c r="FK15" s="36">
        <v>589.9</v>
      </c>
      <c r="FL15" s="19">
        <v>312.3</v>
      </c>
      <c r="FM15" s="19">
        <f t="shared" si="12"/>
        <v>52.941176470588239</v>
      </c>
      <c r="FN15" s="36">
        <v>87.5</v>
      </c>
      <c r="FO15" s="19">
        <v>65.7</v>
      </c>
      <c r="FP15" s="19">
        <f t="shared" si="13"/>
        <v>75.085714285714289</v>
      </c>
      <c r="FQ15" s="36">
        <v>3.1</v>
      </c>
      <c r="FR15" s="19">
        <v>3.1</v>
      </c>
      <c r="FS15" s="19">
        <f t="shared" si="14"/>
        <v>100</v>
      </c>
      <c r="FT15" s="36">
        <v>31.8</v>
      </c>
      <c r="FU15" s="19">
        <v>24.3</v>
      </c>
      <c r="FV15" s="19">
        <f t="shared" si="41"/>
        <v>76.415094339622641</v>
      </c>
      <c r="FW15" s="36">
        <v>0</v>
      </c>
      <c r="FX15" s="19">
        <v>0</v>
      </c>
      <c r="FY15" s="19" t="s">
        <v>56</v>
      </c>
      <c r="FZ15" s="36">
        <v>663.9</v>
      </c>
      <c r="GA15" s="19">
        <v>404.8</v>
      </c>
      <c r="GB15" s="19">
        <f t="shared" si="15"/>
        <v>60.973038108148828</v>
      </c>
      <c r="GC15" s="36">
        <v>252.9</v>
      </c>
      <c r="GD15" s="19">
        <v>228.5</v>
      </c>
      <c r="GE15" s="19">
        <f t="shared" si="16"/>
        <v>90.351917754052991</v>
      </c>
      <c r="GF15" s="36">
        <v>371.6</v>
      </c>
      <c r="GG15" s="19">
        <v>278.7</v>
      </c>
      <c r="GH15" s="19">
        <f>GG15/GF15%</f>
        <v>75</v>
      </c>
      <c r="GI15" s="37">
        <v>0</v>
      </c>
      <c r="GJ15" s="19">
        <v>0</v>
      </c>
      <c r="GK15" s="19" t="s">
        <v>56</v>
      </c>
      <c r="GL15" s="37">
        <v>1512.5</v>
      </c>
      <c r="GM15" s="19">
        <v>1059.5</v>
      </c>
      <c r="GN15" s="19">
        <f t="shared" si="17"/>
        <v>70.049586776859499</v>
      </c>
      <c r="GO15" s="36">
        <v>0</v>
      </c>
      <c r="GP15" s="36">
        <v>0</v>
      </c>
      <c r="GQ15" s="19" t="s">
        <v>56</v>
      </c>
      <c r="GR15" s="36">
        <v>0</v>
      </c>
      <c r="GS15" s="19">
        <v>0</v>
      </c>
      <c r="GT15" s="19" t="s">
        <v>56</v>
      </c>
      <c r="GU15" s="36">
        <v>190.3</v>
      </c>
      <c r="GV15" s="19">
        <v>39.700000000000003</v>
      </c>
      <c r="GW15" s="19">
        <f t="shared" si="51"/>
        <v>20.861797162375197</v>
      </c>
      <c r="GX15" s="36">
        <v>0</v>
      </c>
      <c r="GY15" s="19">
        <v>0</v>
      </c>
      <c r="GZ15" s="19" t="s">
        <v>56</v>
      </c>
      <c r="HA15" s="36">
        <v>181.8</v>
      </c>
      <c r="HB15" s="19">
        <v>0</v>
      </c>
      <c r="HC15" s="19">
        <v>0</v>
      </c>
      <c r="HD15" s="19">
        <v>10284.799999999999</v>
      </c>
      <c r="HE15" s="19">
        <v>5782</v>
      </c>
      <c r="HF15" s="38">
        <f t="shared" si="26"/>
        <v>56.21888612321095</v>
      </c>
      <c r="HG15" s="36">
        <v>1147</v>
      </c>
      <c r="HH15" s="19">
        <v>95.6</v>
      </c>
      <c r="HI15" s="19">
        <f t="shared" si="27"/>
        <v>8.3347863993025282</v>
      </c>
      <c r="HJ15" s="17">
        <f t="shared" si="28"/>
        <v>198815.50000000003</v>
      </c>
      <c r="HK15" s="17">
        <f t="shared" si="29"/>
        <v>77242.400000000009</v>
      </c>
      <c r="HL15" s="16">
        <f t="shared" si="30"/>
        <v>38.851296805329561</v>
      </c>
      <c r="HM15" s="34">
        <v>3281</v>
      </c>
      <c r="HN15" s="34">
        <v>0</v>
      </c>
      <c r="HO15" s="35">
        <f t="shared" si="42"/>
        <v>0</v>
      </c>
      <c r="HP15" s="35">
        <v>0</v>
      </c>
      <c r="HQ15" s="35">
        <v>0</v>
      </c>
      <c r="HR15" s="35" t="s">
        <v>56</v>
      </c>
      <c r="HS15" s="35">
        <v>5700</v>
      </c>
      <c r="HT15" s="35">
        <v>0</v>
      </c>
      <c r="HU15" s="35">
        <f t="shared" si="43"/>
        <v>0</v>
      </c>
      <c r="HV15" s="35">
        <v>0</v>
      </c>
      <c r="HW15" s="35">
        <v>0</v>
      </c>
      <c r="HX15" s="35" t="s">
        <v>56</v>
      </c>
      <c r="HY15" s="34">
        <v>0</v>
      </c>
      <c r="HZ15" s="34">
        <v>0</v>
      </c>
      <c r="IA15" s="34" t="s">
        <v>56</v>
      </c>
      <c r="IB15" s="34">
        <v>109</v>
      </c>
      <c r="IC15" s="34">
        <v>109</v>
      </c>
      <c r="ID15" s="35">
        <f t="shared" si="31"/>
        <v>100</v>
      </c>
      <c r="IE15" s="34">
        <v>0</v>
      </c>
      <c r="IF15" s="34">
        <v>0</v>
      </c>
      <c r="IG15" s="35" t="s">
        <v>56</v>
      </c>
      <c r="IH15" s="18">
        <v>2554.6999999999998</v>
      </c>
      <c r="II15" s="19">
        <v>2554.6999999999998</v>
      </c>
      <c r="IJ15" s="19">
        <f t="shared" si="32"/>
        <v>100</v>
      </c>
      <c r="IK15" s="18">
        <v>29710</v>
      </c>
      <c r="IL15" s="19">
        <v>19635.900000000001</v>
      </c>
      <c r="IM15" s="18">
        <f>(IL15/IK15)*100</f>
        <v>66.091888253113439</v>
      </c>
      <c r="IN15" s="19">
        <f>36524000/1000</f>
        <v>36524</v>
      </c>
      <c r="IO15" s="19">
        <v>12524</v>
      </c>
      <c r="IP15" s="19">
        <f>(IO15/IN15)*100</f>
        <v>34.2897820611105</v>
      </c>
      <c r="IQ15" s="19">
        <v>52766</v>
      </c>
      <c r="IR15" s="19">
        <v>11919</v>
      </c>
      <c r="IS15" s="21">
        <f t="shared" ref="IS15:IS35" si="53">(IR15/IQ15)*100</f>
        <v>22.588409202895804</v>
      </c>
      <c r="IT15" s="19">
        <v>0</v>
      </c>
      <c r="IU15" s="19">
        <v>0</v>
      </c>
      <c r="IV15" s="21" t="s">
        <v>56</v>
      </c>
      <c r="IW15" s="19">
        <v>13000</v>
      </c>
      <c r="IX15" s="19">
        <v>11498.1</v>
      </c>
      <c r="IY15" s="19">
        <f>(IX15/IW15)*100</f>
        <v>88.446923076923085</v>
      </c>
      <c r="IZ15" s="19">
        <v>50794.2</v>
      </c>
      <c r="JA15" s="19">
        <v>15718.6</v>
      </c>
      <c r="JB15" s="21">
        <f>(JA15/IZ15)*100</f>
        <v>30.945659150060443</v>
      </c>
      <c r="JC15" s="19">
        <v>0</v>
      </c>
      <c r="JD15" s="19">
        <v>0</v>
      </c>
      <c r="JE15" s="19" t="s">
        <v>56</v>
      </c>
      <c r="JF15" s="19">
        <v>0</v>
      </c>
      <c r="JG15" s="19">
        <v>0</v>
      </c>
      <c r="JH15" s="25" t="s">
        <v>56</v>
      </c>
      <c r="JI15" s="23">
        <v>8</v>
      </c>
      <c r="JJ15" s="19">
        <v>6.6</v>
      </c>
      <c r="JK15" s="25">
        <f>(JJ15/JI15)*100</f>
        <v>82.5</v>
      </c>
      <c r="JL15" s="19">
        <v>4368.6000000000004</v>
      </c>
      <c r="JM15" s="19">
        <v>3276.5</v>
      </c>
      <c r="JN15" s="21">
        <f>(JM15/JL15)*100</f>
        <v>75.001144531428835</v>
      </c>
      <c r="JO15" s="19">
        <v>0</v>
      </c>
      <c r="JP15" s="19">
        <v>0</v>
      </c>
      <c r="JQ15" s="19" t="s">
        <v>56</v>
      </c>
      <c r="JR15" s="19">
        <v>0</v>
      </c>
      <c r="JS15" s="19">
        <v>0</v>
      </c>
      <c r="JT15" s="19" t="s">
        <v>56</v>
      </c>
      <c r="JU15" s="19">
        <v>0</v>
      </c>
      <c r="JV15" s="19">
        <v>0</v>
      </c>
      <c r="JW15" s="21" t="s">
        <v>56</v>
      </c>
      <c r="JX15" s="21">
        <v>0</v>
      </c>
      <c r="JY15" s="21">
        <v>0</v>
      </c>
      <c r="JZ15" s="21" t="s">
        <v>56</v>
      </c>
      <c r="KA15" s="21">
        <v>0</v>
      </c>
      <c r="KB15" s="21">
        <v>0</v>
      </c>
      <c r="KC15" s="21" t="s">
        <v>56</v>
      </c>
      <c r="KD15" s="14">
        <f t="shared" si="45"/>
        <v>646389.43073999998</v>
      </c>
      <c r="KE15" s="14">
        <f t="shared" si="46"/>
        <v>343092.60000000003</v>
      </c>
      <c r="KF15" s="14">
        <f t="shared" si="47"/>
        <v>53.078312188245484</v>
      </c>
      <c r="KG15" s="7"/>
      <c r="KH15" s="9"/>
      <c r="KJ15" s="9"/>
    </row>
    <row r="16" spans="1:296" x14ac:dyDescent="0.2">
      <c r="A16" s="27" t="s">
        <v>17</v>
      </c>
      <c r="B16" s="13">
        <f t="shared" si="20"/>
        <v>56253</v>
      </c>
      <c r="C16" s="13">
        <f t="shared" si="33"/>
        <v>56253</v>
      </c>
      <c r="D16" s="14">
        <f t="shared" si="34"/>
        <v>100</v>
      </c>
      <c r="E16" s="18">
        <v>56253</v>
      </c>
      <c r="F16" s="19">
        <v>56253</v>
      </c>
      <c r="G16" s="19">
        <f t="shared" si="0"/>
        <v>100</v>
      </c>
      <c r="H16" s="18">
        <v>0</v>
      </c>
      <c r="I16" s="19">
        <v>0</v>
      </c>
      <c r="J16" s="19" t="s">
        <v>56</v>
      </c>
      <c r="K16" s="19">
        <v>0</v>
      </c>
      <c r="L16" s="19">
        <v>0</v>
      </c>
      <c r="M16" s="19" t="s">
        <v>56</v>
      </c>
      <c r="N16" s="13">
        <f t="shared" si="35"/>
        <v>45944.189440000002</v>
      </c>
      <c r="O16" s="13">
        <f t="shared" si="36"/>
        <v>15364.5</v>
      </c>
      <c r="P16" s="14">
        <f t="shared" si="21"/>
        <v>33.441660822126366</v>
      </c>
      <c r="Q16" s="19">
        <v>15946</v>
      </c>
      <c r="R16" s="19">
        <v>0</v>
      </c>
      <c r="S16" s="19">
        <f t="shared" si="37"/>
        <v>0</v>
      </c>
      <c r="T16" s="18">
        <v>0</v>
      </c>
      <c r="U16" s="19">
        <v>0</v>
      </c>
      <c r="V16" s="19" t="s">
        <v>56</v>
      </c>
      <c r="W16" s="18">
        <v>0</v>
      </c>
      <c r="X16" s="19">
        <v>0</v>
      </c>
      <c r="Y16" s="19" t="s">
        <v>56</v>
      </c>
      <c r="Z16" s="18">
        <v>0</v>
      </c>
      <c r="AA16" s="19">
        <v>0</v>
      </c>
      <c r="AB16" s="19" t="s">
        <v>56</v>
      </c>
      <c r="AC16" s="18">
        <v>0</v>
      </c>
      <c r="AD16" s="19">
        <v>0</v>
      </c>
      <c r="AE16" s="19" t="s">
        <v>56</v>
      </c>
      <c r="AF16" s="18">
        <v>0</v>
      </c>
      <c r="AG16" s="19">
        <v>0</v>
      </c>
      <c r="AH16" s="19" t="s">
        <v>56</v>
      </c>
      <c r="AI16" s="18">
        <v>0</v>
      </c>
      <c r="AJ16" s="18">
        <v>0</v>
      </c>
      <c r="AK16" s="19" t="s">
        <v>56</v>
      </c>
      <c r="AL16" s="19">
        <v>1057.7</v>
      </c>
      <c r="AM16" s="19">
        <v>753.3</v>
      </c>
      <c r="AN16" s="19">
        <f t="shared" si="2"/>
        <v>71.220572941287699</v>
      </c>
      <c r="AO16" s="19">
        <v>0</v>
      </c>
      <c r="AP16" s="19">
        <v>0</v>
      </c>
      <c r="AQ16" s="19" t="s">
        <v>56</v>
      </c>
      <c r="AR16" s="19">
        <v>0</v>
      </c>
      <c r="AS16" s="19">
        <v>0</v>
      </c>
      <c r="AT16" s="19" t="s">
        <v>56</v>
      </c>
      <c r="AU16" s="19">
        <v>1660.2</v>
      </c>
      <c r="AV16" s="19">
        <v>779.4</v>
      </c>
      <c r="AW16" s="19">
        <f t="shared" si="48"/>
        <v>46.946151066136608</v>
      </c>
      <c r="AX16" s="19">
        <v>2204.5</v>
      </c>
      <c r="AY16" s="19">
        <v>545.6</v>
      </c>
      <c r="AZ16" s="19">
        <f t="shared" si="38"/>
        <v>24.749376275799502</v>
      </c>
      <c r="BA16" s="18">
        <v>0</v>
      </c>
      <c r="BB16" s="19">
        <v>0</v>
      </c>
      <c r="BC16" s="19" t="s">
        <v>56</v>
      </c>
      <c r="BD16" s="18">
        <v>0</v>
      </c>
      <c r="BE16" s="19">
        <v>0</v>
      </c>
      <c r="BF16" s="19" t="s">
        <v>56</v>
      </c>
      <c r="BG16" s="18">
        <f>145389.44/1000</f>
        <v>145.38944000000001</v>
      </c>
      <c r="BH16" s="19">
        <v>145.4</v>
      </c>
      <c r="BI16" s="19">
        <f t="shared" si="3"/>
        <v>100.00726325103116</v>
      </c>
      <c r="BJ16" s="18">
        <v>0</v>
      </c>
      <c r="BK16" s="19">
        <v>0</v>
      </c>
      <c r="BL16" s="19" t="s">
        <v>56</v>
      </c>
      <c r="BM16" s="18">
        <v>0</v>
      </c>
      <c r="BN16" s="19">
        <v>0</v>
      </c>
      <c r="BO16" s="19" t="s">
        <v>56</v>
      </c>
      <c r="BP16" s="18">
        <v>0</v>
      </c>
      <c r="BQ16" s="19">
        <v>0</v>
      </c>
      <c r="BR16" s="19" t="s">
        <v>56</v>
      </c>
      <c r="BS16" s="18">
        <v>0</v>
      </c>
      <c r="BT16" s="19">
        <v>0</v>
      </c>
      <c r="BU16" s="19" t="s">
        <v>56</v>
      </c>
      <c r="BV16" s="18">
        <v>0</v>
      </c>
      <c r="BW16" s="19">
        <v>0</v>
      </c>
      <c r="BX16" s="19" t="s">
        <v>56</v>
      </c>
      <c r="BY16" s="19">
        <v>0</v>
      </c>
      <c r="BZ16" s="19">
        <v>0</v>
      </c>
      <c r="CA16" s="19" t="s">
        <v>56</v>
      </c>
      <c r="CB16" s="18">
        <v>0</v>
      </c>
      <c r="CC16" s="18">
        <v>0</v>
      </c>
      <c r="CD16" s="34" t="s">
        <v>56</v>
      </c>
      <c r="CE16" s="18">
        <v>0</v>
      </c>
      <c r="CF16" s="18">
        <v>0</v>
      </c>
      <c r="CG16" s="34" t="s">
        <v>56</v>
      </c>
      <c r="CH16" s="34">
        <v>0</v>
      </c>
      <c r="CI16" s="34">
        <v>0</v>
      </c>
      <c r="CJ16" s="34" t="s">
        <v>56</v>
      </c>
      <c r="CK16" s="18">
        <v>1850</v>
      </c>
      <c r="CL16" s="18">
        <v>0</v>
      </c>
      <c r="CM16" s="34">
        <v>0</v>
      </c>
      <c r="CN16" s="18">
        <v>448.2</v>
      </c>
      <c r="CO16" s="34">
        <v>448.2</v>
      </c>
      <c r="CP16" s="34">
        <f t="shared" si="4"/>
        <v>99.999999999999986</v>
      </c>
      <c r="CQ16" s="34">
        <v>0</v>
      </c>
      <c r="CR16" s="34">
        <v>0</v>
      </c>
      <c r="CS16" s="34" t="s">
        <v>56</v>
      </c>
      <c r="CT16" s="34">
        <v>145.5</v>
      </c>
      <c r="CU16" s="34">
        <v>57.7</v>
      </c>
      <c r="CV16" s="34">
        <f>(CU16/CT16)*100</f>
        <v>39.656357388316152</v>
      </c>
      <c r="CW16" s="34">
        <v>0</v>
      </c>
      <c r="CX16" s="34">
        <v>0</v>
      </c>
      <c r="CY16" s="34" t="s">
        <v>56</v>
      </c>
      <c r="CZ16" s="34">
        <v>2035.7</v>
      </c>
      <c r="DA16" s="34">
        <v>0</v>
      </c>
      <c r="DB16" s="34">
        <f t="shared" si="49"/>
        <v>0</v>
      </c>
      <c r="DC16" s="34">
        <v>0</v>
      </c>
      <c r="DD16" s="34">
        <v>0</v>
      </c>
      <c r="DE16" s="35" t="s">
        <v>56</v>
      </c>
      <c r="DF16" s="34">
        <v>0</v>
      </c>
      <c r="DG16" s="34">
        <v>0</v>
      </c>
      <c r="DH16" s="34" t="s">
        <v>56</v>
      </c>
      <c r="DI16" s="34">
        <v>0</v>
      </c>
      <c r="DJ16" s="34">
        <v>0</v>
      </c>
      <c r="DK16" s="34" t="s">
        <v>56</v>
      </c>
      <c r="DL16" s="34">
        <v>20451</v>
      </c>
      <c r="DM16" s="34">
        <v>12634.9</v>
      </c>
      <c r="DN16" s="34">
        <f t="shared" si="24"/>
        <v>61.781330986259839</v>
      </c>
      <c r="DO16" s="34">
        <v>0</v>
      </c>
      <c r="DP16" s="34">
        <v>0</v>
      </c>
      <c r="DQ16" s="34" t="s">
        <v>56</v>
      </c>
      <c r="DR16" s="34">
        <v>0</v>
      </c>
      <c r="DS16" s="34">
        <v>0</v>
      </c>
      <c r="DT16" s="34" t="s">
        <v>56</v>
      </c>
      <c r="DU16" s="34">
        <v>0</v>
      </c>
      <c r="DV16" s="34">
        <v>0</v>
      </c>
      <c r="DW16" s="34" t="s">
        <v>56</v>
      </c>
      <c r="DX16" s="34">
        <v>0</v>
      </c>
      <c r="DY16" s="34">
        <v>0</v>
      </c>
      <c r="DZ16" s="34" t="s">
        <v>56</v>
      </c>
      <c r="EA16" s="18">
        <v>0</v>
      </c>
      <c r="EB16" s="19">
        <v>0</v>
      </c>
      <c r="EC16" s="34" t="s">
        <v>56</v>
      </c>
      <c r="ED16" s="18">
        <v>0</v>
      </c>
      <c r="EE16" s="19">
        <v>0</v>
      </c>
      <c r="EF16" s="34" t="s">
        <v>56</v>
      </c>
      <c r="EG16" s="13">
        <f t="shared" si="5"/>
        <v>120838.6</v>
      </c>
      <c r="EH16" s="13">
        <f t="shared" si="6"/>
        <v>87513.900000000009</v>
      </c>
      <c r="EI16" s="14">
        <f t="shared" si="40"/>
        <v>72.42213994534859</v>
      </c>
      <c r="EJ16" s="36">
        <v>906.1</v>
      </c>
      <c r="EK16" s="36">
        <v>449.9</v>
      </c>
      <c r="EL16" s="19">
        <f t="shared" si="7"/>
        <v>49.652356252069303</v>
      </c>
      <c r="EM16" s="36">
        <v>0</v>
      </c>
      <c r="EN16" s="19">
        <v>0</v>
      </c>
      <c r="EO16" s="19" t="s">
        <v>56</v>
      </c>
      <c r="EP16" s="36">
        <v>0</v>
      </c>
      <c r="EQ16" s="19">
        <v>0</v>
      </c>
      <c r="ER16" s="19" t="s">
        <v>56</v>
      </c>
      <c r="ES16" s="36">
        <v>19272.7</v>
      </c>
      <c r="ET16" s="19">
        <v>10917.9</v>
      </c>
      <c r="EU16" s="19">
        <v>56.649561296549003</v>
      </c>
      <c r="EV16" s="34">
        <v>85633.3</v>
      </c>
      <c r="EW16" s="34">
        <v>67603.199999999997</v>
      </c>
      <c r="EX16" s="35">
        <v>78.94498985791742</v>
      </c>
      <c r="EY16" s="36">
        <v>4641.5</v>
      </c>
      <c r="EZ16" s="34">
        <v>2143.3000000000002</v>
      </c>
      <c r="FA16" s="34">
        <f t="shared" si="25"/>
        <v>46.176882473338367</v>
      </c>
      <c r="FB16" s="36">
        <v>938.5</v>
      </c>
      <c r="FC16" s="19">
        <v>641.5</v>
      </c>
      <c r="FD16" s="19">
        <f t="shared" si="11"/>
        <v>68.353755993606825</v>
      </c>
      <c r="FE16" s="36">
        <v>0</v>
      </c>
      <c r="FF16" s="19">
        <v>0</v>
      </c>
      <c r="FG16" s="19" t="s">
        <v>56</v>
      </c>
      <c r="FH16" s="36">
        <v>0</v>
      </c>
      <c r="FI16" s="19">
        <v>0</v>
      </c>
      <c r="FJ16" s="19" t="s">
        <v>56</v>
      </c>
      <c r="FK16" s="36">
        <v>0</v>
      </c>
      <c r="FL16" s="19">
        <v>0</v>
      </c>
      <c r="FM16" s="19" t="s">
        <v>56</v>
      </c>
      <c r="FN16" s="36">
        <v>192.5</v>
      </c>
      <c r="FO16" s="19">
        <v>144</v>
      </c>
      <c r="FP16" s="19">
        <f t="shared" si="13"/>
        <v>74.805194805194802</v>
      </c>
      <c r="FQ16" s="36">
        <v>0.3</v>
      </c>
      <c r="FR16" s="19">
        <v>0.3</v>
      </c>
      <c r="FS16" s="19">
        <f t="shared" si="14"/>
        <v>100</v>
      </c>
      <c r="FT16" s="36">
        <v>63.6</v>
      </c>
      <c r="FU16" s="19">
        <v>37.299999999999997</v>
      </c>
      <c r="FV16" s="19">
        <f t="shared" si="41"/>
        <v>58.647798742138356</v>
      </c>
      <c r="FW16" s="36">
        <v>0.5</v>
      </c>
      <c r="FX16" s="19">
        <v>0</v>
      </c>
      <c r="FY16" s="19">
        <f>FX16/FW16%</f>
        <v>0</v>
      </c>
      <c r="FZ16" s="36">
        <v>530.79999999999995</v>
      </c>
      <c r="GA16" s="19">
        <v>347.6</v>
      </c>
      <c r="GB16" s="19">
        <f t="shared" si="15"/>
        <v>65.486058779201215</v>
      </c>
      <c r="GC16" s="36">
        <v>198.4</v>
      </c>
      <c r="GD16" s="19">
        <v>105</v>
      </c>
      <c r="GE16" s="19">
        <f t="shared" si="16"/>
        <v>52.923387096774192</v>
      </c>
      <c r="GF16" s="36">
        <v>0</v>
      </c>
      <c r="GG16" s="19">
        <v>0</v>
      </c>
      <c r="GH16" s="19" t="s">
        <v>56</v>
      </c>
      <c r="GI16" s="37">
        <v>0</v>
      </c>
      <c r="GJ16" s="19">
        <v>0</v>
      </c>
      <c r="GK16" s="19" t="s">
        <v>56</v>
      </c>
      <c r="GL16" s="37">
        <v>1495.5</v>
      </c>
      <c r="GM16" s="19">
        <v>1111</v>
      </c>
      <c r="GN16" s="19">
        <f t="shared" si="17"/>
        <v>74.289535272484116</v>
      </c>
      <c r="GO16" s="36">
        <v>0</v>
      </c>
      <c r="GP16" s="36">
        <v>0</v>
      </c>
      <c r="GQ16" s="19" t="s">
        <v>56</v>
      </c>
      <c r="GR16" s="36">
        <v>0</v>
      </c>
      <c r="GS16" s="19">
        <v>0</v>
      </c>
      <c r="GT16" s="19" t="s">
        <v>56</v>
      </c>
      <c r="GU16" s="36">
        <v>333.2</v>
      </c>
      <c r="GV16" s="19">
        <v>40.4</v>
      </c>
      <c r="GW16" s="19">
        <f t="shared" si="51"/>
        <v>12.12484993997599</v>
      </c>
      <c r="GX16" s="36">
        <v>660</v>
      </c>
      <c r="GY16" s="19">
        <v>0</v>
      </c>
      <c r="GZ16" s="19">
        <f>GY16/GX16%</f>
        <v>0</v>
      </c>
      <c r="HA16" s="36">
        <v>100.7</v>
      </c>
      <c r="HB16" s="19">
        <v>0</v>
      </c>
      <c r="HC16" s="19">
        <v>0</v>
      </c>
      <c r="HD16" s="19">
        <v>4775</v>
      </c>
      <c r="HE16" s="19">
        <v>2876.5</v>
      </c>
      <c r="HF16" s="38">
        <f t="shared" si="26"/>
        <v>60.240837696335078</v>
      </c>
      <c r="HG16" s="36">
        <v>1096</v>
      </c>
      <c r="HH16" s="19">
        <v>1096</v>
      </c>
      <c r="HI16" s="19">
        <f t="shared" si="27"/>
        <v>100</v>
      </c>
      <c r="HJ16" s="17">
        <f t="shared" si="28"/>
        <v>17111.699999999997</v>
      </c>
      <c r="HK16" s="17">
        <f t="shared" si="29"/>
        <v>4938.7</v>
      </c>
      <c r="HL16" s="16">
        <f t="shared" si="30"/>
        <v>28.861539180794431</v>
      </c>
      <c r="HM16" s="34">
        <v>3398.2</v>
      </c>
      <c r="HN16" s="34">
        <v>849.5</v>
      </c>
      <c r="HO16" s="35">
        <f t="shared" si="42"/>
        <v>24.998528632805606</v>
      </c>
      <c r="HP16" s="35">
        <v>0</v>
      </c>
      <c r="HQ16" s="35">
        <v>0</v>
      </c>
      <c r="HR16" s="35" t="s">
        <v>56</v>
      </c>
      <c r="HS16" s="35">
        <v>5167.3999999999996</v>
      </c>
      <c r="HT16" s="35">
        <v>857.3</v>
      </c>
      <c r="HU16" s="35">
        <f t="shared" si="43"/>
        <v>16.590548438286177</v>
      </c>
      <c r="HV16" s="35">
        <v>5998.5</v>
      </c>
      <c r="HW16" s="35">
        <v>1054.8</v>
      </c>
      <c r="HX16" s="35">
        <f t="shared" si="44"/>
        <v>17.584396099024755</v>
      </c>
      <c r="HY16" s="34">
        <v>0</v>
      </c>
      <c r="HZ16" s="34">
        <v>0</v>
      </c>
      <c r="IA16" s="34" t="s">
        <v>56</v>
      </c>
      <c r="IB16" s="34">
        <v>109</v>
      </c>
      <c r="IC16" s="34">
        <v>109</v>
      </c>
      <c r="ID16" s="35">
        <f t="shared" si="31"/>
        <v>100</v>
      </c>
      <c r="IE16" s="34">
        <v>0</v>
      </c>
      <c r="IF16" s="34">
        <v>0</v>
      </c>
      <c r="IG16" s="35" t="s">
        <v>56</v>
      </c>
      <c r="IH16" s="18">
        <v>2438.6</v>
      </c>
      <c r="II16" s="19">
        <v>2068.1</v>
      </c>
      <c r="IJ16" s="19">
        <f t="shared" si="32"/>
        <v>84.806856393012382</v>
      </c>
      <c r="IK16" s="18">
        <v>0</v>
      </c>
      <c r="IL16" s="18">
        <v>0</v>
      </c>
      <c r="IM16" s="18" t="s">
        <v>56</v>
      </c>
      <c r="IN16" s="19">
        <v>0</v>
      </c>
      <c r="IO16" s="19">
        <v>0</v>
      </c>
      <c r="IP16" s="19" t="s">
        <v>56</v>
      </c>
      <c r="IQ16" s="19">
        <v>0</v>
      </c>
      <c r="IR16" s="19">
        <v>0</v>
      </c>
      <c r="IS16" s="21" t="s">
        <v>56</v>
      </c>
      <c r="IT16" s="19">
        <v>0</v>
      </c>
      <c r="IU16" s="19">
        <v>0</v>
      </c>
      <c r="IV16" s="21" t="s">
        <v>56</v>
      </c>
      <c r="IW16" s="19">
        <v>0</v>
      </c>
      <c r="IX16" s="19">
        <v>0</v>
      </c>
      <c r="IY16" s="19" t="s">
        <v>56</v>
      </c>
      <c r="IZ16" s="19">
        <v>0</v>
      </c>
      <c r="JA16" s="19">
        <v>0</v>
      </c>
      <c r="JB16" s="21" t="s">
        <v>56</v>
      </c>
      <c r="JC16" s="19">
        <v>0</v>
      </c>
      <c r="JD16" s="19">
        <v>0</v>
      </c>
      <c r="JE16" s="19" t="s">
        <v>56</v>
      </c>
      <c r="JF16" s="19">
        <v>0</v>
      </c>
      <c r="JG16" s="19">
        <v>0</v>
      </c>
      <c r="JH16" s="25" t="s">
        <v>56</v>
      </c>
      <c r="JI16" s="23">
        <v>0</v>
      </c>
      <c r="JJ16" s="19">
        <v>0</v>
      </c>
      <c r="JK16" s="25" t="s">
        <v>56</v>
      </c>
      <c r="JL16" s="19">
        <v>0</v>
      </c>
      <c r="JM16" s="19">
        <v>0</v>
      </c>
      <c r="JN16" s="21" t="s">
        <v>56</v>
      </c>
      <c r="JO16" s="19">
        <v>0</v>
      </c>
      <c r="JP16" s="19">
        <v>0</v>
      </c>
      <c r="JQ16" s="19" t="s">
        <v>56</v>
      </c>
      <c r="JR16" s="19">
        <v>0</v>
      </c>
      <c r="JS16" s="19">
        <v>0</v>
      </c>
      <c r="JT16" s="19" t="s">
        <v>56</v>
      </c>
      <c r="JU16" s="19">
        <v>0</v>
      </c>
      <c r="JV16" s="19">
        <v>0</v>
      </c>
      <c r="JW16" s="21" t="s">
        <v>56</v>
      </c>
      <c r="JX16" s="21">
        <v>0</v>
      </c>
      <c r="JY16" s="21">
        <v>0</v>
      </c>
      <c r="JZ16" s="21" t="s">
        <v>56</v>
      </c>
      <c r="KA16" s="21">
        <v>0</v>
      </c>
      <c r="KB16" s="21">
        <v>0</v>
      </c>
      <c r="KC16" s="21" t="s">
        <v>56</v>
      </c>
      <c r="KD16" s="14">
        <f t="shared" si="45"/>
        <v>240147.48944000003</v>
      </c>
      <c r="KE16" s="14">
        <f t="shared" si="46"/>
        <v>164070.10000000003</v>
      </c>
      <c r="KF16" s="14">
        <f t="shared" si="47"/>
        <v>68.320555997730864</v>
      </c>
      <c r="KG16" s="7"/>
      <c r="KH16" s="9"/>
      <c r="KJ16" s="9"/>
    </row>
    <row r="17" spans="1:296" x14ac:dyDescent="0.2">
      <c r="A17" s="27" t="s">
        <v>18</v>
      </c>
      <c r="B17" s="13">
        <f t="shared" si="20"/>
        <v>120450.4</v>
      </c>
      <c r="C17" s="13">
        <f t="shared" si="33"/>
        <v>102724.6</v>
      </c>
      <c r="D17" s="14">
        <f t="shared" si="34"/>
        <v>85.283735047787317</v>
      </c>
      <c r="E17" s="18">
        <v>111968</v>
      </c>
      <c r="F17" s="19">
        <v>96538.6</v>
      </c>
      <c r="G17" s="19">
        <f t="shared" si="0"/>
        <v>86.219812803658186</v>
      </c>
      <c r="H17" s="18">
        <f>8482400/1000</f>
        <v>8482.4</v>
      </c>
      <c r="I17" s="19">
        <v>6186</v>
      </c>
      <c r="J17" s="19">
        <f>(I17/H17)*100</f>
        <v>72.92747335659719</v>
      </c>
      <c r="K17" s="19">
        <v>0</v>
      </c>
      <c r="L17" s="19">
        <v>0</v>
      </c>
      <c r="M17" s="19" t="s">
        <v>56</v>
      </c>
      <c r="N17" s="13">
        <f t="shared" si="35"/>
        <v>127353.19999999998</v>
      </c>
      <c r="O17" s="13">
        <f t="shared" si="36"/>
        <v>53083.799999999996</v>
      </c>
      <c r="P17" s="14">
        <f t="shared" si="21"/>
        <v>41.682344848814168</v>
      </c>
      <c r="Q17" s="19">
        <v>15946</v>
      </c>
      <c r="R17" s="19">
        <v>2595.3000000000002</v>
      </c>
      <c r="S17" s="19">
        <f t="shared" si="37"/>
        <v>16.27555499811865</v>
      </c>
      <c r="T17" s="18">
        <v>0</v>
      </c>
      <c r="U17" s="19">
        <v>0</v>
      </c>
      <c r="V17" s="19" t="s">
        <v>56</v>
      </c>
      <c r="W17" s="18">
        <v>0</v>
      </c>
      <c r="X17" s="19">
        <v>0</v>
      </c>
      <c r="Y17" s="19" t="s">
        <v>56</v>
      </c>
      <c r="Z17" s="18">
        <v>0</v>
      </c>
      <c r="AA17" s="19">
        <v>0</v>
      </c>
      <c r="AB17" s="19" t="s">
        <v>56</v>
      </c>
      <c r="AC17" s="18">
        <v>0</v>
      </c>
      <c r="AD17" s="19">
        <v>0</v>
      </c>
      <c r="AE17" s="19" t="s">
        <v>56</v>
      </c>
      <c r="AF17" s="18">
        <v>0</v>
      </c>
      <c r="AG17" s="19">
        <v>0</v>
      </c>
      <c r="AH17" s="19" t="s">
        <v>56</v>
      </c>
      <c r="AI17" s="18">
        <v>0</v>
      </c>
      <c r="AJ17" s="18">
        <v>0</v>
      </c>
      <c r="AK17" s="19" t="s">
        <v>56</v>
      </c>
      <c r="AL17" s="19">
        <f>2836.5+3403</f>
        <v>6239.5</v>
      </c>
      <c r="AM17" s="19">
        <v>3403</v>
      </c>
      <c r="AN17" s="19">
        <f t="shared" si="2"/>
        <v>54.539626572642035</v>
      </c>
      <c r="AO17" s="19">
        <v>0</v>
      </c>
      <c r="AP17" s="19">
        <v>0</v>
      </c>
      <c r="AQ17" s="19" t="s">
        <v>56</v>
      </c>
      <c r="AR17" s="19">
        <v>0</v>
      </c>
      <c r="AS17" s="19">
        <v>0</v>
      </c>
      <c r="AT17" s="19" t="s">
        <v>56</v>
      </c>
      <c r="AU17" s="19">
        <v>0</v>
      </c>
      <c r="AV17" s="19">
        <v>0</v>
      </c>
      <c r="AW17" s="19" t="s">
        <v>56</v>
      </c>
      <c r="AX17" s="19">
        <v>11616.9</v>
      </c>
      <c r="AY17" s="19">
        <v>2904.5</v>
      </c>
      <c r="AZ17" s="19">
        <f t="shared" si="38"/>
        <v>25.002367240830171</v>
      </c>
      <c r="BA17" s="18">
        <v>0</v>
      </c>
      <c r="BB17" s="19">
        <v>0</v>
      </c>
      <c r="BC17" s="19" t="s">
        <v>56</v>
      </c>
      <c r="BD17" s="18">
        <v>0</v>
      </c>
      <c r="BE17" s="19">
        <v>0</v>
      </c>
      <c r="BF17" s="19" t="s">
        <v>56</v>
      </c>
      <c r="BG17" s="18">
        <v>0</v>
      </c>
      <c r="BH17" s="19">
        <v>0</v>
      </c>
      <c r="BI17" s="19" t="s">
        <v>56</v>
      </c>
      <c r="BJ17" s="18">
        <v>0</v>
      </c>
      <c r="BK17" s="19">
        <v>0</v>
      </c>
      <c r="BL17" s="19" t="s">
        <v>56</v>
      </c>
      <c r="BM17" s="18">
        <v>0</v>
      </c>
      <c r="BN17" s="19">
        <v>0</v>
      </c>
      <c r="BO17" s="19" t="s">
        <v>56</v>
      </c>
      <c r="BP17" s="18">
        <v>0</v>
      </c>
      <c r="BQ17" s="19">
        <v>0</v>
      </c>
      <c r="BR17" s="19" t="s">
        <v>56</v>
      </c>
      <c r="BS17" s="18">
        <v>0</v>
      </c>
      <c r="BT17" s="19">
        <v>0</v>
      </c>
      <c r="BU17" s="19" t="s">
        <v>56</v>
      </c>
      <c r="BV17" s="18">
        <v>0</v>
      </c>
      <c r="BW17" s="19">
        <v>0</v>
      </c>
      <c r="BX17" s="19" t="s">
        <v>56</v>
      </c>
      <c r="BY17" s="19">
        <v>3656.3</v>
      </c>
      <c r="BZ17" s="19">
        <v>2207.8000000000002</v>
      </c>
      <c r="CA17" s="19">
        <f t="shared" si="50"/>
        <v>60.38344774772311</v>
      </c>
      <c r="CB17" s="18">
        <v>0</v>
      </c>
      <c r="CC17" s="18">
        <v>0</v>
      </c>
      <c r="CD17" s="34" t="s">
        <v>56</v>
      </c>
      <c r="CE17" s="18">
        <v>1589.9</v>
      </c>
      <c r="CF17" s="18">
        <v>0</v>
      </c>
      <c r="CG17" s="34">
        <f t="shared" si="22"/>
        <v>0</v>
      </c>
      <c r="CH17" s="34">
        <v>0</v>
      </c>
      <c r="CI17" s="34">
        <v>0</v>
      </c>
      <c r="CJ17" s="34" t="s">
        <v>56</v>
      </c>
      <c r="CK17" s="18">
        <v>1000</v>
      </c>
      <c r="CL17" s="18">
        <v>0</v>
      </c>
      <c r="CM17" s="34">
        <v>0</v>
      </c>
      <c r="CN17" s="18">
        <v>4967.1000000000004</v>
      </c>
      <c r="CO17" s="34">
        <v>4967.1000000000004</v>
      </c>
      <c r="CP17" s="34">
        <f t="shared" si="4"/>
        <v>100</v>
      </c>
      <c r="CQ17" s="34">
        <v>0</v>
      </c>
      <c r="CR17" s="34">
        <v>0</v>
      </c>
      <c r="CS17" s="34" t="s">
        <v>56</v>
      </c>
      <c r="CT17" s="34">
        <v>72.7</v>
      </c>
      <c r="CU17" s="34">
        <v>72.7</v>
      </c>
      <c r="CV17" s="34">
        <v>100</v>
      </c>
      <c r="CW17" s="34">
        <v>25483</v>
      </c>
      <c r="CX17" s="34">
        <v>15019.2</v>
      </c>
      <c r="CY17" s="34">
        <f t="shared" si="23"/>
        <v>58.938115606482754</v>
      </c>
      <c r="CZ17" s="34">
        <v>2035.7</v>
      </c>
      <c r="DA17" s="34">
        <v>0</v>
      </c>
      <c r="DB17" s="34">
        <f t="shared" si="49"/>
        <v>0</v>
      </c>
      <c r="DC17" s="34">
        <v>1100</v>
      </c>
      <c r="DD17" s="34">
        <v>1018.5</v>
      </c>
      <c r="DE17" s="35">
        <f>(DD17/DC17)*100</f>
        <v>92.590909090909093</v>
      </c>
      <c r="DF17" s="34">
        <v>24750</v>
      </c>
      <c r="DG17" s="34">
        <v>622.70000000000005</v>
      </c>
      <c r="DH17" s="34">
        <f>DG17/DF17%</f>
        <v>2.515959595959596</v>
      </c>
      <c r="DI17" s="34">
        <v>0</v>
      </c>
      <c r="DJ17" s="34">
        <v>0</v>
      </c>
      <c r="DK17" s="34" t="s">
        <v>56</v>
      </c>
      <c r="DL17" s="34">
        <v>28896.1</v>
      </c>
      <c r="DM17" s="34">
        <v>20273</v>
      </c>
      <c r="DN17" s="34">
        <f t="shared" si="24"/>
        <v>70.158256650551465</v>
      </c>
      <c r="DO17" s="34">
        <v>0</v>
      </c>
      <c r="DP17" s="34">
        <v>0</v>
      </c>
      <c r="DQ17" s="34" t="s">
        <v>56</v>
      </c>
      <c r="DR17" s="34">
        <v>0</v>
      </c>
      <c r="DS17" s="34">
        <v>0</v>
      </c>
      <c r="DT17" s="34" t="s">
        <v>56</v>
      </c>
      <c r="DU17" s="34">
        <v>0</v>
      </c>
      <c r="DV17" s="34">
        <v>0</v>
      </c>
      <c r="DW17" s="34" t="s">
        <v>56</v>
      </c>
      <c r="DX17" s="34">
        <v>0</v>
      </c>
      <c r="DY17" s="34">
        <v>0</v>
      </c>
      <c r="DZ17" s="34" t="s">
        <v>56</v>
      </c>
      <c r="EA17" s="18">
        <v>0</v>
      </c>
      <c r="EB17" s="19">
        <v>0</v>
      </c>
      <c r="EC17" s="34" t="s">
        <v>56</v>
      </c>
      <c r="ED17" s="18">
        <v>0</v>
      </c>
      <c r="EE17" s="19">
        <v>0</v>
      </c>
      <c r="EF17" s="34" t="s">
        <v>56</v>
      </c>
      <c r="EG17" s="13">
        <f t="shared" si="5"/>
        <v>422223.05999999988</v>
      </c>
      <c r="EH17" s="13">
        <f t="shared" si="6"/>
        <v>307058.1999999999</v>
      </c>
      <c r="EI17" s="14">
        <f t="shared" si="40"/>
        <v>72.724166226259641</v>
      </c>
      <c r="EJ17" s="36">
        <v>3926.5</v>
      </c>
      <c r="EK17" s="36">
        <v>2920.8</v>
      </c>
      <c r="EL17" s="19">
        <f t="shared" si="7"/>
        <v>74.386858525404307</v>
      </c>
      <c r="EM17" s="36">
        <v>0</v>
      </c>
      <c r="EN17" s="19">
        <v>0</v>
      </c>
      <c r="EO17" s="19" t="s">
        <v>56</v>
      </c>
      <c r="EP17" s="36">
        <f>60/1000</f>
        <v>0.06</v>
      </c>
      <c r="EQ17" s="19">
        <v>0</v>
      </c>
      <c r="ER17" s="19">
        <f t="shared" si="10"/>
        <v>0</v>
      </c>
      <c r="ES17" s="36">
        <v>132781.5</v>
      </c>
      <c r="ET17" s="19">
        <v>79256.3</v>
      </c>
      <c r="EU17" s="19">
        <v>59.689263941136375</v>
      </c>
      <c r="EV17" s="34">
        <v>253342.4</v>
      </c>
      <c r="EW17" s="34">
        <v>202181.5</v>
      </c>
      <c r="EX17" s="35">
        <v>79.805630640587594</v>
      </c>
      <c r="EY17" s="36">
        <v>6204.6</v>
      </c>
      <c r="EZ17" s="34">
        <v>4033.5</v>
      </c>
      <c r="FA17" s="34">
        <f t="shared" si="25"/>
        <v>65.008219707958602</v>
      </c>
      <c r="FB17" s="36">
        <v>2299.9</v>
      </c>
      <c r="FC17" s="19">
        <v>2112.1</v>
      </c>
      <c r="FD17" s="19">
        <f t="shared" si="11"/>
        <v>91.83442758380798</v>
      </c>
      <c r="FE17" s="36">
        <v>0</v>
      </c>
      <c r="FF17" s="19">
        <v>0</v>
      </c>
      <c r="FG17" s="19" t="s">
        <v>56</v>
      </c>
      <c r="FH17" s="36">
        <v>0</v>
      </c>
      <c r="FI17" s="19">
        <v>0</v>
      </c>
      <c r="FJ17" s="19" t="s">
        <v>56</v>
      </c>
      <c r="FK17" s="36">
        <v>115.5</v>
      </c>
      <c r="FL17" s="19">
        <v>28.3</v>
      </c>
      <c r="FM17" s="19">
        <f t="shared" si="12"/>
        <v>24.502164502164501</v>
      </c>
      <c r="FN17" s="36">
        <v>227.5</v>
      </c>
      <c r="FO17" s="19">
        <v>227.5</v>
      </c>
      <c r="FP17" s="19">
        <f t="shared" si="13"/>
        <v>100</v>
      </c>
      <c r="FQ17" s="36">
        <v>4.8</v>
      </c>
      <c r="FR17" s="19">
        <v>4.8</v>
      </c>
      <c r="FS17" s="19">
        <f t="shared" si="14"/>
        <v>100</v>
      </c>
      <c r="FT17" s="36">
        <v>63.6</v>
      </c>
      <c r="FU17" s="19">
        <v>53.4</v>
      </c>
      <c r="FV17" s="19">
        <f t="shared" si="41"/>
        <v>83.962264150943398</v>
      </c>
      <c r="FW17" s="36">
        <v>1</v>
      </c>
      <c r="FX17" s="19">
        <v>0</v>
      </c>
      <c r="FY17" s="19">
        <f>FX17/FW17%</f>
        <v>0</v>
      </c>
      <c r="FZ17" s="36">
        <v>626.20000000000005</v>
      </c>
      <c r="GA17" s="19">
        <v>621.1</v>
      </c>
      <c r="GB17" s="19">
        <f t="shared" si="15"/>
        <v>99.185563717662092</v>
      </c>
      <c r="GC17" s="36">
        <v>443.1</v>
      </c>
      <c r="GD17" s="19">
        <v>350.9</v>
      </c>
      <c r="GE17" s="19">
        <f t="shared" si="16"/>
        <v>79.192055969307148</v>
      </c>
      <c r="GF17" s="36">
        <v>0</v>
      </c>
      <c r="GG17" s="19">
        <v>0</v>
      </c>
      <c r="GH17" s="19" t="s">
        <v>56</v>
      </c>
      <c r="GI17" s="37">
        <v>0</v>
      </c>
      <c r="GJ17" s="19">
        <v>0</v>
      </c>
      <c r="GK17" s="19" t="s">
        <v>56</v>
      </c>
      <c r="GL17" s="37">
        <v>2127.3000000000002</v>
      </c>
      <c r="GM17" s="19">
        <v>1508.6</v>
      </c>
      <c r="GN17" s="19">
        <f t="shared" si="17"/>
        <v>70.916184835237146</v>
      </c>
      <c r="GO17" s="36">
        <v>0</v>
      </c>
      <c r="GP17" s="36">
        <v>0</v>
      </c>
      <c r="GQ17" s="19" t="s">
        <v>56</v>
      </c>
      <c r="GR17" s="36">
        <v>0</v>
      </c>
      <c r="GS17" s="19">
        <v>0</v>
      </c>
      <c r="GT17" s="19" t="s">
        <v>56</v>
      </c>
      <c r="GU17" s="36">
        <v>740</v>
      </c>
      <c r="GV17" s="19">
        <v>165</v>
      </c>
      <c r="GW17" s="19">
        <f t="shared" si="51"/>
        <v>22.297297297297295</v>
      </c>
      <c r="GX17" s="36">
        <v>1576.5</v>
      </c>
      <c r="GY17" s="19">
        <v>0</v>
      </c>
      <c r="GZ17" s="19">
        <f>GY17/GX17%</f>
        <v>0</v>
      </c>
      <c r="HA17" s="36">
        <v>481.1</v>
      </c>
      <c r="HB17" s="19">
        <v>0</v>
      </c>
      <c r="HC17" s="19">
        <v>0</v>
      </c>
      <c r="HD17" s="19">
        <v>12093.5</v>
      </c>
      <c r="HE17" s="19">
        <v>9718.1</v>
      </c>
      <c r="HF17" s="38">
        <f t="shared" si="26"/>
        <v>80.358043577128214</v>
      </c>
      <c r="HG17" s="36">
        <v>5168</v>
      </c>
      <c r="HH17" s="19">
        <v>3876.3</v>
      </c>
      <c r="HI17" s="19">
        <f t="shared" si="27"/>
        <v>75.005804953560371</v>
      </c>
      <c r="HJ17" s="17">
        <f t="shared" si="28"/>
        <v>207531.3</v>
      </c>
      <c r="HK17" s="17">
        <f t="shared" si="29"/>
        <v>147901.9</v>
      </c>
      <c r="HL17" s="16">
        <f t="shared" si="30"/>
        <v>71.267273900370682</v>
      </c>
      <c r="HM17" s="34">
        <v>9413.5</v>
      </c>
      <c r="HN17" s="34">
        <v>2353.4</v>
      </c>
      <c r="HO17" s="35">
        <f t="shared" si="42"/>
        <v>25.000265576034419</v>
      </c>
      <c r="HP17" s="35">
        <v>0</v>
      </c>
      <c r="HQ17" s="35">
        <v>0</v>
      </c>
      <c r="HR17" s="35" t="s">
        <v>56</v>
      </c>
      <c r="HS17" s="35">
        <v>7500</v>
      </c>
      <c r="HT17" s="35">
        <v>2727.8</v>
      </c>
      <c r="HU17" s="35">
        <f t="shared" si="43"/>
        <v>36.370666666666665</v>
      </c>
      <c r="HV17" s="35">
        <v>9863.7999999999993</v>
      </c>
      <c r="HW17" s="35">
        <v>1144.2</v>
      </c>
      <c r="HX17" s="35">
        <f t="shared" si="44"/>
        <v>11.599991889535474</v>
      </c>
      <c r="HY17" s="34">
        <v>0</v>
      </c>
      <c r="HZ17" s="34">
        <v>0</v>
      </c>
      <c r="IA17" s="34" t="s">
        <v>56</v>
      </c>
      <c r="IB17" s="34">
        <v>154</v>
      </c>
      <c r="IC17" s="34">
        <v>154</v>
      </c>
      <c r="ID17" s="35">
        <f t="shared" si="31"/>
        <v>100</v>
      </c>
      <c r="IE17" s="34">
        <v>0</v>
      </c>
      <c r="IF17" s="34">
        <v>0</v>
      </c>
      <c r="IG17" s="35" t="s">
        <v>56</v>
      </c>
      <c r="IH17" s="20">
        <v>11391</v>
      </c>
      <c r="II17" s="19">
        <v>6171.4</v>
      </c>
      <c r="IJ17" s="19">
        <f t="shared" si="32"/>
        <v>54.177859713809141</v>
      </c>
      <c r="IK17" s="18">
        <v>0</v>
      </c>
      <c r="IL17" s="18">
        <v>0</v>
      </c>
      <c r="IM17" s="18" t="s">
        <v>56</v>
      </c>
      <c r="IN17" s="19">
        <v>0</v>
      </c>
      <c r="IO17" s="19">
        <v>0</v>
      </c>
      <c r="IP17" s="19" t="s">
        <v>56</v>
      </c>
      <c r="IQ17" s="19">
        <v>0</v>
      </c>
      <c r="IR17" s="19">
        <v>0</v>
      </c>
      <c r="IS17" s="21" t="s">
        <v>56</v>
      </c>
      <c r="IT17" s="19">
        <v>0</v>
      </c>
      <c r="IU17" s="19">
        <v>0</v>
      </c>
      <c r="IV17" s="21" t="s">
        <v>56</v>
      </c>
      <c r="IW17" s="19">
        <v>0</v>
      </c>
      <c r="IX17" s="19">
        <v>0</v>
      </c>
      <c r="IY17" s="19" t="s">
        <v>56</v>
      </c>
      <c r="IZ17" s="19">
        <v>0</v>
      </c>
      <c r="JA17" s="19">
        <v>0</v>
      </c>
      <c r="JB17" s="21" t="s">
        <v>56</v>
      </c>
      <c r="JC17" s="19">
        <v>0</v>
      </c>
      <c r="JD17" s="19">
        <v>0</v>
      </c>
      <c r="JE17" s="19" t="s">
        <v>56</v>
      </c>
      <c r="JF17" s="19">
        <v>0</v>
      </c>
      <c r="JG17" s="19">
        <v>0</v>
      </c>
      <c r="JH17" s="25" t="s">
        <v>56</v>
      </c>
      <c r="JI17" s="23">
        <v>0</v>
      </c>
      <c r="JJ17" s="19">
        <v>0</v>
      </c>
      <c r="JK17" s="25" t="s">
        <v>56</v>
      </c>
      <c r="JL17" s="19">
        <v>0</v>
      </c>
      <c r="JM17" s="19">
        <v>0</v>
      </c>
      <c r="JN17" s="21" t="s">
        <v>56</v>
      </c>
      <c r="JO17" s="19">
        <v>0</v>
      </c>
      <c r="JP17" s="19">
        <v>0</v>
      </c>
      <c r="JQ17" s="19" t="s">
        <v>56</v>
      </c>
      <c r="JR17" s="19">
        <v>0</v>
      </c>
      <c r="JS17" s="19">
        <v>0</v>
      </c>
      <c r="JT17" s="19" t="s">
        <v>56</v>
      </c>
      <c r="JU17" s="19">
        <v>169209</v>
      </c>
      <c r="JV17" s="19">
        <v>135351.1</v>
      </c>
      <c r="JW17" s="21">
        <f>(JV17/JU17)*100</f>
        <v>79.990485139679336</v>
      </c>
      <c r="JX17" s="21">
        <v>0</v>
      </c>
      <c r="JY17" s="21">
        <v>0</v>
      </c>
      <c r="JZ17" s="21" t="s">
        <v>56</v>
      </c>
      <c r="KA17" s="21">
        <v>0</v>
      </c>
      <c r="KB17" s="21">
        <v>0</v>
      </c>
      <c r="KC17" s="21" t="s">
        <v>56</v>
      </c>
      <c r="KD17" s="14">
        <f t="shared" si="45"/>
        <v>877557.96</v>
      </c>
      <c r="KE17" s="14">
        <f t="shared" si="46"/>
        <v>610768.49999999988</v>
      </c>
      <c r="KF17" s="14">
        <f t="shared" si="47"/>
        <v>69.598650783134588</v>
      </c>
      <c r="KG17" s="7"/>
      <c r="KH17" s="9"/>
      <c r="KJ17" s="9"/>
    </row>
    <row r="18" spans="1:296" ht="16.5" customHeight="1" x14ac:dyDescent="0.2">
      <c r="A18" s="27" t="s">
        <v>19</v>
      </c>
      <c r="B18" s="13">
        <f t="shared" si="20"/>
        <v>112849</v>
      </c>
      <c r="C18" s="13">
        <f t="shared" si="33"/>
        <v>98131.5</v>
      </c>
      <c r="D18" s="14">
        <f t="shared" si="34"/>
        <v>86.958236227170829</v>
      </c>
      <c r="E18" s="18">
        <v>112849</v>
      </c>
      <c r="F18" s="19">
        <v>98131.5</v>
      </c>
      <c r="G18" s="19">
        <f t="shared" si="0"/>
        <v>86.958236227170815</v>
      </c>
      <c r="H18" s="18">
        <v>0</v>
      </c>
      <c r="I18" s="19">
        <v>0</v>
      </c>
      <c r="J18" s="19" t="s">
        <v>56</v>
      </c>
      <c r="K18" s="19">
        <v>0</v>
      </c>
      <c r="L18" s="19">
        <v>0</v>
      </c>
      <c r="M18" s="19" t="s">
        <v>56</v>
      </c>
      <c r="N18" s="13">
        <f t="shared" si="35"/>
        <v>255998.23521000001</v>
      </c>
      <c r="O18" s="13">
        <f t="shared" si="36"/>
        <v>88613.200000000012</v>
      </c>
      <c r="P18" s="14">
        <f t="shared" si="21"/>
        <v>34.614769874217686</v>
      </c>
      <c r="Q18" s="19">
        <v>6095.2</v>
      </c>
      <c r="R18" s="19">
        <v>1576.8</v>
      </c>
      <c r="S18" s="19">
        <f t="shared" si="37"/>
        <v>25.869536684604277</v>
      </c>
      <c r="T18" s="18">
        <f>1766000/1000</f>
        <v>1766</v>
      </c>
      <c r="U18" s="19">
        <v>0</v>
      </c>
      <c r="V18" s="19">
        <v>0</v>
      </c>
      <c r="W18" s="18">
        <v>0</v>
      </c>
      <c r="X18" s="19">
        <v>0</v>
      </c>
      <c r="Y18" s="19" t="s">
        <v>56</v>
      </c>
      <c r="Z18" s="18">
        <v>0</v>
      </c>
      <c r="AA18" s="19">
        <v>0</v>
      </c>
      <c r="AB18" s="19" t="s">
        <v>56</v>
      </c>
      <c r="AC18" s="18">
        <v>0</v>
      </c>
      <c r="AD18" s="19">
        <v>0</v>
      </c>
      <c r="AE18" s="19" t="s">
        <v>56</v>
      </c>
      <c r="AF18" s="18">
        <v>0</v>
      </c>
      <c r="AG18" s="19">
        <v>0</v>
      </c>
      <c r="AH18" s="19" t="s">
        <v>56</v>
      </c>
      <c r="AI18" s="18">
        <v>0</v>
      </c>
      <c r="AJ18" s="18">
        <v>0</v>
      </c>
      <c r="AK18" s="19" t="s">
        <v>56</v>
      </c>
      <c r="AL18" s="19">
        <v>2124</v>
      </c>
      <c r="AM18" s="19">
        <v>0</v>
      </c>
      <c r="AN18" s="19">
        <f t="shared" si="2"/>
        <v>0</v>
      </c>
      <c r="AO18" s="19">
        <v>0</v>
      </c>
      <c r="AP18" s="19">
        <v>0</v>
      </c>
      <c r="AQ18" s="19" t="s">
        <v>56</v>
      </c>
      <c r="AR18" s="19">
        <v>0</v>
      </c>
      <c r="AS18" s="19">
        <v>0</v>
      </c>
      <c r="AT18" s="19" t="s">
        <v>56</v>
      </c>
      <c r="AU18" s="19">
        <v>556.70000000000005</v>
      </c>
      <c r="AV18" s="19">
        <f>556.7</f>
        <v>556.70000000000005</v>
      </c>
      <c r="AW18" s="19">
        <f t="shared" si="48"/>
        <v>100</v>
      </c>
      <c r="AX18" s="19">
        <v>20209.900000000001</v>
      </c>
      <c r="AY18" s="19">
        <v>1499.7</v>
      </c>
      <c r="AZ18" s="19">
        <f t="shared" si="38"/>
        <v>7.4206205869400632</v>
      </c>
      <c r="BA18" s="18">
        <v>0</v>
      </c>
      <c r="BB18" s="19">
        <v>0</v>
      </c>
      <c r="BC18" s="19" t="s">
        <v>56</v>
      </c>
      <c r="BD18" s="18">
        <v>0</v>
      </c>
      <c r="BE18" s="19">
        <v>0</v>
      </c>
      <c r="BF18" s="19" t="s">
        <v>56</v>
      </c>
      <c r="BG18" s="18">
        <f>44735.21/1000</f>
        <v>44.735210000000002</v>
      </c>
      <c r="BH18" s="19">
        <f>44.7</f>
        <v>44.7</v>
      </c>
      <c r="BI18" s="19">
        <f t="shared" si="3"/>
        <v>99.921292422680025</v>
      </c>
      <c r="BJ18" s="18">
        <v>0</v>
      </c>
      <c r="BK18" s="19">
        <v>0</v>
      </c>
      <c r="BL18" s="19" t="s">
        <v>56</v>
      </c>
      <c r="BM18" s="18">
        <v>0</v>
      </c>
      <c r="BN18" s="19">
        <v>0</v>
      </c>
      <c r="BO18" s="19" t="s">
        <v>56</v>
      </c>
      <c r="BP18" s="18">
        <v>0</v>
      </c>
      <c r="BQ18" s="19">
        <v>0</v>
      </c>
      <c r="BR18" s="19" t="s">
        <v>56</v>
      </c>
      <c r="BS18" s="18">
        <v>0</v>
      </c>
      <c r="BT18" s="19">
        <v>0</v>
      </c>
      <c r="BU18" s="19" t="s">
        <v>56</v>
      </c>
      <c r="BV18" s="18">
        <v>0</v>
      </c>
      <c r="BW18" s="19">
        <v>0</v>
      </c>
      <c r="BX18" s="19" t="s">
        <v>56</v>
      </c>
      <c r="BY18" s="19">
        <v>0</v>
      </c>
      <c r="BZ18" s="19">
        <v>0</v>
      </c>
      <c r="CA18" s="19" t="s">
        <v>56</v>
      </c>
      <c r="CB18" s="18">
        <v>0</v>
      </c>
      <c r="CC18" s="18">
        <v>0</v>
      </c>
      <c r="CD18" s="34" t="s">
        <v>56</v>
      </c>
      <c r="CE18" s="18">
        <v>0</v>
      </c>
      <c r="CF18" s="18">
        <v>0</v>
      </c>
      <c r="CG18" s="34" t="s">
        <v>56</v>
      </c>
      <c r="CH18" s="34">
        <v>0</v>
      </c>
      <c r="CI18" s="34">
        <v>0</v>
      </c>
      <c r="CJ18" s="34" t="s">
        <v>56</v>
      </c>
      <c r="CK18" s="18">
        <v>2500</v>
      </c>
      <c r="CL18" s="18">
        <v>0</v>
      </c>
      <c r="CM18" s="34">
        <v>0</v>
      </c>
      <c r="CN18" s="18">
        <v>16578.2</v>
      </c>
      <c r="CO18" s="34">
        <v>16578.2</v>
      </c>
      <c r="CP18" s="34">
        <f t="shared" si="4"/>
        <v>100</v>
      </c>
      <c r="CQ18" s="34">
        <v>0</v>
      </c>
      <c r="CR18" s="34">
        <v>0</v>
      </c>
      <c r="CS18" s="34" t="s">
        <v>56</v>
      </c>
      <c r="CT18" s="34">
        <v>0</v>
      </c>
      <c r="CU18" s="34">
        <v>0</v>
      </c>
      <c r="CV18" s="34" t="s">
        <v>56</v>
      </c>
      <c r="CW18" s="34">
        <v>31575.7</v>
      </c>
      <c r="CX18" s="34">
        <v>21667.200000000001</v>
      </c>
      <c r="CY18" s="34">
        <f t="shared" si="23"/>
        <v>68.619856408567344</v>
      </c>
      <c r="CZ18" s="34">
        <v>2035.7</v>
      </c>
      <c r="DA18" s="34">
        <v>1706.3</v>
      </c>
      <c r="DB18" s="34">
        <f t="shared" si="49"/>
        <v>83.818833816377662</v>
      </c>
      <c r="DC18" s="34">
        <v>0</v>
      </c>
      <c r="DD18" s="34">
        <v>0</v>
      </c>
      <c r="DE18" s="35" t="s">
        <v>56</v>
      </c>
      <c r="DF18" s="34">
        <v>0</v>
      </c>
      <c r="DG18" s="34">
        <v>0</v>
      </c>
      <c r="DH18" s="34" t="s">
        <v>56</v>
      </c>
      <c r="DI18" s="34">
        <v>0</v>
      </c>
      <c r="DJ18" s="34">
        <v>0</v>
      </c>
      <c r="DK18" s="34" t="s">
        <v>56</v>
      </c>
      <c r="DL18" s="34">
        <v>80512.100000000006</v>
      </c>
      <c r="DM18" s="34">
        <v>44983.6</v>
      </c>
      <c r="DN18" s="34">
        <f t="shared" si="24"/>
        <v>55.871850318150926</v>
      </c>
      <c r="DO18" s="34">
        <v>0</v>
      </c>
      <c r="DP18" s="34">
        <v>0</v>
      </c>
      <c r="DQ18" s="34" t="s">
        <v>56</v>
      </c>
      <c r="DR18" s="34">
        <f>(17256135+39743865)/1000</f>
        <v>57000</v>
      </c>
      <c r="DS18" s="34">
        <v>0</v>
      </c>
      <c r="DT18" s="34">
        <v>0</v>
      </c>
      <c r="DU18" s="34">
        <v>0</v>
      </c>
      <c r="DV18" s="34">
        <v>0</v>
      </c>
      <c r="DW18" s="34" t="s">
        <v>56</v>
      </c>
      <c r="DX18" s="34">
        <v>0</v>
      </c>
      <c r="DY18" s="34">
        <v>0</v>
      </c>
      <c r="DZ18" s="34" t="s">
        <v>56</v>
      </c>
      <c r="EA18" s="18">
        <v>35000</v>
      </c>
      <c r="EB18" s="19">
        <v>0</v>
      </c>
      <c r="EC18" s="34">
        <v>0</v>
      </c>
      <c r="ED18" s="18">
        <v>0</v>
      </c>
      <c r="EE18" s="19">
        <v>0</v>
      </c>
      <c r="EF18" s="34" t="s">
        <v>56</v>
      </c>
      <c r="EG18" s="13">
        <f t="shared" si="5"/>
        <v>756715.83900000004</v>
      </c>
      <c r="EH18" s="13">
        <f t="shared" si="6"/>
        <v>560513.69999999995</v>
      </c>
      <c r="EI18" s="14">
        <f t="shared" si="40"/>
        <v>74.071886844699691</v>
      </c>
      <c r="EJ18" s="36">
        <v>5900.1</v>
      </c>
      <c r="EK18" s="36">
        <v>4944</v>
      </c>
      <c r="EL18" s="19">
        <f t="shared" si="7"/>
        <v>83.795189912035383</v>
      </c>
      <c r="EM18" s="36">
        <v>114.1</v>
      </c>
      <c r="EN18" s="19">
        <v>19</v>
      </c>
      <c r="EO18" s="19">
        <f t="shared" ref="EO18:EO23" si="54">EN18/EM18%</f>
        <v>16.652059596844872</v>
      </c>
      <c r="EP18" s="36">
        <f>4039/1000</f>
        <v>4.0389999999999997</v>
      </c>
      <c r="EQ18" s="19">
        <v>0</v>
      </c>
      <c r="ER18" s="19">
        <f t="shared" si="10"/>
        <v>0</v>
      </c>
      <c r="ES18" s="36">
        <v>321836.79999999999</v>
      </c>
      <c r="ET18" s="19">
        <v>220314.9</v>
      </c>
      <c r="EU18" s="19">
        <v>68.455471841629048</v>
      </c>
      <c r="EV18" s="34">
        <v>343595.9</v>
      </c>
      <c r="EW18" s="34">
        <v>274883.7</v>
      </c>
      <c r="EX18" s="35">
        <v>80.002031456137871</v>
      </c>
      <c r="EY18" s="36">
        <v>11589.9</v>
      </c>
      <c r="EZ18" s="34">
        <v>5345</v>
      </c>
      <c r="FA18" s="34">
        <f t="shared" si="25"/>
        <v>46.117740446423177</v>
      </c>
      <c r="FB18" s="36">
        <v>1044</v>
      </c>
      <c r="FC18" s="19">
        <v>829.2</v>
      </c>
      <c r="FD18" s="19">
        <f t="shared" si="11"/>
        <v>79.425287356321846</v>
      </c>
      <c r="FE18" s="36">
        <v>1503.2</v>
      </c>
      <c r="FF18" s="19">
        <v>375.8</v>
      </c>
      <c r="FG18" s="19">
        <f>FF18/FE18%</f>
        <v>25</v>
      </c>
      <c r="FH18" s="36">
        <v>0</v>
      </c>
      <c r="FI18" s="19">
        <v>0</v>
      </c>
      <c r="FJ18" s="19" t="s">
        <v>56</v>
      </c>
      <c r="FK18" s="36">
        <v>10582.4</v>
      </c>
      <c r="FL18" s="19">
        <v>7879.2</v>
      </c>
      <c r="FM18" s="19">
        <f t="shared" si="12"/>
        <v>74.455700030238887</v>
      </c>
      <c r="FN18" s="36">
        <v>175</v>
      </c>
      <c r="FO18" s="19">
        <v>131.4</v>
      </c>
      <c r="FP18" s="19">
        <f t="shared" si="13"/>
        <v>75.085714285714289</v>
      </c>
      <c r="FQ18" s="36">
        <v>25.2</v>
      </c>
      <c r="FR18" s="19">
        <v>25.2</v>
      </c>
      <c r="FS18" s="19">
        <f t="shared" si="14"/>
        <v>100</v>
      </c>
      <c r="FT18" s="36">
        <v>159.1</v>
      </c>
      <c r="FU18" s="19">
        <v>66.400000000000006</v>
      </c>
      <c r="FV18" s="19">
        <f t="shared" si="41"/>
        <v>41.734758013827786</v>
      </c>
      <c r="FW18" s="36">
        <v>0</v>
      </c>
      <c r="FX18" s="19">
        <v>0</v>
      </c>
      <c r="FY18" s="19" t="s">
        <v>56</v>
      </c>
      <c r="FZ18" s="36">
        <v>677.4</v>
      </c>
      <c r="GA18" s="19">
        <v>523.6</v>
      </c>
      <c r="GB18" s="19">
        <f t="shared" si="15"/>
        <v>77.295541777384116</v>
      </c>
      <c r="GC18" s="36">
        <v>464</v>
      </c>
      <c r="GD18" s="19">
        <v>387.2</v>
      </c>
      <c r="GE18" s="19">
        <f t="shared" si="16"/>
        <v>83.448275862068968</v>
      </c>
      <c r="GF18" s="36">
        <v>0</v>
      </c>
      <c r="GG18" s="19">
        <v>0</v>
      </c>
      <c r="GH18" s="19" t="s">
        <v>56</v>
      </c>
      <c r="GI18" s="37">
        <v>0</v>
      </c>
      <c r="GJ18" s="19">
        <v>0</v>
      </c>
      <c r="GK18" s="19" t="s">
        <v>56</v>
      </c>
      <c r="GL18" s="37">
        <v>1127.9000000000001</v>
      </c>
      <c r="GM18" s="19">
        <v>840.8</v>
      </c>
      <c r="GN18" s="19">
        <f t="shared" si="17"/>
        <v>74.545615746076763</v>
      </c>
      <c r="GO18" s="36">
        <v>0</v>
      </c>
      <c r="GP18" s="36">
        <v>0</v>
      </c>
      <c r="GQ18" s="19" t="s">
        <v>56</v>
      </c>
      <c r="GR18" s="36">
        <v>587.1</v>
      </c>
      <c r="GS18" s="19">
        <v>440.3</v>
      </c>
      <c r="GT18" s="19">
        <f t="shared" si="52"/>
        <v>74.995741781638557</v>
      </c>
      <c r="GU18" s="36">
        <v>3925</v>
      </c>
      <c r="GV18" s="19">
        <v>1086.5</v>
      </c>
      <c r="GW18" s="19">
        <f t="shared" si="51"/>
        <v>27.681528662420384</v>
      </c>
      <c r="GX18" s="36">
        <v>0</v>
      </c>
      <c r="GY18" s="19">
        <v>0</v>
      </c>
      <c r="GZ18" s="19" t="s">
        <v>56</v>
      </c>
      <c r="HA18" s="36">
        <v>906.8</v>
      </c>
      <c r="HB18" s="19">
        <v>0</v>
      </c>
      <c r="HC18" s="19">
        <v>0</v>
      </c>
      <c r="HD18" s="19">
        <v>43875.9</v>
      </c>
      <c r="HE18" s="19">
        <v>35955</v>
      </c>
      <c r="HF18" s="38">
        <f t="shared" si="26"/>
        <v>81.947036983856734</v>
      </c>
      <c r="HG18" s="36">
        <v>8622</v>
      </c>
      <c r="HH18" s="19">
        <v>6466.5</v>
      </c>
      <c r="HI18" s="19">
        <f t="shared" si="27"/>
        <v>75</v>
      </c>
      <c r="HJ18" s="17">
        <f t="shared" si="28"/>
        <v>61513.3</v>
      </c>
      <c r="HK18" s="17">
        <f t="shared" si="29"/>
        <v>22395.8</v>
      </c>
      <c r="HL18" s="16">
        <f t="shared" si="30"/>
        <v>36.408061346082874</v>
      </c>
      <c r="HM18" s="34">
        <v>15272.5</v>
      </c>
      <c r="HN18" s="34">
        <v>3655</v>
      </c>
      <c r="HO18" s="35">
        <f t="shared" si="42"/>
        <v>23.931903748567688</v>
      </c>
      <c r="HP18" s="35">
        <v>0</v>
      </c>
      <c r="HQ18" s="35">
        <v>0</v>
      </c>
      <c r="HR18" s="35" t="s">
        <v>56</v>
      </c>
      <c r="HS18" s="35">
        <v>27500</v>
      </c>
      <c r="HT18" s="35">
        <v>0</v>
      </c>
      <c r="HU18" s="35">
        <f t="shared" si="43"/>
        <v>0</v>
      </c>
      <c r="HV18" s="35">
        <v>0</v>
      </c>
      <c r="HW18" s="35">
        <v>0</v>
      </c>
      <c r="HX18" s="35" t="s">
        <v>56</v>
      </c>
      <c r="HY18" s="34">
        <v>0</v>
      </c>
      <c r="HZ18" s="34">
        <v>0</v>
      </c>
      <c r="IA18" s="34" t="s">
        <v>56</v>
      </c>
      <c r="IB18" s="34">
        <v>154</v>
      </c>
      <c r="IC18" s="34">
        <v>154</v>
      </c>
      <c r="ID18" s="35">
        <f t="shared" si="31"/>
        <v>100</v>
      </c>
      <c r="IE18" s="34">
        <v>0</v>
      </c>
      <c r="IF18" s="34">
        <v>0</v>
      </c>
      <c r="IG18" s="35" t="s">
        <v>56</v>
      </c>
      <c r="IH18" s="20">
        <v>18586.8</v>
      </c>
      <c r="II18" s="19">
        <v>18586.8</v>
      </c>
      <c r="IJ18" s="19">
        <f t="shared" si="32"/>
        <v>100</v>
      </c>
      <c r="IK18" s="18">
        <v>0</v>
      </c>
      <c r="IL18" s="18">
        <v>0</v>
      </c>
      <c r="IM18" s="18" t="s">
        <v>56</v>
      </c>
      <c r="IN18" s="19">
        <v>0</v>
      </c>
      <c r="IO18" s="19">
        <v>0</v>
      </c>
      <c r="IP18" s="19" t="s">
        <v>56</v>
      </c>
      <c r="IQ18" s="19">
        <v>0</v>
      </c>
      <c r="IR18" s="19">
        <v>0</v>
      </c>
      <c r="IS18" s="21" t="s">
        <v>56</v>
      </c>
      <c r="IT18" s="19">
        <v>0</v>
      </c>
      <c r="IU18" s="19">
        <v>0</v>
      </c>
      <c r="IV18" s="21" t="s">
        <v>56</v>
      </c>
      <c r="IW18" s="19">
        <v>0</v>
      </c>
      <c r="IX18" s="19">
        <v>0</v>
      </c>
      <c r="IY18" s="19" t="s">
        <v>56</v>
      </c>
      <c r="IZ18" s="19">
        <v>0</v>
      </c>
      <c r="JA18" s="19">
        <v>0</v>
      </c>
      <c r="JB18" s="21" t="s">
        <v>56</v>
      </c>
      <c r="JC18" s="19">
        <v>0</v>
      </c>
      <c r="JD18" s="19">
        <v>0</v>
      </c>
      <c r="JE18" s="19" t="s">
        <v>56</v>
      </c>
      <c r="JF18" s="19">
        <v>0</v>
      </c>
      <c r="JG18" s="19">
        <v>0</v>
      </c>
      <c r="JH18" s="25" t="s">
        <v>56</v>
      </c>
      <c r="JI18" s="23">
        <v>0</v>
      </c>
      <c r="JJ18" s="19">
        <v>0</v>
      </c>
      <c r="JK18" s="25" t="s">
        <v>56</v>
      </c>
      <c r="JL18" s="19">
        <v>0</v>
      </c>
      <c r="JM18" s="19">
        <v>0</v>
      </c>
      <c r="JN18" s="21" t="s">
        <v>56</v>
      </c>
      <c r="JO18" s="19">
        <v>0</v>
      </c>
      <c r="JP18" s="19">
        <v>0</v>
      </c>
      <c r="JQ18" s="19" t="s">
        <v>56</v>
      </c>
      <c r="JR18" s="19">
        <v>0</v>
      </c>
      <c r="JS18" s="19">
        <v>0</v>
      </c>
      <c r="JT18" s="19" t="s">
        <v>56</v>
      </c>
      <c r="JU18" s="19">
        <v>0</v>
      </c>
      <c r="JV18" s="19">
        <v>0</v>
      </c>
      <c r="JW18" s="21" t="s">
        <v>56</v>
      </c>
      <c r="JX18" s="21">
        <v>0</v>
      </c>
      <c r="JY18" s="21">
        <v>0</v>
      </c>
      <c r="JZ18" s="21" t="s">
        <v>56</v>
      </c>
      <c r="KA18" s="21">
        <v>0</v>
      </c>
      <c r="KB18" s="21">
        <v>0</v>
      </c>
      <c r="KC18" s="21" t="s">
        <v>56</v>
      </c>
      <c r="KD18" s="14">
        <f t="shared" si="45"/>
        <v>1187076.37421</v>
      </c>
      <c r="KE18" s="14">
        <f t="shared" si="46"/>
        <v>769654.2</v>
      </c>
      <c r="KF18" s="14">
        <f t="shared" si="47"/>
        <v>64.83611473711666</v>
      </c>
      <c r="KG18" s="7"/>
      <c r="KH18" s="9"/>
      <c r="KJ18" s="9"/>
    </row>
    <row r="19" spans="1:296" ht="15" customHeight="1" x14ac:dyDescent="0.2">
      <c r="A19" s="27" t="s">
        <v>20</v>
      </c>
      <c r="B19" s="13">
        <f t="shared" si="20"/>
        <v>140922.29999999999</v>
      </c>
      <c r="C19" s="13">
        <f t="shared" si="33"/>
        <v>126079.40000000001</v>
      </c>
      <c r="D19" s="14">
        <f t="shared" si="34"/>
        <v>89.467316386405855</v>
      </c>
      <c r="E19" s="18">
        <v>134113</v>
      </c>
      <c r="F19" s="19">
        <v>124902.8</v>
      </c>
      <c r="G19" s="19">
        <f t="shared" si="0"/>
        <v>93.132507661449665</v>
      </c>
      <c r="H19" s="18">
        <f>6809300/1000</f>
        <v>6809.3</v>
      </c>
      <c r="I19" s="19">
        <v>1176.5999999999999</v>
      </c>
      <c r="J19" s="19">
        <f>(I19/H19)*100</f>
        <v>17.279309180091932</v>
      </c>
      <c r="K19" s="19">
        <v>0</v>
      </c>
      <c r="L19" s="19">
        <v>0</v>
      </c>
      <c r="M19" s="19" t="s">
        <v>56</v>
      </c>
      <c r="N19" s="13">
        <f t="shared" si="35"/>
        <v>113399.51900999999</v>
      </c>
      <c r="O19" s="13">
        <f t="shared" si="36"/>
        <v>54659.599999999991</v>
      </c>
      <c r="P19" s="14">
        <f t="shared" si="21"/>
        <v>48.200909913189236</v>
      </c>
      <c r="Q19" s="19">
        <v>15946</v>
      </c>
      <c r="R19" s="19">
        <v>0</v>
      </c>
      <c r="S19" s="19">
        <f t="shared" si="37"/>
        <v>0</v>
      </c>
      <c r="T19" s="18">
        <v>0</v>
      </c>
      <c r="U19" s="19">
        <v>0</v>
      </c>
      <c r="V19" s="19" t="s">
        <v>56</v>
      </c>
      <c r="W19" s="18">
        <v>21373.4</v>
      </c>
      <c r="X19" s="19">
        <v>16664.099999999999</v>
      </c>
      <c r="Y19" s="19">
        <f t="shared" si="1"/>
        <v>77.966537846107769</v>
      </c>
      <c r="Z19" s="18">
        <v>0</v>
      </c>
      <c r="AA19" s="19">
        <v>0</v>
      </c>
      <c r="AB19" s="19" t="s">
        <v>56</v>
      </c>
      <c r="AC19" s="18">
        <v>0</v>
      </c>
      <c r="AD19" s="19">
        <v>0</v>
      </c>
      <c r="AE19" s="19" t="s">
        <v>56</v>
      </c>
      <c r="AF19" s="18">
        <v>0</v>
      </c>
      <c r="AG19" s="19">
        <v>0</v>
      </c>
      <c r="AH19" s="19" t="s">
        <v>56</v>
      </c>
      <c r="AI19" s="18">
        <v>0</v>
      </c>
      <c r="AJ19" s="18">
        <v>0</v>
      </c>
      <c r="AK19" s="19" t="s">
        <v>56</v>
      </c>
      <c r="AL19" s="19">
        <v>11576.8</v>
      </c>
      <c r="AM19" s="19">
        <v>5865.7</v>
      </c>
      <c r="AN19" s="19">
        <f t="shared" si="2"/>
        <v>50.667714739824483</v>
      </c>
      <c r="AO19" s="19">
        <v>0</v>
      </c>
      <c r="AP19" s="19">
        <v>0</v>
      </c>
      <c r="AQ19" s="19" t="s">
        <v>56</v>
      </c>
      <c r="AR19" s="19">
        <v>0</v>
      </c>
      <c r="AS19" s="19">
        <v>0</v>
      </c>
      <c r="AT19" s="19" t="s">
        <v>56</v>
      </c>
      <c r="AU19" s="18">
        <v>1002.1</v>
      </c>
      <c r="AV19" s="19">
        <f>1002.1</f>
        <v>1002.1</v>
      </c>
      <c r="AW19" s="19">
        <f t="shared" si="48"/>
        <v>100</v>
      </c>
      <c r="AX19" s="19">
        <v>5788.3</v>
      </c>
      <c r="AY19" s="19">
        <v>1432.6</v>
      </c>
      <c r="AZ19" s="19">
        <f t="shared" si="38"/>
        <v>24.749926576024045</v>
      </c>
      <c r="BA19" s="18">
        <v>0</v>
      </c>
      <c r="BB19" s="19">
        <v>0</v>
      </c>
      <c r="BC19" s="19" t="s">
        <v>56</v>
      </c>
      <c r="BD19" s="18">
        <v>0</v>
      </c>
      <c r="BE19" s="19">
        <v>0</v>
      </c>
      <c r="BF19" s="19" t="s">
        <v>56</v>
      </c>
      <c r="BG19" s="18">
        <f>55919.01/1000</f>
        <v>55.91901</v>
      </c>
      <c r="BH19" s="19">
        <f>55.9</f>
        <v>55.9</v>
      </c>
      <c r="BI19" s="19">
        <f t="shared" si="3"/>
        <v>99.966004405299728</v>
      </c>
      <c r="BJ19" s="18">
        <v>0</v>
      </c>
      <c r="BK19" s="19">
        <v>0</v>
      </c>
      <c r="BL19" s="19" t="s">
        <v>56</v>
      </c>
      <c r="BM19" s="18">
        <v>0</v>
      </c>
      <c r="BN19" s="19">
        <v>0</v>
      </c>
      <c r="BO19" s="19" t="s">
        <v>56</v>
      </c>
      <c r="BP19" s="18">
        <v>0</v>
      </c>
      <c r="BQ19" s="19">
        <v>0</v>
      </c>
      <c r="BR19" s="19" t="s">
        <v>56</v>
      </c>
      <c r="BS19" s="18">
        <v>0</v>
      </c>
      <c r="BT19" s="19">
        <v>0</v>
      </c>
      <c r="BU19" s="19" t="s">
        <v>56</v>
      </c>
      <c r="BV19" s="18">
        <v>0</v>
      </c>
      <c r="BW19" s="19">
        <v>0</v>
      </c>
      <c r="BX19" s="19" t="s">
        <v>56</v>
      </c>
      <c r="BY19" s="19">
        <v>0</v>
      </c>
      <c r="BZ19" s="19">
        <v>0</v>
      </c>
      <c r="CA19" s="19" t="s">
        <v>56</v>
      </c>
      <c r="CB19" s="18">
        <f>1020</f>
        <v>1020</v>
      </c>
      <c r="CC19" s="18">
        <f>1020</f>
        <v>1020</v>
      </c>
      <c r="CD19" s="34">
        <v>100</v>
      </c>
      <c r="CE19" s="18">
        <v>1774.3</v>
      </c>
      <c r="CF19" s="18">
        <f>2665.1-890.8</f>
        <v>1774.3</v>
      </c>
      <c r="CG19" s="34">
        <f t="shared" si="22"/>
        <v>100</v>
      </c>
      <c r="CH19" s="34">
        <v>0</v>
      </c>
      <c r="CI19" s="34">
        <v>0</v>
      </c>
      <c r="CJ19" s="34" t="s">
        <v>56</v>
      </c>
      <c r="CK19" s="18">
        <v>2500</v>
      </c>
      <c r="CL19" s="18">
        <v>0</v>
      </c>
      <c r="CM19" s="34">
        <v>0</v>
      </c>
      <c r="CN19" s="18">
        <v>0</v>
      </c>
      <c r="CO19" s="34">
        <v>0</v>
      </c>
      <c r="CP19" s="34" t="s">
        <v>56</v>
      </c>
      <c r="CQ19" s="34">
        <v>190.8</v>
      </c>
      <c r="CR19" s="34">
        <v>0</v>
      </c>
      <c r="CS19" s="34">
        <v>0</v>
      </c>
      <c r="CT19" s="34">
        <v>0</v>
      </c>
      <c r="CU19" s="34">
        <v>0</v>
      </c>
      <c r="CV19" s="34" t="s">
        <v>56</v>
      </c>
      <c r="CW19" s="34">
        <v>3254.1</v>
      </c>
      <c r="CX19" s="34">
        <v>1749.3</v>
      </c>
      <c r="CY19" s="34">
        <f t="shared" si="23"/>
        <v>53.756799114962661</v>
      </c>
      <c r="CZ19" s="34">
        <v>2035.7</v>
      </c>
      <c r="DA19" s="34">
        <v>0</v>
      </c>
      <c r="DB19" s="34">
        <f t="shared" si="49"/>
        <v>0</v>
      </c>
      <c r="DC19" s="34">
        <v>0</v>
      </c>
      <c r="DD19" s="34">
        <v>0</v>
      </c>
      <c r="DE19" s="35" t="s">
        <v>56</v>
      </c>
      <c r="DF19" s="34">
        <v>0</v>
      </c>
      <c r="DG19" s="34">
        <v>0</v>
      </c>
      <c r="DH19" s="34" t="s">
        <v>56</v>
      </c>
      <c r="DI19" s="34">
        <v>0</v>
      </c>
      <c r="DJ19" s="34">
        <v>0</v>
      </c>
      <c r="DK19" s="34" t="s">
        <v>56</v>
      </c>
      <c r="DL19" s="34">
        <v>46582.1</v>
      </c>
      <c r="DM19" s="34">
        <v>24795.599999999999</v>
      </c>
      <c r="DN19" s="34">
        <f t="shared" si="24"/>
        <v>53.229888734084554</v>
      </c>
      <c r="DO19" s="18">
        <v>300</v>
      </c>
      <c r="DP19" s="34">
        <v>300</v>
      </c>
      <c r="DQ19" s="34">
        <f t="shared" si="39"/>
        <v>100</v>
      </c>
      <c r="DR19" s="34">
        <v>0</v>
      </c>
      <c r="DS19" s="34">
        <v>0</v>
      </c>
      <c r="DT19" s="34" t="s">
        <v>56</v>
      </c>
      <c r="DU19" s="18">
        <v>0</v>
      </c>
      <c r="DV19" s="34">
        <v>0</v>
      </c>
      <c r="DW19" s="34" t="s">
        <v>56</v>
      </c>
      <c r="DX19" s="34">
        <v>0</v>
      </c>
      <c r="DY19" s="34">
        <v>0</v>
      </c>
      <c r="DZ19" s="34" t="s">
        <v>56</v>
      </c>
      <c r="EA19" s="18">
        <v>0</v>
      </c>
      <c r="EB19" s="19">
        <v>0</v>
      </c>
      <c r="EC19" s="34" t="s">
        <v>56</v>
      </c>
      <c r="ED19" s="18">
        <v>0</v>
      </c>
      <c r="EE19" s="19">
        <v>0</v>
      </c>
      <c r="EF19" s="34" t="s">
        <v>56</v>
      </c>
      <c r="EG19" s="13">
        <f t="shared" si="5"/>
        <v>329343.09999999998</v>
      </c>
      <c r="EH19" s="13">
        <f t="shared" si="6"/>
        <v>239868.90000000005</v>
      </c>
      <c r="EI19" s="14">
        <f t="shared" si="40"/>
        <v>72.832526322852999</v>
      </c>
      <c r="EJ19" s="36">
        <v>1812.3</v>
      </c>
      <c r="EK19" s="36">
        <v>1106</v>
      </c>
      <c r="EL19" s="19">
        <f t="shared" si="7"/>
        <v>61.027423715720353</v>
      </c>
      <c r="EM19" s="36">
        <v>114.2</v>
      </c>
      <c r="EN19" s="19">
        <v>0</v>
      </c>
      <c r="EO19" s="19">
        <f t="shared" si="54"/>
        <v>0</v>
      </c>
      <c r="EP19" s="36">
        <v>0</v>
      </c>
      <c r="EQ19" s="19">
        <v>0</v>
      </c>
      <c r="ER19" s="19" t="s">
        <v>56</v>
      </c>
      <c r="ES19" s="36">
        <v>82377.399999999994</v>
      </c>
      <c r="ET19" s="19">
        <v>43408.800000000003</v>
      </c>
      <c r="EU19" s="19">
        <v>52.695035288804952</v>
      </c>
      <c r="EV19" s="34">
        <v>209551.7</v>
      </c>
      <c r="EW19" s="34">
        <v>176106.4</v>
      </c>
      <c r="EX19" s="35">
        <v>84.039595002092554</v>
      </c>
      <c r="EY19" s="36">
        <v>12910.9</v>
      </c>
      <c r="EZ19" s="34">
        <v>6325.3</v>
      </c>
      <c r="FA19" s="34">
        <f t="shared" si="25"/>
        <v>48.991937045442221</v>
      </c>
      <c r="FB19" s="36">
        <v>1820.2</v>
      </c>
      <c r="FC19" s="19">
        <v>535.1</v>
      </c>
      <c r="FD19" s="19">
        <f t="shared" si="11"/>
        <v>29.397868366113613</v>
      </c>
      <c r="FE19" s="36">
        <v>388.1</v>
      </c>
      <c r="FF19" s="19">
        <v>0</v>
      </c>
      <c r="FG19" s="19">
        <f>FF19/FE19%</f>
        <v>0</v>
      </c>
      <c r="FH19" s="36">
        <v>104.9</v>
      </c>
      <c r="FI19" s="19">
        <v>90</v>
      </c>
      <c r="FJ19" s="19">
        <f>FI19/FH19%</f>
        <v>85.795996186844604</v>
      </c>
      <c r="FK19" s="36">
        <v>0</v>
      </c>
      <c r="FL19" s="19">
        <v>0</v>
      </c>
      <c r="FM19" s="19" t="s">
        <v>56</v>
      </c>
      <c r="FN19" s="36">
        <v>262.5</v>
      </c>
      <c r="FO19" s="19">
        <v>197.1</v>
      </c>
      <c r="FP19" s="19">
        <f t="shared" si="13"/>
        <v>75.085714285714289</v>
      </c>
      <c r="FQ19" s="36">
        <v>1.8</v>
      </c>
      <c r="FR19" s="19">
        <v>1.8</v>
      </c>
      <c r="FS19" s="19">
        <f t="shared" si="14"/>
        <v>99.999999999999986</v>
      </c>
      <c r="FT19" s="36">
        <v>159.1</v>
      </c>
      <c r="FU19" s="19">
        <v>82.6</v>
      </c>
      <c r="FV19" s="19">
        <f t="shared" si="41"/>
        <v>51.917033312382145</v>
      </c>
      <c r="FW19" s="36">
        <v>0</v>
      </c>
      <c r="FX19" s="19">
        <v>0</v>
      </c>
      <c r="FY19" s="19" t="s">
        <v>56</v>
      </c>
      <c r="FZ19" s="36">
        <v>617.1</v>
      </c>
      <c r="GA19" s="19">
        <v>348.6</v>
      </c>
      <c r="GB19" s="19">
        <f t="shared" si="15"/>
        <v>56.490034030140983</v>
      </c>
      <c r="GC19" s="36">
        <v>419.8</v>
      </c>
      <c r="GD19" s="19">
        <v>366.2</v>
      </c>
      <c r="GE19" s="19">
        <f t="shared" si="16"/>
        <v>87.232015245354916</v>
      </c>
      <c r="GF19" s="36">
        <v>0</v>
      </c>
      <c r="GG19" s="19">
        <v>0</v>
      </c>
      <c r="GH19" s="19" t="s">
        <v>56</v>
      </c>
      <c r="GI19" s="37">
        <v>0</v>
      </c>
      <c r="GJ19" s="19">
        <v>0</v>
      </c>
      <c r="GK19" s="19" t="s">
        <v>56</v>
      </c>
      <c r="GL19" s="37">
        <v>2008.7</v>
      </c>
      <c r="GM19" s="19">
        <v>1415.9</v>
      </c>
      <c r="GN19" s="19">
        <f t="shared" si="17"/>
        <v>70.488375566286663</v>
      </c>
      <c r="GO19" s="36">
        <v>0</v>
      </c>
      <c r="GP19" s="36">
        <v>0</v>
      </c>
      <c r="GQ19" s="19" t="s">
        <v>56</v>
      </c>
      <c r="GR19" s="36">
        <v>179.4</v>
      </c>
      <c r="GS19" s="19">
        <v>134.6</v>
      </c>
      <c r="GT19" s="19">
        <f t="shared" si="52"/>
        <v>75.027870680044586</v>
      </c>
      <c r="GU19" s="36">
        <v>2254</v>
      </c>
      <c r="GV19" s="19">
        <v>545.20000000000005</v>
      </c>
      <c r="GW19" s="19">
        <f t="shared" si="51"/>
        <v>24.188110026619345</v>
      </c>
      <c r="GX19" s="36">
        <v>0</v>
      </c>
      <c r="GY19" s="19">
        <v>0</v>
      </c>
      <c r="GZ19" s="19" t="s">
        <v>56</v>
      </c>
      <c r="HA19" s="36">
        <v>289.39999999999998</v>
      </c>
      <c r="HB19" s="19">
        <v>0</v>
      </c>
      <c r="HC19" s="19">
        <v>0</v>
      </c>
      <c r="HD19" s="19">
        <v>11456.6</v>
      </c>
      <c r="HE19" s="19">
        <v>7462.1</v>
      </c>
      <c r="HF19" s="38">
        <f t="shared" si="26"/>
        <v>65.13363476074926</v>
      </c>
      <c r="HG19" s="36">
        <v>2615</v>
      </c>
      <c r="HH19" s="19">
        <v>1743.2</v>
      </c>
      <c r="HI19" s="19">
        <f t="shared" si="27"/>
        <v>66.661567877629068</v>
      </c>
      <c r="HJ19" s="17">
        <f t="shared" si="28"/>
        <v>36462.799999999996</v>
      </c>
      <c r="HK19" s="17">
        <f t="shared" si="29"/>
        <v>5643</v>
      </c>
      <c r="HL19" s="16">
        <f t="shared" si="30"/>
        <v>15.476046820320988</v>
      </c>
      <c r="HM19" s="34">
        <v>7929.2</v>
      </c>
      <c r="HN19" s="34">
        <v>1933.5</v>
      </c>
      <c r="HO19" s="35">
        <f t="shared" si="42"/>
        <v>24.38455329667558</v>
      </c>
      <c r="HP19" s="35">
        <v>0</v>
      </c>
      <c r="HQ19" s="35">
        <v>0</v>
      </c>
      <c r="HR19" s="35" t="s">
        <v>56</v>
      </c>
      <c r="HS19" s="35">
        <v>7949</v>
      </c>
      <c r="HT19" s="35">
        <v>857.1</v>
      </c>
      <c r="HU19" s="35">
        <f t="shared" si="43"/>
        <v>10.782488363316141</v>
      </c>
      <c r="HV19" s="35">
        <v>11610.9</v>
      </c>
      <c r="HW19" s="35">
        <v>2698.4</v>
      </c>
      <c r="HX19" s="35">
        <f t="shared" si="44"/>
        <v>23.240231162097686</v>
      </c>
      <c r="HY19" s="34">
        <v>0</v>
      </c>
      <c r="HZ19" s="34">
        <v>0</v>
      </c>
      <c r="IA19" s="34" t="s">
        <v>56</v>
      </c>
      <c r="IB19" s="34">
        <v>154</v>
      </c>
      <c r="IC19" s="34">
        <v>154</v>
      </c>
      <c r="ID19" s="35">
        <f t="shared" si="31"/>
        <v>100</v>
      </c>
      <c r="IE19" s="34">
        <v>0</v>
      </c>
      <c r="IF19" s="34">
        <v>0</v>
      </c>
      <c r="IG19" s="35" t="s">
        <v>56</v>
      </c>
      <c r="IH19" s="18">
        <v>5819.7</v>
      </c>
      <c r="II19" s="19">
        <v>0</v>
      </c>
      <c r="IJ19" s="19">
        <f t="shared" si="32"/>
        <v>0</v>
      </c>
      <c r="IK19" s="18">
        <v>0</v>
      </c>
      <c r="IL19" s="18">
        <v>0</v>
      </c>
      <c r="IM19" s="18" t="s">
        <v>56</v>
      </c>
      <c r="IN19" s="19">
        <v>0</v>
      </c>
      <c r="IO19" s="19">
        <v>0</v>
      </c>
      <c r="IP19" s="19" t="s">
        <v>56</v>
      </c>
      <c r="IQ19" s="19">
        <v>0</v>
      </c>
      <c r="IR19" s="19">
        <v>0</v>
      </c>
      <c r="IS19" s="21" t="s">
        <v>56</v>
      </c>
      <c r="IT19" s="19">
        <v>2970</v>
      </c>
      <c r="IU19" s="19">
        <v>0</v>
      </c>
      <c r="IV19" s="21" t="s">
        <v>56</v>
      </c>
      <c r="IW19" s="19">
        <v>0</v>
      </c>
      <c r="IX19" s="19">
        <v>0</v>
      </c>
      <c r="IY19" s="19" t="s">
        <v>56</v>
      </c>
      <c r="IZ19" s="19">
        <v>0</v>
      </c>
      <c r="JA19" s="19">
        <v>0</v>
      </c>
      <c r="JB19" s="21" t="s">
        <v>56</v>
      </c>
      <c r="JC19" s="19">
        <v>0</v>
      </c>
      <c r="JD19" s="19">
        <v>0</v>
      </c>
      <c r="JE19" s="19" t="s">
        <v>56</v>
      </c>
      <c r="JF19" s="19">
        <v>30</v>
      </c>
      <c r="JG19" s="19">
        <v>0</v>
      </c>
      <c r="JH19" s="25" t="s">
        <v>56</v>
      </c>
      <c r="JI19" s="23">
        <v>0</v>
      </c>
      <c r="JJ19" s="19">
        <v>0</v>
      </c>
      <c r="JK19" s="25" t="s">
        <v>56</v>
      </c>
      <c r="JL19" s="19">
        <v>0</v>
      </c>
      <c r="JM19" s="19">
        <v>0</v>
      </c>
      <c r="JN19" s="21" t="s">
        <v>56</v>
      </c>
      <c r="JO19" s="19">
        <v>0</v>
      </c>
      <c r="JP19" s="19">
        <v>0</v>
      </c>
      <c r="JQ19" s="19" t="s">
        <v>56</v>
      </c>
      <c r="JR19" s="19">
        <v>0</v>
      </c>
      <c r="JS19" s="19">
        <v>0</v>
      </c>
      <c r="JT19" s="19" t="s">
        <v>56</v>
      </c>
      <c r="JU19" s="19">
        <v>0</v>
      </c>
      <c r="JV19" s="19">
        <v>0</v>
      </c>
      <c r="JW19" s="21" t="s">
        <v>56</v>
      </c>
      <c r="JX19" s="21">
        <v>0</v>
      </c>
      <c r="JY19" s="21">
        <v>0</v>
      </c>
      <c r="JZ19" s="21" t="s">
        <v>56</v>
      </c>
      <c r="KA19" s="21">
        <v>0</v>
      </c>
      <c r="KB19" s="21">
        <v>0</v>
      </c>
      <c r="KC19" s="21" t="s">
        <v>56</v>
      </c>
      <c r="KD19" s="14">
        <f t="shared" si="45"/>
        <v>620127.71901</v>
      </c>
      <c r="KE19" s="14">
        <f t="shared" si="46"/>
        <v>426250.9</v>
      </c>
      <c r="KF19" s="14">
        <f t="shared" si="47"/>
        <v>68.735985658000629</v>
      </c>
      <c r="KG19" s="7"/>
      <c r="KH19" s="9"/>
      <c r="KJ19" s="9"/>
    </row>
    <row r="20" spans="1:296" x14ac:dyDescent="0.2">
      <c r="A20" s="27" t="s">
        <v>21</v>
      </c>
      <c r="B20" s="13">
        <f t="shared" si="20"/>
        <v>98223</v>
      </c>
      <c r="C20" s="13">
        <f t="shared" si="33"/>
        <v>59052.2</v>
      </c>
      <c r="D20" s="14">
        <f t="shared" si="34"/>
        <v>60.120542031906986</v>
      </c>
      <c r="E20" s="18">
        <v>98223</v>
      </c>
      <c r="F20" s="19">
        <v>59052.2</v>
      </c>
      <c r="G20" s="19">
        <f t="shared" si="0"/>
        <v>60.120542031906986</v>
      </c>
      <c r="H20" s="18">
        <v>0</v>
      </c>
      <c r="I20" s="19">
        <v>0</v>
      </c>
      <c r="J20" s="19" t="s">
        <v>56</v>
      </c>
      <c r="K20" s="19">
        <v>0</v>
      </c>
      <c r="L20" s="19">
        <v>0</v>
      </c>
      <c r="M20" s="19" t="s">
        <v>56</v>
      </c>
      <c r="N20" s="13">
        <f t="shared" si="35"/>
        <v>58944.23803</v>
      </c>
      <c r="O20" s="13">
        <f t="shared" si="36"/>
        <v>26416.400000000001</v>
      </c>
      <c r="P20" s="14">
        <f t="shared" si="21"/>
        <v>44.815915656684247</v>
      </c>
      <c r="Q20" s="19">
        <v>27520.9</v>
      </c>
      <c r="R20" s="19">
        <v>0</v>
      </c>
      <c r="S20" s="19">
        <f t="shared" si="37"/>
        <v>0</v>
      </c>
      <c r="T20" s="18">
        <v>0</v>
      </c>
      <c r="U20" s="19">
        <v>0</v>
      </c>
      <c r="V20" s="19" t="s">
        <v>56</v>
      </c>
      <c r="W20" s="18">
        <v>5527.3</v>
      </c>
      <c r="X20" s="19">
        <v>5527.3</v>
      </c>
      <c r="Y20" s="19">
        <f t="shared" si="1"/>
        <v>100</v>
      </c>
      <c r="Z20" s="18">
        <v>0</v>
      </c>
      <c r="AA20" s="19">
        <v>0</v>
      </c>
      <c r="AB20" s="19" t="s">
        <v>56</v>
      </c>
      <c r="AC20" s="18">
        <v>0</v>
      </c>
      <c r="AD20" s="19">
        <v>0</v>
      </c>
      <c r="AE20" s="19" t="s">
        <v>56</v>
      </c>
      <c r="AF20" s="18">
        <v>0</v>
      </c>
      <c r="AG20" s="19">
        <v>0</v>
      </c>
      <c r="AH20" s="19" t="s">
        <v>56</v>
      </c>
      <c r="AI20" s="18">
        <v>0</v>
      </c>
      <c r="AJ20" s="18">
        <v>0</v>
      </c>
      <c r="AK20" s="19" t="s">
        <v>56</v>
      </c>
      <c r="AL20" s="19">
        <v>1905.2</v>
      </c>
      <c r="AM20" s="19">
        <v>382.1</v>
      </c>
      <c r="AN20" s="19">
        <f t="shared" si="2"/>
        <v>20.055637203443208</v>
      </c>
      <c r="AO20" s="19">
        <v>0</v>
      </c>
      <c r="AP20" s="19">
        <v>0</v>
      </c>
      <c r="AQ20" s="19" t="s">
        <v>56</v>
      </c>
      <c r="AR20" s="19">
        <v>0</v>
      </c>
      <c r="AS20" s="19">
        <v>0</v>
      </c>
      <c r="AT20" s="19" t="s">
        <v>56</v>
      </c>
      <c r="AU20" s="18">
        <v>668.1</v>
      </c>
      <c r="AV20" s="19">
        <f>668.1</f>
        <v>668.1</v>
      </c>
      <c r="AW20" s="19">
        <f t="shared" si="48"/>
        <v>100</v>
      </c>
      <c r="AX20" s="19">
        <v>3716.5</v>
      </c>
      <c r="AY20" s="19">
        <v>929.1</v>
      </c>
      <c r="AZ20" s="19">
        <f t="shared" si="38"/>
        <v>24.999327324095251</v>
      </c>
      <c r="BA20" s="18">
        <v>0</v>
      </c>
      <c r="BB20" s="19">
        <v>0</v>
      </c>
      <c r="BC20" s="19" t="s">
        <v>56</v>
      </c>
      <c r="BD20" s="18">
        <v>0</v>
      </c>
      <c r="BE20" s="19">
        <v>0</v>
      </c>
      <c r="BF20" s="19" t="s">
        <v>56</v>
      </c>
      <c r="BG20" s="18">
        <f>111838.03/1000</f>
        <v>111.83803</v>
      </c>
      <c r="BH20" s="19">
        <f>111.8</f>
        <v>111.8</v>
      </c>
      <c r="BI20" s="19">
        <f t="shared" si="3"/>
        <v>99.965995466837157</v>
      </c>
      <c r="BJ20" s="18">
        <f>100000/1000</f>
        <v>100</v>
      </c>
      <c r="BK20" s="19">
        <v>100</v>
      </c>
      <c r="BL20" s="19">
        <f>(BK20/BJ20)*100</f>
        <v>100</v>
      </c>
      <c r="BM20" s="18">
        <v>0</v>
      </c>
      <c r="BN20" s="19">
        <v>0</v>
      </c>
      <c r="BO20" s="19" t="s">
        <v>56</v>
      </c>
      <c r="BP20" s="18">
        <v>0</v>
      </c>
      <c r="BQ20" s="19">
        <v>0</v>
      </c>
      <c r="BR20" s="19" t="s">
        <v>56</v>
      </c>
      <c r="BS20" s="18">
        <v>0</v>
      </c>
      <c r="BT20" s="19">
        <v>0</v>
      </c>
      <c r="BU20" s="19" t="s">
        <v>56</v>
      </c>
      <c r="BV20" s="18">
        <v>0</v>
      </c>
      <c r="BW20" s="19">
        <v>0</v>
      </c>
      <c r="BX20" s="19" t="s">
        <v>56</v>
      </c>
      <c r="BY20" s="19">
        <v>0</v>
      </c>
      <c r="BZ20" s="19">
        <v>0</v>
      </c>
      <c r="CA20" s="19" t="s">
        <v>56</v>
      </c>
      <c r="CB20" s="18">
        <f>476.6</f>
        <v>476.6</v>
      </c>
      <c r="CC20" s="18">
        <f>476.6</f>
        <v>476.6</v>
      </c>
      <c r="CD20" s="34">
        <v>100</v>
      </c>
      <c r="CE20" s="18">
        <v>764.3</v>
      </c>
      <c r="CF20" s="18">
        <v>764.3</v>
      </c>
      <c r="CG20" s="34">
        <f t="shared" si="22"/>
        <v>100</v>
      </c>
      <c r="CH20" s="34">
        <v>0</v>
      </c>
      <c r="CI20" s="34">
        <v>0</v>
      </c>
      <c r="CJ20" s="34" t="s">
        <v>56</v>
      </c>
      <c r="CK20" s="18">
        <v>500</v>
      </c>
      <c r="CL20" s="18">
        <v>0</v>
      </c>
      <c r="CM20" s="34">
        <v>0</v>
      </c>
      <c r="CN20" s="18">
        <v>0</v>
      </c>
      <c r="CO20" s="34">
        <v>0</v>
      </c>
      <c r="CP20" s="34" t="s">
        <v>56</v>
      </c>
      <c r="CQ20" s="34">
        <v>196.4</v>
      </c>
      <c r="CR20" s="34">
        <v>0</v>
      </c>
      <c r="CS20" s="34">
        <v>0</v>
      </c>
      <c r="CT20" s="34">
        <v>0</v>
      </c>
      <c r="CU20" s="34">
        <v>0</v>
      </c>
      <c r="CV20" s="34" t="s">
        <v>56</v>
      </c>
      <c r="CW20" s="34">
        <v>0</v>
      </c>
      <c r="CX20" s="34">
        <v>0</v>
      </c>
      <c r="CY20" s="34" t="s">
        <v>56</v>
      </c>
      <c r="CZ20" s="34">
        <v>0</v>
      </c>
      <c r="DA20" s="34">
        <v>0</v>
      </c>
      <c r="DB20" s="34" t="s">
        <v>56</v>
      </c>
      <c r="DC20" s="34">
        <v>0</v>
      </c>
      <c r="DD20" s="34">
        <v>0</v>
      </c>
      <c r="DE20" s="35" t="s">
        <v>56</v>
      </c>
      <c r="DF20" s="34">
        <v>0</v>
      </c>
      <c r="DG20" s="34">
        <v>0</v>
      </c>
      <c r="DH20" s="34" t="s">
        <v>56</v>
      </c>
      <c r="DI20" s="34">
        <v>0</v>
      </c>
      <c r="DJ20" s="34">
        <v>0</v>
      </c>
      <c r="DK20" s="34" t="s">
        <v>56</v>
      </c>
      <c r="DL20" s="34">
        <v>17457.099999999999</v>
      </c>
      <c r="DM20" s="34">
        <v>17457.099999999999</v>
      </c>
      <c r="DN20" s="34">
        <f t="shared" si="24"/>
        <v>100</v>
      </c>
      <c r="DO20" s="34">
        <v>0</v>
      </c>
      <c r="DP20" s="34">
        <v>0</v>
      </c>
      <c r="DQ20" s="34" t="s">
        <v>56</v>
      </c>
      <c r="DR20" s="34">
        <v>0</v>
      </c>
      <c r="DS20" s="34">
        <v>0</v>
      </c>
      <c r="DT20" s="34" t="s">
        <v>56</v>
      </c>
      <c r="DU20" s="34">
        <v>0</v>
      </c>
      <c r="DV20" s="34">
        <v>0</v>
      </c>
      <c r="DW20" s="34" t="s">
        <v>56</v>
      </c>
      <c r="DX20" s="34">
        <v>0</v>
      </c>
      <c r="DY20" s="34">
        <v>0</v>
      </c>
      <c r="DZ20" s="34" t="s">
        <v>56</v>
      </c>
      <c r="EA20" s="18">
        <v>0</v>
      </c>
      <c r="EB20" s="19">
        <v>0</v>
      </c>
      <c r="EC20" s="34" t="s">
        <v>56</v>
      </c>
      <c r="ED20" s="18">
        <v>0</v>
      </c>
      <c r="EE20" s="19">
        <v>0</v>
      </c>
      <c r="EF20" s="34" t="s">
        <v>56</v>
      </c>
      <c r="EG20" s="13">
        <f t="shared" si="5"/>
        <v>224219.25</v>
      </c>
      <c r="EH20" s="13">
        <f t="shared" si="6"/>
        <v>151159.79999999999</v>
      </c>
      <c r="EI20" s="14">
        <f t="shared" si="40"/>
        <v>67.416067086122169</v>
      </c>
      <c r="EJ20" s="36">
        <v>1359.2</v>
      </c>
      <c r="EK20" s="36">
        <v>760.5</v>
      </c>
      <c r="EL20" s="19">
        <f t="shared" si="7"/>
        <v>55.952030606238964</v>
      </c>
      <c r="EM20" s="36">
        <v>0</v>
      </c>
      <c r="EN20" s="19">
        <v>0</v>
      </c>
      <c r="EO20" s="19" t="s">
        <v>56</v>
      </c>
      <c r="EP20" s="36">
        <f>50/1000</f>
        <v>0.05</v>
      </c>
      <c r="EQ20" s="19">
        <v>0</v>
      </c>
      <c r="ER20" s="19">
        <f t="shared" si="10"/>
        <v>0</v>
      </c>
      <c r="ES20" s="36">
        <v>66866.3</v>
      </c>
      <c r="ET20" s="19">
        <v>29947.1</v>
      </c>
      <c r="EU20" s="19">
        <v>44.786536715804523</v>
      </c>
      <c r="EV20" s="34">
        <v>128974.9</v>
      </c>
      <c r="EW20" s="34">
        <v>102955.3</v>
      </c>
      <c r="EX20" s="35">
        <v>79.8258420824517</v>
      </c>
      <c r="EY20" s="36">
        <v>8480.9</v>
      </c>
      <c r="EZ20" s="34">
        <v>4339.8</v>
      </c>
      <c r="FA20" s="34">
        <f t="shared" si="25"/>
        <v>51.17145585963754</v>
      </c>
      <c r="FB20" s="36">
        <v>1072.5999999999999</v>
      </c>
      <c r="FC20" s="19">
        <v>187.7</v>
      </c>
      <c r="FD20" s="19">
        <f t="shared" si="11"/>
        <v>17.499533842998321</v>
      </c>
      <c r="FE20" s="36">
        <v>0</v>
      </c>
      <c r="FF20" s="19">
        <v>0</v>
      </c>
      <c r="FG20" s="19" t="s">
        <v>56</v>
      </c>
      <c r="FH20" s="36">
        <v>0</v>
      </c>
      <c r="FI20" s="19">
        <v>0</v>
      </c>
      <c r="FJ20" s="19" t="s">
        <v>56</v>
      </c>
      <c r="FK20" s="36">
        <v>261.3</v>
      </c>
      <c r="FL20" s="19">
        <v>3.8</v>
      </c>
      <c r="FM20" s="19">
        <f t="shared" si="12"/>
        <v>1.4542671259089168</v>
      </c>
      <c r="FN20" s="36">
        <v>245</v>
      </c>
      <c r="FO20" s="19">
        <v>183.6</v>
      </c>
      <c r="FP20" s="19">
        <f t="shared" si="13"/>
        <v>74.938775510204067</v>
      </c>
      <c r="FQ20" s="36">
        <v>0.7</v>
      </c>
      <c r="FR20" s="19">
        <v>0.7</v>
      </c>
      <c r="FS20" s="19">
        <f t="shared" si="14"/>
        <v>100</v>
      </c>
      <c r="FT20" s="36">
        <v>95.5</v>
      </c>
      <c r="FU20" s="19">
        <v>50.7</v>
      </c>
      <c r="FV20" s="19">
        <f t="shared" si="41"/>
        <v>53.089005235602102</v>
      </c>
      <c r="FW20" s="36">
        <v>1</v>
      </c>
      <c r="FX20" s="19">
        <v>1</v>
      </c>
      <c r="FY20" s="19">
        <f>FX20/FW20%</f>
        <v>100</v>
      </c>
      <c r="FZ20" s="36">
        <v>565.6</v>
      </c>
      <c r="GA20" s="19">
        <v>338.8</v>
      </c>
      <c r="GB20" s="19">
        <f t="shared" si="15"/>
        <v>59.900990099009896</v>
      </c>
      <c r="GC20" s="36">
        <v>198.4</v>
      </c>
      <c r="GD20" s="19">
        <v>170</v>
      </c>
      <c r="GE20" s="19">
        <f t="shared" si="16"/>
        <v>85.685483870967744</v>
      </c>
      <c r="GF20" s="36">
        <v>0</v>
      </c>
      <c r="GG20" s="19">
        <v>0</v>
      </c>
      <c r="GH20" s="19" t="s">
        <v>56</v>
      </c>
      <c r="GI20" s="37">
        <v>0</v>
      </c>
      <c r="GJ20" s="19">
        <v>0</v>
      </c>
      <c r="GK20" s="19" t="s">
        <v>56</v>
      </c>
      <c r="GL20" s="37">
        <v>1502.9</v>
      </c>
      <c r="GM20" s="19">
        <v>936.1</v>
      </c>
      <c r="GN20" s="19">
        <f t="shared" si="17"/>
        <v>62.286246589926137</v>
      </c>
      <c r="GO20" s="36">
        <v>0</v>
      </c>
      <c r="GP20" s="36">
        <v>0</v>
      </c>
      <c r="GQ20" s="19" t="s">
        <v>56</v>
      </c>
      <c r="GR20" s="36">
        <v>43.8</v>
      </c>
      <c r="GS20" s="19">
        <v>35.9</v>
      </c>
      <c r="GT20" s="19">
        <f t="shared" si="52"/>
        <v>81.963470319634709</v>
      </c>
      <c r="GU20" s="36">
        <v>654.9</v>
      </c>
      <c r="GV20" s="19">
        <v>284.5</v>
      </c>
      <c r="GW20" s="19">
        <f t="shared" si="51"/>
        <v>43.441746831577341</v>
      </c>
      <c r="GX20" s="36">
        <v>1122</v>
      </c>
      <c r="GY20" s="19">
        <v>1122</v>
      </c>
      <c r="GZ20" s="19">
        <f>GY20/GX20%</f>
        <v>100</v>
      </c>
      <c r="HA20" s="36">
        <v>188.7</v>
      </c>
      <c r="HB20" s="19">
        <v>0</v>
      </c>
      <c r="HC20" s="19">
        <v>0</v>
      </c>
      <c r="HD20" s="19">
        <v>10790.5</v>
      </c>
      <c r="HE20" s="19">
        <v>8645.5</v>
      </c>
      <c r="HF20" s="38">
        <f t="shared" si="26"/>
        <v>80.12140308604792</v>
      </c>
      <c r="HG20" s="36">
        <v>1795</v>
      </c>
      <c r="HH20" s="19">
        <v>1196.8</v>
      </c>
      <c r="HI20" s="19">
        <f t="shared" si="27"/>
        <v>66.674094707520894</v>
      </c>
      <c r="HJ20" s="17">
        <f t="shared" si="28"/>
        <v>25616.899999999998</v>
      </c>
      <c r="HK20" s="17">
        <f t="shared" si="29"/>
        <v>7289.9</v>
      </c>
      <c r="HL20" s="16">
        <f t="shared" si="30"/>
        <v>28.45738555406782</v>
      </c>
      <c r="HM20" s="34">
        <v>5937.1</v>
      </c>
      <c r="HN20" s="34">
        <v>1340.8</v>
      </c>
      <c r="HO20" s="35">
        <f t="shared" si="42"/>
        <v>22.583416145929831</v>
      </c>
      <c r="HP20" s="35">
        <v>0</v>
      </c>
      <c r="HQ20" s="35">
        <v>0</v>
      </c>
      <c r="HR20" s="35" t="s">
        <v>56</v>
      </c>
      <c r="HS20" s="35">
        <v>11550</v>
      </c>
      <c r="HT20" s="35">
        <v>1890.5</v>
      </c>
      <c r="HU20" s="35">
        <f t="shared" si="43"/>
        <v>16.367965367965368</v>
      </c>
      <c r="HV20" s="35">
        <v>4071.2</v>
      </c>
      <c r="HW20" s="35">
        <v>0</v>
      </c>
      <c r="HX20" s="35">
        <f t="shared" si="44"/>
        <v>0</v>
      </c>
      <c r="HY20" s="34">
        <v>0</v>
      </c>
      <c r="HZ20" s="34">
        <v>0</v>
      </c>
      <c r="IA20" s="34" t="s">
        <v>56</v>
      </c>
      <c r="IB20" s="34">
        <v>109</v>
      </c>
      <c r="IC20" s="34">
        <v>109</v>
      </c>
      <c r="ID20" s="35">
        <f t="shared" si="31"/>
        <v>100</v>
      </c>
      <c r="IE20" s="34">
        <v>0</v>
      </c>
      <c r="IF20" s="34">
        <v>0</v>
      </c>
      <c r="IG20" s="35" t="s">
        <v>56</v>
      </c>
      <c r="IH20" s="18">
        <v>3949.6</v>
      </c>
      <c r="II20" s="19">
        <v>3949.6</v>
      </c>
      <c r="IJ20" s="19">
        <f t="shared" si="32"/>
        <v>100</v>
      </c>
      <c r="IK20" s="18">
        <v>0</v>
      </c>
      <c r="IL20" s="18">
        <v>0</v>
      </c>
      <c r="IM20" s="18" t="s">
        <v>56</v>
      </c>
      <c r="IN20" s="19">
        <v>0</v>
      </c>
      <c r="IO20" s="19">
        <v>0</v>
      </c>
      <c r="IP20" s="19" t="s">
        <v>56</v>
      </c>
      <c r="IQ20" s="19">
        <v>0</v>
      </c>
      <c r="IR20" s="19">
        <v>0</v>
      </c>
      <c r="IS20" s="21" t="s">
        <v>56</v>
      </c>
      <c r="IT20" s="19">
        <v>0</v>
      </c>
      <c r="IU20" s="19">
        <v>0</v>
      </c>
      <c r="IV20" s="21" t="s">
        <v>56</v>
      </c>
      <c r="IW20" s="19">
        <v>0</v>
      </c>
      <c r="IX20" s="19">
        <v>0</v>
      </c>
      <c r="IY20" s="19" t="s">
        <v>56</v>
      </c>
      <c r="IZ20" s="19">
        <v>0</v>
      </c>
      <c r="JA20" s="19">
        <v>0</v>
      </c>
      <c r="JB20" s="21" t="s">
        <v>56</v>
      </c>
      <c r="JC20" s="19">
        <v>0</v>
      </c>
      <c r="JD20" s="19">
        <v>0</v>
      </c>
      <c r="JE20" s="19" t="s">
        <v>56</v>
      </c>
      <c r="JF20" s="19">
        <v>0</v>
      </c>
      <c r="JG20" s="19">
        <v>0</v>
      </c>
      <c r="JH20" s="25" t="s">
        <v>56</v>
      </c>
      <c r="JI20" s="23">
        <v>0</v>
      </c>
      <c r="JJ20" s="19">
        <v>0</v>
      </c>
      <c r="JK20" s="25" t="s">
        <v>56</v>
      </c>
      <c r="JL20" s="19">
        <v>0</v>
      </c>
      <c r="JM20" s="19">
        <v>0</v>
      </c>
      <c r="JN20" s="21" t="s">
        <v>56</v>
      </c>
      <c r="JO20" s="19">
        <v>0</v>
      </c>
      <c r="JP20" s="19">
        <v>0</v>
      </c>
      <c r="JQ20" s="19" t="s">
        <v>56</v>
      </c>
      <c r="JR20" s="19">
        <v>0</v>
      </c>
      <c r="JS20" s="19">
        <v>0</v>
      </c>
      <c r="JT20" s="19" t="s">
        <v>56</v>
      </c>
      <c r="JU20" s="19">
        <v>0</v>
      </c>
      <c r="JV20" s="19">
        <v>0</v>
      </c>
      <c r="JW20" s="21" t="s">
        <v>56</v>
      </c>
      <c r="JX20" s="21">
        <v>0</v>
      </c>
      <c r="JY20" s="21">
        <v>0</v>
      </c>
      <c r="JZ20" s="21" t="s">
        <v>56</v>
      </c>
      <c r="KA20" s="21">
        <v>0</v>
      </c>
      <c r="KB20" s="21">
        <v>0</v>
      </c>
      <c r="KC20" s="21" t="s">
        <v>56</v>
      </c>
      <c r="KD20" s="14">
        <f t="shared" si="45"/>
        <v>407003.38803000003</v>
      </c>
      <c r="KE20" s="14">
        <f t="shared" si="46"/>
        <v>243918.3</v>
      </c>
      <c r="KF20" s="14">
        <f t="shared" si="47"/>
        <v>59.930287357219953</v>
      </c>
      <c r="KG20" s="7"/>
      <c r="KH20" s="9"/>
      <c r="KJ20" s="9"/>
    </row>
    <row r="21" spans="1:296" x14ac:dyDescent="0.2">
      <c r="A21" s="27" t="s">
        <v>22</v>
      </c>
      <c r="B21" s="13">
        <f t="shared" si="20"/>
        <v>188296</v>
      </c>
      <c r="C21" s="13">
        <f t="shared" si="33"/>
        <v>172554.7</v>
      </c>
      <c r="D21" s="14">
        <f t="shared" si="34"/>
        <v>91.640130432935379</v>
      </c>
      <c r="E21" s="18">
        <v>188296</v>
      </c>
      <c r="F21" s="19">
        <v>172554.7</v>
      </c>
      <c r="G21" s="19">
        <f t="shared" si="0"/>
        <v>91.640130432935379</v>
      </c>
      <c r="H21" s="18">
        <v>0</v>
      </c>
      <c r="I21" s="19">
        <v>0</v>
      </c>
      <c r="J21" s="19" t="s">
        <v>56</v>
      </c>
      <c r="K21" s="19">
        <v>0</v>
      </c>
      <c r="L21" s="19">
        <v>0</v>
      </c>
      <c r="M21" s="19" t="s">
        <v>56</v>
      </c>
      <c r="N21" s="13">
        <f t="shared" si="35"/>
        <v>123141.10563000001</v>
      </c>
      <c r="O21" s="13">
        <f t="shared" si="36"/>
        <v>49455.899999999994</v>
      </c>
      <c r="P21" s="14">
        <f t="shared" si="21"/>
        <v>40.161974953026082</v>
      </c>
      <c r="Q21" s="19">
        <v>24380.6</v>
      </c>
      <c r="R21" s="19">
        <v>0</v>
      </c>
      <c r="S21" s="19">
        <f t="shared" si="37"/>
        <v>0</v>
      </c>
      <c r="T21" s="18">
        <v>0</v>
      </c>
      <c r="U21" s="19">
        <v>0</v>
      </c>
      <c r="V21" s="19" t="s">
        <v>56</v>
      </c>
      <c r="W21" s="18">
        <v>7210.5</v>
      </c>
      <c r="X21" s="19">
        <v>7210.5</v>
      </c>
      <c r="Y21" s="19">
        <f t="shared" si="1"/>
        <v>100</v>
      </c>
      <c r="Z21" s="18">
        <v>0</v>
      </c>
      <c r="AA21" s="19">
        <v>0</v>
      </c>
      <c r="AB21" s="19" t="s">
        <v>56</v>
      </c>
      <c r="AC21" s="18">
        <v>0</v>
      </c>
      <c r="AD21" s="19">
        <v>0</v>
      </c>
      <c r="AE21" s="19" t="s">
        <v>56</v>
      </c>
      <c r="AF21" s="18">
        <v>0</v>
      </c>
      <c r="AG21" s="19">
        <v>0</v>
      </c>
      <c r="AH21" s="19" t="s">
        <v>56</v>
      </c>
      <c r="AI21" s="18">
        <v>0</v>
      </c>
      <c r="AJ21" s="18">
        <v>0</v>
      </c>
      <c r="AK21" s="19" t="s">
        <v>56</v>
      </c>
      <c r="AL21" s="19">
        <v>4793.1000000000004</v>
      </c>
      <c r="AM21" s="19">
        <v>1801.4</v>
      </c>
      <c r="AN21" s="19">
        <f t="shared" si="2"/>
        <v>37.583192505893891</v>
      </c>
      <c r="AO21" s="19">
        <v>0</v>
      </c>
      <c r="AP21" s="19">
        <v>0</v>
      </c>
      <c r="AQ21" s="19" t="s">
        <v>56</v>
      </c>
      <c r="AR21" s="19">
        <v>0</v>
      </c>
      <c r="AS21" s="19">
        <v>0</v>
      </c>
      <c r="AT21" s="19" t="s">
        <v>56</v>
      </c>
      <c r="AU21" s="18">
        <v>1224.8</v>
      </c>
      <c r="AV21" s="19">
        <f>1224.8</f>
        <v>1224.8</v>
      </c>
      <c r="AW21" s="19">
        <f t="shared" si="48"/>
        <v>100</v>
      </c>
      <c r="AX21" s="19">
        <v>10312.700000000001</v>
      </c>
      <c r="AY21" s="19">
        <v>2578.1999999999998</v>
      </c>
      <c r="AZ21" s="19">
        <f t="shared" si="38"/>
        <v>25.000242419540953</v>
      </c>
      <c r="BA21" s="18">
        <v>0</v>
      </c>
      <c r="BB21" s="19">
        <v>0</v>
      </c>
      <c r="BC21" s="19" t="s">
        <v>56</v>
      </c>
      <c r="BD21" s="18">
        <v>0</v>
      </c>
      <c r="BE21" s="19">
        <v>0</v>
      </c>
      <c r="BF21" s="19" t="s">
        <v>56</v>
      </c>
      <c r="BG21" s="18">
        <f>134205.63/1000</f>
        <v>134.20563000000001</v>
      </c>
      <c r="BH21" s="19">
        <f>134.2</f>
        <v>134.19999999999999</v>
      </c>
      <c r="BI21" s="19">
        <f t="shared" si="3"/>
        <v>99.995804944993722</v>
      </c>
      <c r="BJ21" s="18">
        <f>250000/1000</f>
        <v>250</v>
      </c>
      <c r="BK21" s="19">
        <v>250</v>
      </c>
      <c r="BL21" s="19">
        <f>(BK21/BJ21)*100</f>
        <v>100</v>
      </c>
      <c r="BM21" s="18">
        <v>0</v>
      </c>
      <c r="BN21" s="19">
        <v>0</v>
      </c>
      <c r="BO21" s="19" t="s">
        <v>56</v>
      </c>
      <c r="BP21" s="18">
        <v>0</v>
      </c>
      <c r="BQ21" s="19">
        <v>0</v>
      </c>
      <c r="BR21" s="19" t="s">
        <v>56</v>
      </c>
      <c r="BS21" s="18">
        <v>0</v>
      </c>
      <c r="BT21" s="19">
        <v>0</v>
      </c>
      <c r="BU21" s="19" t="s">
        <v>56</v>
      </c>
      <c r="BV21" s="18">
        <v>0</v>
      </c>
      <c r="BW21" s="19">
        <v>0</v>
      </c>
      <c r="BX21" s="19" t="s">
        <v>56</v>
      </c>
      <c r="BY21" s="19">
        <v>3447.6</v>
      </c>
      <c r="BZ21" s="19">
        <v>1654.4</v>
      </c>
      <c r="CA21" s="19">
        <f t="shared" si="50"/>
        <v>47.987005453068804</v>
      </c>
      <c r="CB21" s="18">
        <f>818.6</f>
        <v>818.6</v>
      </c>
      <c r="CC21" s="18">
        <f>818.6</f>
        <v>818.6</v>
      </c>
      <c r="CD21" s="34">
        <v>100</v>
      </c>
      <c r="CE21" s="18">
        <v>4884.8</v>
      </c>
      <c r="CF21" s="18">
        <v>3584.3</v>
      </c>
      <c r="CG21" s="34">
        <f t="shared" si="22"/>
        <v>73.376596790042584</v>
      </c>
      <c r="CH21" s="34">
        <v>0</v>
      </c>
      <c r="CI21" s="34">
        <v>0</v>
      </c>
      <c r="CJ21" s="34" t="s">
        <v>56</v>
      </c>
      <c r="CK21" s="18">
        <v>1500</v>
      </c>
      <c r="CL21" s="18">
        <v>0</v>
      </c>
      <c r="CM21" s="34">
        <v>0</v>
      </c>
      <c r="CN21" s="18">
        <v>0</v>
      </c>
      <c r="CO21" s="34">
        <v>0</v>
      </c>
      <c r="CP21" s="34" t="s">
        <v>56</v>
      </c>
      <c r="CQ21" s="34">
        <v>229.4</v>
      </c>
      <c r="CR21" s="34">
        <v>0</v>
      </c>
      <c r="CS21" s="34">
        <v>0</v>
      </c>
      <c r="CT21" s="34">
        <v>0</v>
      </c>
      <c r="CU21" s="34">
        <v>0</v>
      </c>
      <c r="CV21" s="34" t="s">
        <v>56</v>
      </c>
      <c r="CW21" s="34">
        <v>7527.6</v>
      </c>
      <c r="CX21" s="34">
        <v>5775.2</v>
      </c>
      <c r="CY21" s="34">
        <f t="shared" si="23"/>
        <v>76.72033583080929</v>
      </c>
      <c r="CZ21" s="34">
        <v>2035.7</v>
      </c>
      <c r="DA21" s="34">
        <v>0</v>
      </c>
      <c r="DB21" s="34">
        <f t="shared" si="49"/>
        <v>0</v>
      </c>
      <c r="DC21" s="34">
        <v>0</v>
      </c>
      <c r="DD21" s="34">
        <v>0</v>
      </c>
      <c r="DE21" s="35" t="s">
        <v>56</v>
      </c>
      <c r="DF21" s="34">
        <v>0</v>
      </c>
      <c r="DG21" s="34">
        <v>0</v>
      </c>
      <c r="DH21" s="34" t="s">
        <v>56</v>
      </c>
      <c r="DI21" s="34">
        <v>0</v>
      </c>
      <c r="DJ21" s="34">
        <v>0</v>
      </c>
      <c r="DK21" s="34" t="s">
        <v>56</v>
      </c>
      <c r="DL21" s="34">
        <v>51693.4</v>
      </c>
      <c r="DM21" s="34">
        <v>21876.3</v>
      </c>
      <c r="DN21" s="34">
        <f t="shared" si="24"/>
        <v>42.319328966560526</v>
      </c>
      <c r="DO21" s="34">
        <v>150</v>
      </c>
      <c r="DP21" s="34">
        <v>0</v>
      </c>
      <c r="DQ21" s="34">
        <f t="shared" si="39"/>
        <v>0</v>
      </c>
      <c r="DR21" s="34">
        <v>0</v>
      </c>
      <c r="DS21" s="34">
        <v>0</v>
      </c>
      <c r="DT21" s="34" t="s">
        <v>56</v>
      </c>
      <c r="DU21" s="34">
        <v>0</v>
      </c>
      <c r="DV21" s="34">
        <v>0</v>
      </c>
      <c r="DW21" s="34" t="s">
        <v>56</v>
      </c>
      <c r="DX21" s="34">
        <v>0</v>
      </c>
      <c r="DY21" s="34">
        <v>0</v>
      </c>
      <c r="DZ21" s="34" t="s">
        <v>56</v>
      </c>
      <c r="EA21" s="18">
        <v>0</v>
      </c>
      <c r="EB21" s="19">
        <v>0</v>
      </c>
      <c r="EC21" s="34" t="s">
        <v>56</v>
      </c>
      <c r="ED21" s="18">
        <v>2548.1</v>
      </c>
      <c r="EE21" s="19">
        <v>2548</v>
      </c>
      <c r="EF21" s="34">
        <f>EE21/ED21%</f>
        <v>99.99607550724069</v>
      </c>
      <c r="EG21" s="13">
        <f t="shared" si="5"/>
        <v>479596.97399999993</v>
      </c>
      <c r="EH21" s="13">
        <f t="shared" si="6"/>
        <v>328038.39999999991</v>
      </c>
      <c r="EI21" s="14">
        <f t="shared" si="40"/>
        <v>68.39876350012166</v>
      </c>
      <c r="EJ21" s="36">
        <v>3483.7</v>
      </c>
      <c r="EK21" s="36">
        <v>1590.7</v>
      </c>
      <c r="EL21" s="19">
        <f t="shared" si="7"/>
        <v>45.661222263685168</v>
      </c>
      <c r="EM21" s="36">
        <v>114.2</v>
      </c>
      <c r="EN21" s="19">
        <v>0</v>
      </c>
      <c r="EO21" s="19">
        <f t="shared" si="54"/>
        <v>0</v>
      </c>
      <c r="EP21" s="36">
        <f>74/1000</f>
        <v>7.3999999999999996E-2</v>
      </c>
      <c r="EQ21" s="19">
        <v>0</v>
      </c>
      <c r="ER21" s="19">
        <f t="shared" si="10"/>
        <v>0</v>
      </c>
      <c r="ES21" s="36">
        <v>142289.79999999999</v>
      </c>
      <c r="ET21" s="19">
        <v>77644.3</v>
      </c>
      <c r="EU21" s="19">
        <v>54.567720244177735</v>
      </c>
      <c r="EV21" s="34">
        <v>280268.2</v>
      </c>
      <c r="EW21" s="34">
        <v>219354.1</v>
      </c>
      <c r="EX21" s="35">
        <v>78.265782561132511</v>
      </c>
      <c r="EY21" s="36">
        <v>21587.1</v>
      </c>
      <c r="EZ21" s="34">
        <v>11218.2</v>
      </c>
      <c r="FA21" s="34">
        <f t="shared" si="25"/>
        <v>51.967147046152569</v>
      </c>
      <c r="FB21" s="36">
        <v>3052.2</v>
      </c>
      <c r="FC21" s="19">
        <v>0</v>
      </c>
      <c r="FD21" s="19">
        <f t="shared" si="11"/>
        <v>0</v>
      </c>
      <c r="FE21" s="36">
        <v>501</v>
      </c>
      <c r="FF21" s="19">
        <v>501</v>
      </c>
      <c r="FG21" s="19">
        <f>FF21/FE21%</f>
        <v>100</v>
      </c>
      <c r="FH21" s="36">
        <v>0</v>
      </c>
      <c r="FI21" s="19">
        <v>0</v>
      </c>
      <c r="FJ21" s="19" t="s">
        <v>56</v>
      </c>
      <c r="FK21" s="36">
        <v>457.6</v>
      </c>
      <c r="FL21" s="19">
        <v>248.6</v>
      </c>
      <c r="FM21" s="19">
        <f t="shared" si="12"/>
        <v>54.326923076923073</v>
      </c>
      <c r="FN21" s="36">
        <v>262.5</v>
      </c>
      <c r="FO21" s="19">
        <v>197.1</v>
      </c>
      <c r="FP21" s="19">
        <f t="shared" si="13"/>
        <v>75.085714285714289</v>
      </c>
      <c r="FQ21" s="36">
        <v>0.4</v>
      </c>
      <c r="FR21" s="19">
        <v>0.1</v>
      </c>
      <c r="FS21" s="19">
        <f t="shared" si="14"/>
        <v>25</v>
      </c>
      <c r="FT21" s="36">
        <v>222.8</v>
      </c>
      <c r="FU21" s="19">
        <v>122.2</v>
      </c>
      <c r="FV21" s="19">
        <f t="shared" si="41"/>
        <v>54.847396768402149</v>
      </c>
      <c r="FW21" s="36">
        <v>2.5</v>
      </c>
      <c r="FX21" s="19">
        <v>0.5</v>
      </c>
      <c r="FY21" s="19">
        <f>FX21/FW21%</f>
        <v>20</v>
      </c>
      <c r="FZ21" s="36">
        <v>592.6</v>
      </c>
      <c r="GA21" s="19">
        <v>492.2</v>
      </c>
      <c r="GB21" s="19">
        <f t="shared" si="15"/>
        <v>83.057711778602766</v>
      </c>
      <c r="GC21" s="36">
        <v>419.8</v>
      </c>
      <c r="GD21" s="19">
        <v>289.3</v>
      </c>
      <c r="GE21" s="19">
        <f t="shared" si="16"/>
        <v>68.913768461171983</v>
      </c>
      <c r="GF21" s="36">
        <v>0</v>
      </c>
      <c r="GG21" s="19">
        <v>0</v>
      </c>
      <c r="GH21" s="19" t="s">
        <v>56</v>
      </c>
      <c r="GI21" s="37">
        <v>0</v>
      </c>
      <c r="GJ21" s="19">
        <v>0</v>
      </c>
      <c r="GK21" s="19" t="s">
        <v>56</v>
      </c>
      <c r="GL21" s="37">
        <v>2435</v>
      </c>
      <c r="GM21" s="19">
        <v>1595.5</v>
      </c>
      <c r="GN21" s="19">
        <f t="shared" si="17"/>
        <v>65.523613963039011</v>
      </c>
      <c r="GO21" s="36">
        <v>0</v>
      </c>
      <c r="GP21" s="36">
        <v>0</v>
      </c>
      <c r="GQ21" s="19" t="s">
        <v>56</v>
      </c>
      <c r="GR21" s="36">
        <v>501.5</v>
      </c>
      <c r="GS21" s="19">
        <v>332.5</v>
      </c>
      <c r="GT21" s="19">
        <f t="shared" si="52"/>
        <v>66.301096709870393</v>
      </c>
      <c r="GU21" s="36">
        <v>4664.5</v>
      </c>
      <c r="GV21" s="19">
        <v>1320</v>
      </c>
      <c r="GW21" s="19">
        <f t="shared" si="51"/>
        <v>28.29885303891092</v>
      </c>
      <c r="GX21" s="36">
        <v>1610</v>
      </c>
      <c r="GY21" s="19">
        <v>801</v>
      </c>
      <c r="GZ21" s="19">
        <f>GY21/GX21%</f>
        <v>49.751552795031053</v>
      </c>
      <c r="HA21" s="36">
        <v>385.2</v>
      </c>
      <c r="HB21" s="19">
        <v>0</v>
      </c>
      <c r="HC21" s="19">
        <v>0</v>
      </c>
      <c r="HD21" s="19">
        <v>12948.3</v>
      </c>
      <c r="HE21" s="19">
        <v>9482.6</v>
      </c>
      <c r="HF21" s="38">
        <f t="shared" si="26"/>
        <v>73.234324196998841</v>
      </c>
      <c r="HG21" s="36">
        <v>3798</v>
      </c>
      <c r="HH21" s="19">
        <v>2848.5</v>
      </c>
      <c r="HI21" s="19">
        <f t="shared" si="27"/>
        <v>75</v>
      </c>
      <c r="HJ21" s="17">
        <f t="shared" si="28"/>
        <v>50843.700000000004</v>
      </c>
      <c r="HK21" s="17">
        <f t="shared" si="29"/>
        <v>19876.3</v>
      </c>
      <c r="HL21" s="16">
        <f t="shared" si="30"/>
        <v>39.09294563534911</v>
      </c>
      <c r="HM21" s="34">
        <v>10355.6</v>
      </c>
      <c r="HN21" s="34">
        <v>2588.9</v>
      </c>
      <c r="HO21" s="35">
        <f t="shared" si="42"/>
        <v>25</v>
      </c>
      <c r="HP21" s="35">
        <v>0</v>
      </c>
      <c r="HQ21" s="35">
        <v>0</v>
      </c>
      <c r="HR21" s="35" t="s">
        <v>56</v>
      </c>
      <c r="HS21" s="35">
        <v>9798.7999999999993</v>
      </c>
      <c r="HT21" s="35">
        <v>0</v>
      </c>
      <c r="HU21" s="35">
        <f t="shared" si="43"/>
        <v>0</v>
      </c>
      <c r="HV21" s="35">
        <v>0</v>
      </c>
      <c r="HW21" s="35">
        <v>0</v>
      </c>
      <c r="HX21" s="35" t="s">
        <v>56</v>
      </c>
      <c r="HY21" s="34">
        <v>0</v>
      </c>
      <c r="HZ21" s="34">
        <v>0</v>
      </c>
      <c r="IA21" s="34" t="s">
        <v>56</v>
      </c>
      <c r="IB21" s="34">
        <v>109</v>
      </c>
      <c r="IC21" s="34">
        <v>109</v>
      </c>
      <c r="ID21" s="35">
        <f t="shared" si="31"/>
        <v>100</v>
      </c>
      <c r="IE21" s="34">
        <v>3682.7</v>
      </c>
      <c r="IF21" s="34">
        <v>1678.4</v>
      </c>
      <c r="IG21" s="35">
        <f>(IF21/IE21)*100</f>
        <v>45.575257284057898</v>
      </c>
      <c r="IH21" s="18">
        <v>8397.6</v>
      </c>
      <c r="II21" s="19">
        <v>0</v>
      </c>
      <c r="IJ21" s="19">
        <f t="shared" si="32"/>
        <v>0</v>
      </c>
      <c r="IK21" s="18">
        <v>0</v>
      </c>
      <c r="IL21" s="18">
        <v>0</v>
      </c>
      <c r="IM21" s="18" t="s">
        <v>56</v>
      </c>
      <c r="IN21" s="19">
        <v>0</v>
      </c>
      <c r="IO21" s="19">
        <v>0</v>
      </c>
      <c r="IP21" s="19" t="s">
        <v>56</v>
      </c>
      <c r="IQ21" s="19">
        <v>15345</v>
      </c>
      <c r="IR21" s="19">
        <v>15345</v>
      </c>
      <c r="IS21" s="21">
        <f t="shared" si="53"/>
        <v>100</v>
      </c>
      <c r="IT21" s="19">
        <v>3000</v>
      </c>
      <c r="IU21" s="19">
        <v>0</v>
      </c>
      <c r="IV21" s="21" t="s">
        <v>56</v>
      </c>
      <c r="IW21" s="19">
        <v>0</v>
      </c>
      <c r="IX21" s="19">
        <v>0</v>
      </c>
      <c r="IY21" s="19" t="s">
        <v>56</v>
      </c>
      <c r="IZ21" s="19">
        <v>0</v>
      </c>
      <c r="JA21" s="19">
        <v>0</v>
      </c>
      <c r="JB21" s="21" t="s">
        <v>56</v>
      </c>
      <c r="JC21" s="19">
        <v>155</v>
      </c>
      <c r="JD21" s="19">
        <v>155</v>
      </c>
      <c r="JE21" s="19">
        <f>(JD21/JC21)*100</f>
        <v>100</v>
      </c>
      <c r="JF21" s="19">
        <v>0</v>
      </c>
      <c r="JG21" s="19">
        <v>0</v>
      </c>
      <c r="JH21" s="25" t="s">
        <v>56</v>
      </c>
      <c r="JI21" s="23">
        <v>0</v>
      </c>
      <c r="JJ21" s="19">
        <v>0</v>
      </c>
      <c r="JK21" s="25" t="s">
        <v>56</v>
      </c>
      <c r="JL21" s="19">
        <v>0</v>
      </c>
      <c r="JM21" s="19">
        <v>0</v>
      </c>
      <c r="JN21" s="21" t="s">
        <v>56</v>
      </c>
      <c r="JO21" s="19">
        <v>0</v>
      </c>
      <c r="JP21" s="19">
        <v>0</v>
      </c>
      <c r="JQ21" s="19" t="s">
        <v>56</v>
      </c>
      <c r="JR21" s="19">
        <v>0</v>
      </c>
      <c r="JS21" s="19">
        <v>0</v>
      </c>
      <c r="JT21" s="19" t="s">
        <v>56</v>
      </c>
      <c r="JU21" s="19">
        <v>0</v>
      </c>
      <c r="JV21" s="19">
        <v>0</v>
      </c>
      <c r="JW21" s="21" t="s">
        <v>56</v>
      </c>
      <c r="JX21" s="21">
        <v>0</v>
      </c>
      <c r="JY21" s="21">
        <v>0</v>
      </c>
      <c r="JZ21" s="21" t="s">
        <v>56</v>
      </c>
      <c r="KA21" s="21">
        <v>0</v>
      </c>
      <c r="KB21" s="21">
        <v>0</v>
      </c>
      <c r="KC21" s="21" t="s">
        <v>56</v>
      </c>
      <c r="KD21" s="14">
        <f t="shared" si="45"/>
        <v>841877.77962999989</v>
      </c>
      <c r="KE21" s="14">
        <f t="shared" si="46"/>
        <v>569925.29999999993</v>
      </c>
      <c r="KF21" s="14">
        <f t="shared" si="47"/>
        <v>67.696916795984166</v>
      </c>
      <c r="KG21" s="7"/>
      <c r="KH21" s="9"/>
      <c r="KJ21" s="9"/>
    </row>
    <row r="22" spans="1:296" x14ac:dyDescent="0.2">
      <c r="A22" s="27" t="s">
        <v>23</v>
      </c>
      <c r="B22" s="13">
        <f t="shared" si="20"/>
        <v>56977</v>
      </c>
      <c r="C22" s="13">
        <f t="shared" si="33"/>
        <v>42021.4</v>
      </c>
      <c r="D22" s="14">
        <f t="shared" si="34"/>
        <v>73.751513768713693</v>
      </c>
      <c r="E22" s="18">
        <v>56977</v>
      </c>
      <c r="F22" s="19">
        <v>42021.4</v>
      </c>
      <c r="G22" s="19">
        <f t="shared" si="0"/>
        <v>73.751513768713693</v>
      </c>
      <c r="H22" s="18">
        <v>0</v>
      </c>
      <c r="I22" s="19">
        <v>0</v>
      </c>
      <c r="J22" s="19" t="s">
        <v>56</v>
      </c>
      <c r="K22" s="19">
        <v>0</v>
      </c>
      <c r="L22" s="19">
        <v>0</v>
      </c>
      <c r="M22" s="19" t="s">
        <v>56</v>
      </c>
      <c r="N22" s="13">
        <f t="shared" si="35"/>
        <v>147962.69999999998</v>
      </c>
      <c r="O22" s="13">
        <f t="shared" si="36"/>
        <v>31795</v>
      </c>
      <c r="P22" s="14">
        <f t="shared" si="21"/>
        <v>21.488523796875835</v>
      </c>
      <c r="Q22" s="19">
        <v>8126.9</v>
      </c>
      <c r="R22" s="19">
        <v>0</v>
      </c>
      <c r="S22" s="19">
        <f t="shared" si="37"/>
        <v>0</v>
      </c>
      <c r="T22" s="18">
        <v>0</v>
      </c>
      <c r="U22" s="19">
        <v>0</v>
      </c>
      <c r="V22" s="19" t="s">
        <v>56</v>
      </c>
      <c r="W22" s="18">
        <v>0</v>
      </c>
      <c r="X22" s="19">
        <v>0</v>
      </c>
      <c r="Y22" s="19" t="s">
        <v>56</v>
      </c>
      <c r="Z22" s="18">
        <v>0</v>
      </c>
      <c r="AA22" s="19">
        <v>0</v>
      </c>
      <c r="AB22" s="19" t="s">
        <v>56</v>
      </c>
      <c r="AC22" s="18">
        <v>0</v>
      </c>
      <c r="AD22" s="19">
        <v>0</v>
      </c>
      <c r="AE22" s="19" t="s">
        <v>56</v>
      </c>
      <c r="AF22" s="18">
        <v>0</v>
      </c>
      <c r="AG22" s="19">
        <v>0</v>
      </c>
      <c r="AH22" s="19" t="s">
        <v>56</v>
      </c>
      <c r="AI22" s="18">
        <v>0</v>
      </c>
      <c r="AJ22" s="18">
        <v>0</v>
      </c>
      <c r="AK22" s="19" t="s">
        <v>56</v>
      </c>
      <c r="AL22" s="19">
        <v>4169.3999999999996</v>
      </c>
      <c r="AM22" s="19">
        <v>2346.9</v>
      </c>
      <c r="AN22" s="19">
        <f t="shared" si="2"/>
        <v>56.288674629443094</v>
      </c>
      <c r="AO22" s="19">
        <v>0</v>
      </c>
      <c r="AP22" s="19">
        <v>0</v>
      </c>
      <c r="AQ22" s="19" t="s">
        <v>56</v>
      </c>
      <c r="AR22" s="19">
        <v>0</v>
      </c>
      <c r="AS22" s="19">
        <v>0</v>
      </c>
      <c r="AT22" s="19" t="s">
        <v>56</v>
      </c>
      <c r="AU22" s="18">
        <v>2005.8</v>
      </c>
      <c r="AV22" s="19">
        <v>2005.8</v>
      </c>
      <c r="AW22" s="19">
        <f t="shared" si="48"/>
        <v>100</v>
      </c>
      <c r="AX22" s="19">
        <v>8217.9</v>
      </c>
      <c r="AY22" s="19">
        <v>0</v>
      </c>
      <c r="AZ22" s="19">
        <f t="shared" si="38"/>
        <v>0</v>
      </c>
      <c r="BA22" s="18">
        <v>0</v>
      </c>
      <c r="BB22" s="19">
        <v>0</v>
      </c>
      <c r="BC22" s="19" t="s">
        <v>56</v>
      </c>
      <c r="BD22" s="18">
        <v>0</v>
      </c>
      <c r="BE22" s="19">
        <v>0</v>
      </c>
      <c r="BF22" s="19" t="s">
        <v>56</v>
      </c>
      <c r="BG22" s="18">
        <v>0</v>
      </c>
      <c r="BH22" s="19">
        <v>0</v>
      </c>
      <c r="BI22" s="19" t="s">
        <v>56</v>
      </c>
      <c r="BJ22" s="18">
        <f>100000/1000</f>
        <v>100</v>
      </c>
      <c r="BK22" s="19">
        <v>100</v>
      </c>
      <c r="BL22" s="19">
        <f>(BK22/BJ22)*100</f>
        <v>100</v>
      </c>
      <c r="BM22" s="18">
        <v>0</v>
      </c>
      <c r="BN22" s="19">
        <v>0</v>
      </c>
      <c r="BO22" s="19" t="s">
        <v>56</v>
      </c>
      <c r="BP22" s="18">
        <v>0</v>
      </c>
      <c r="BQ22" s="19">
        <v>0</v>
      </c>
      <c r="BR22" s="19" t="s">
        <v>56</v>
      </c>
      <c r="BS22" s="18">
        <v>0</v>
      </c>
      <c r="BT22" s="19">
        <v>0</v>
      </c>
      <c r="BU22" s="19" t="s">
        <v>56</v>
      </c>
      <c r="BV22" s="18">
        <v>0</v>
      </c>
      <c r="BW22" s="19">
        <v>0</v>
      </c>
      <c r="BX22" s="19" t="s">
        <v>56</v>
      </c>
      <c r="BY22" s="19">
        <v>0</v>
      </c>
      <c r="BZ22" s="19">
        <v>0</v>
      </c>
      <c r="CA22" s="19" t="s">
        <v>56</v>
      </c>
      <c r="CB22" s="18">
        <v>0</v>
      </c>
      <c r="CC22" s="18">
        <v>0</v>
      </c>
      <c r="CD22" s="34" t="s">
        <v>56</v>
      </c>
      <c r="CE22" s="18">
        <v>0</v>
      </c>
      <c r="CF22" s="18">
        <v>0</v>
      </c>
      <c r="CG22" s="34" t="s">
        <v>56</v>
      </c>
      <c r="CH22" s="34">
        <v>0</v>
      </c>
      <c r="CI22" s="34">
        <v>0</v>
      </c>
      <c r="CJ22" s="34" t="s">
        <v>56</v>
      </c>
      <c r="CK22" s="18">
        <v>1500</v>
      </c>
      <c r="CL22" s="18">
        <v>0</v>
      </c>
      <c r="CM22" s="34">
        <v>0</v>
      </c>
      <c r="CN22" s="18">
        <v>6272.5</v>
      </c>
      <c r="CO22" s="34">
        <f>1829+4443.5</f>
        <v>6272.5</v>
      </c>
      <c r="CP22" s="34">
        <f t="shared" si="4"/>
        <v>100</v>
      </c>
      <c r="CQ22" s="34">
        <v>0</v>
      </c>
      <c r="CR22" s="34">
        <v>0</v>
      </c>
      <c r="CS22" s="34" t="s">
        <v>56</v>
      </c>
      <c r="CT22" s="34">
        <v>0</v>
      </c>
      <c r="CU22" s="34">
        <v>0</v>
      </c>
      <c r="CV22" s="34" t="s">
        <v>56</v>
      </c>
      <c r="CW22" s="34">
        <v>8792.4</v>
      </c>
      <c r="CX22" s="34">
        <v>0</v>
      </c>
      <c r="CY22" s="34">
        <f t="shared" si="23"/>
        <v>0</v>
      </c>
      <c r="CZ22" s="34">
        <v>2035.7</v>
      </c>
      <c r="DA22" s="34">
        <v>0</v>
      </c>
      <c r="DB22" s="34">
        <f t="shared" si="49"/>
        <v>0</v>
      </c>
      <c r="DC22" s="34">
        <v>22337.4</v>
      </c>
      <c r="DD22" s="34">
        <v>0</v>
      </c>
      <c r="DE22" s="35">
        <f>(DD22/DC22)*100</f>
        <v>0</v>
      </c>
      <c r="DF22" s="34">
        <v>57816</v>
      </c>
      <c r="DG22" s="34">
        <v>3559</v>
      </c>
      <c r="DH22" s="34">
        <f>DG22/DF22%</f>
        <v>6.1557354365573547</v>
      </c>
      <c r="DI22" s="34">
        <v>0</v>
      </c>
      <c r="DJ22" s="34">
        <v>0</v>
      </c>
      <c r="DK22" s="34" t="s">
        <v>56</v>
      </c>
      <c r="DL22" s="34">
        <v>21248.799999999999</v>
      </c>
      <c r="DM22" s="34">
        <v>12270.9</v>
      </c>
      <c r="DN22" s="34">
        <f t="shared" si="24"/>
        <v>57.74867286623244</v>
      </c>
      <c r="DO22" s="34">
        <v>250</v>
      </c>
      <c r="DP22" s="34">
        <v>150</v>
      </c>
      <c r="DQ22" s="34">
        <f t="shared" si="39"/>
        <v>60</v>
      </c>
      <c r="DR22" s="34">
        <v>0</v>
      </c>
      <c r="DS22" s="34">
        <v>0</v>
      </c>
      <c r="DT22" s="34" t="s">
        <v>56</v>
      </c>
      <c r="DU22" s="34">
        <v>5089.8999999999996</v>
      </c>
      <c r="DV22" s="34">
        <v>5089.8999999999996</v>
      </c>
      <c r="DW22" s="34">
        <f>(DV22/DU22)*100</f>
        <v>100</v>
      </c>
      <c r="DX22" s="34">
        <v>0</v>
      </c>
      <c r="DY22" s="34">
        <v>0</v>
      </c>
      <c r="DZ22" s="34" t="s">
        <v>56</v>
      </c>
      <c r="EA22" s="18">
        <v>0</v>
      </c>
      <c r="EB22" s="19">
        <v>0</v>
      </c>
      <c r="EC22" s="34" t="s">
        <v>56</v>
      </c>
      <c r="ED22" s="18">
        <v>0</v>
      </c>
      <c r="EE22" s="19">
        <v>0</v>
      </c>
      <c r="EF22" s="34" t="s">
        <v>56</v>
      </c>
      <c r="EG22" s="13">
        <f t="shared" si="5"/>
        <v>312982.8</v>
      </c>
      <c r="EH22" s="13">
        <f t="shared" si="6"/>
        <v>224703.49999999994</v>
      </c>
      <c r="EI22" s="14">
        <f t="shared" si="40"/>
        <v>71.79420083148338</v>
      </c>
      <c r="EJ22" s="36">
        <v>2867.4</v>
      </c>
      <c r="EK22" s="36">
        <v>2318.6999999999998</v>
      </c>
      <c r="EL22" s="19">
        <f t="shared" si="7"/>
        <v>80.864197530864189</v>
      </c>
      <c r="EM22" s="36">
        <v>0</v>
      </c>
      <c r="EN22" s="19">
        <v>0</v>
      </c>
      <c r="EO22" s="19" t="s">
        <v>56</v>
      </c>
      <c r="EP22" s="36">
        <v>0</v>
      </c>
      <c r="EQ22" s="19">
        <v>0</v>
      </c>
      <c r="ER22" s="19" t="s">
        <v>56</v>
      </c>
      <c r="ES22" s="36">
        <v>88240.5</v>
      </c>
      <c r="ET22" s="19">
        <v>48489.1</v>
      </c>
      <c r="EU22" s="19">
        <v>54.951071220131347</v>
      </c>
      <c r="EV22" s="34">
        <v>196622.5</v>
      </c>
      <c r="EW22" s="34">
        <v>156964.4</v>
      </c>
      <c r="EX22" s="35">
        <v>79.83033477857316</v>
      </c>
      <c r="EY22" s="36">
        <v>1697.8</v>
      </c>
      <c r="EZ22" s="34">
        <v>961.4</v>
      </c>
      <c r="FA22" s="34">
        <f t="shared" si="25"/>
        <v>56.626222169866892</v>
      </c>
      <c r="FB22" s="36">
        <v>1830.8</v>
      </c>
      <c r="FC22" s="19">
        <v>1708.4</v>
      </c>
      <c r="FD22" s="19">
        <f t="shared" si="11"/>
        <v>93.314398077343242</v>
      </c>
      <c r="FE22" s="36">
        <v>0</v>
      </c>
      <c r="FF22" s="19">
        <v>0</v>
      </c>
      <c r="FG22" s="19" t="s">
        <v>56</v>
      </c>
      <c r="FH22" s="36">
        <v>0</v>
      </c>
      <c r="FI22" s="19">
        <v>0</v>
      </c>
      <c r="FJ22" s="19" t="s">
        <v>56</v>
      </c>
      <c r="FK22" s="36">
        <v>0</v>
      </c>
      <c r="FL22" s="19">
        <v>0</v>
      </c>
      <c r="FM22" s="19" t="s">
        <v>56</v>
      </c>
      <c r="FN22" s="36">
        <v>122.5</v>
      </c>
      <c r="FO22" s="19">
        <v>91.8</v>
      </c>
      <c r="FP22" s="19">
        <f t="shared" si="13"/>
        <v>74.938775510204067</v>
      </c>
      <c r="FQ22" s="36">
        <v>3.5</v>
      </c>
      <c r="FR22" s="19">
        <v>3.5</v>
      </c>
      <c r="FS22" s="19">
        <f t="shared" si="14"/>
        <v>99.999999999999986</v>
      </c>
      <c r="FT22" s="36">
        <v>31.8</v>
      </c>
      <c r="FU22" s="19">
        <v>24.3</v>
      </c>
      <c r="FV22" s="19">
        <f t="shared" si="41"/>
        <v>76.415094339622641</v>
      </c>
      <c r="FW22" s="36">
        <v>5</v>
      </c>
      <c r="FX22" s="19">
        <v>2.5</v>
      </c>
      <c r="FY22" s="19">
        <f>FX22/FW22%</f>
        <v>50</v>
      </c>
      <c r="FZ22" s="36">
        <v>589</v>
      </c>
      <c r="GA22" s="19">
        <v>394.9</v>
      </c>
      <c r="GB22" s="19">
        <f t="shared" si="15"/>
        <v>67.045840407470294</v>
      </c>
      <c r="GC22" s="36">
        <v>443</v>
      </c>
      <c r="GD22" s="19">
        <v>379</v>
      </c>
      <c r="GE22" s="19">
        <f t="shared" si="16"/>
        <v>85.553047404063207</v>
      </c>
      <c r="GF22" s="36">
        <v>0</v>
      </c>
      <c r="GG22" s="19">
        <v>0</v>
      </c>
      <c r="GH22" s="19" t="s">
        <v>56</v>
      </c>
      <c r="GI22" s="37">
        <v>0</v>
      </c>
      <c r="GJ22" s="19">
        <v>0</v>
      </c>
      <c r="GK22" s="19" t="s">
        <v>56</v>
      </c>
      <c r="GL22" s="37">
        <v>1313.9</v>
      </c>
      <c r="GM22" s="19">
        <v>931.7</v>
      </c>
      <c r="GN22" s="19">
        <f t="shared" si="17"/>
        <v>70.911028236547679</v>
      </c>
      <c r="GO22" s="36">
        <v>0</v>
      </c>
      <c r="GP22" s="36">
        <v>0</v>
      </c>
      <c r="GQ22" s="19" t="s">
        <v>56</v>
      </c>
      <c r="GR22" s="36">
        <v>0</v>
      </c>
      <c r="GS22" s="19">
        <v>0</v>
      </c>
      <c r="GT22" s="19" t="s">
        <v>56</v>
      </c>
      <c r="GU22" s="36">
        <v>226.5</v>
      </c>
      <c r="GV22" s="19">
        <v>50</v>
      </c>
      <c r="GW22" s="19">
        <f t="shared" si="51"/>
        <v>22.075055187637968</v>
      </c>
      <c r="GX22" s="36">
        <v>7125</v>
      </c>
      <c r="GY22" s="19">
        <v>4058.4</v>
      </c>
      <c r="GZ22" s="19">
        <f>GY22/GX22%</f>
        <v>56.96</v>
      </c>
      <c r="HA22" s="36">
        <v>316.10000000000002</v>
      </c>
      <c r="HB22" s="19">
        <v>0</v>
      </c>
      <c r="HC22" s="19">
        <v>0</v>
      </c>
      <c r="HD22" s="19">
        <v>7971.5</v>
      </c>
      <c r="HE22" s="19">
        <v>5643.4</v>
      </c>
      <c r="HF22" s="38">
        <f t="shared" si="26"/>
        <v>70.794706140625976</v>
      </c>
      <c r="HG22" s="36">
        <v>3576</v>
      </c>
      <c r="HH22" s="19">
        <v>2682</v>
      </c>
      <c r="HI22" s="19">
        <f t="shared" si="27"/>
        <v>75</v>
      </c>
      <c r="HJ22" s="17">
        <f t="shared" si="28"/>
        <v>56465.3</v>
      </c>
      <c r="HK22" s="17">
        <f t="shared" si="29"/>
        <v>11041.5</v>
      </c>
      <c r="HL22" s="16">
        <f t="shared" si="30"/>
        <v>19.554487446272312</v>
      </c>
      <c r="HM22" s="34">
        <v>7538.6</v>
      </c>
      <c r="HN22" s="34">
        <v>0</v>
      </c>
      <c r="HO22" s="35">
        <f t="shared" si="42"/>
        <v>0</v>
      </c>
      <c r="HP22" s="35">
        <v>0</v>
      </c>
      <c r="HQ22" s="35">
        <v>0</v>
      </c>
      <c r="HR22" s="35" t="s">
        <v>56</v>
      </c>
      <c r="HS22" s="35">
        <v>24500</v>
      </c>
      <c r="HT22" s="35">
        <v>0</v>
      </c>
      <c r="HU22" s="35">
        <f t="shared" si="43"/>
        <v>0</v>
      </c>
      <c r="HV22" s="35">
        <v>13384.9</v>
      </c>
      <c r="HW22" s="35">
        <v>0</v>
      </c>
      <c r="HX22" s="35">
        <f t="shared" si="44"/>
        <v>0</v>
      </c>
      <c r="HY22" s="34">
        <v>0</v>
      </c>
      <c r="HZ22" s="34">
        <v>0</v>
      </c>
      <c r="IA22" s="34" t="s">
        <v>56</v>
      </c>
      <c r="IB22" s="34">
        <v>117</v>
      </c>
      <c r="IC22" s="34">
        <v>117</v>
      </c>
      <c r="ID22" s="35">
        <f t="shared" si="31"/>
        <v>100</v>
      </c>
      <c r="IE22" s="34">
        <v>0</v>
      </c>
      <c r="IF22" s="34">
        <v>0</v>
      </c>
      <c r="IG22" s="35" t="s">
        <v>56</v>
      </c>
      <c r="IH22" s="18">
        <v>7858.6</v>
      </c>
      <c r="II22" s="19">
        <v>7858.6</v>
      </c>
      <c r="IJ22" s="19">
        <f t="shared" si="32"/>
        <v>100</v>
      </c>
      <c r="IK22" s="18">
        <v>0</v>
      </c>
      <c r="IL22" s="18">
        <v>0</v>
      </c>
      <c r="IM22" s="18" t="s">
        <v>56</v>
      </c>
      <c r="IN22" s="19">
        <v>0</v>
      </c>
      <c r="IO22" s="19">
        <v>0</v>
      </c>
      <c r="IP22" s="19" t="s">
        <v>56</v>
      </c>
      <c r="IQ22" s="19">
        <v>0</v>
      </c>
      <c r="IR22" s="19">
        <v>0</v>
      </c>
      <c r="IS22" s="21" t="s">
        <v>56</v>
      </c>
      <c r="IT22" s="19">
        <v>2551.3000000000002</v>
      </c>
      <c r="IU22" s="19">
        <v>2551</v>
      </c>
      <c r="IV22" s="21">
        <f>(IU22/IT22)*100</f>
        <v>99.988241288754736</v>
      </c>
      <c r="IW22" s="19">
        <v>0</v>
      </c>
      <c r="IX22" s="19">
        <v>0</v>
      </c>
      <c r="IY22" s="19" t="s">
        <v>56</v>
      </c>
      <c r="IZ22" s="19">
        <v>0</v>
      </c>
      <c r="JA22" s="19">
        <v>0</v>
      </c>
      <c r="JB22" s="21" t="s">
        <v>56</v>
      </c>
      <c r="JC22" s="19">
        <v>0</v>
      </c>
      <c r="JD22" s="19">
        <v>0</v>
      </c>
      <c r="JE22" s="19" t="s">
        <v>56</v>
      </c>
      <c r="JF22" s="19">
        <v>25.8</v>
      </c>
      <c r="JG22" s="19">
        <v>25.8</v>
      </c>
      <c r="JH22" s="25">
        <f>(JG22/JF22)*100</f>
        <v>100</v>
      </c>
      <c r="JI22" s="23">
        <v>0</v>
      </c>
      <c r="JJ22" s="19">
        <v>0</v>
      </c>
      <c r="JK22" s="25" t="s">
        <v>56</v>
      </c>
      <c r="JL22" s="19">
        <v>489.1</v>
      </c>
      <c r="JM22" s="19">
        <v>489.1</v>
      </c>
      <c r="JN22" s="21">
        <v>100</v>
      </c>
      <c r="JO22" s="19">
        <v>0</v>
      </c>
      <c r="JP22" s="19">
        <v>0</v>
      </c>
      <c r="JQ22" s="19" t="s">
        <v>56</v>
      </c>
      <c r="JR22" s="19">
        <v>0</v>
      </c>
      <c r="JS22" s="19">
        <v>0</v>
      </c>
      <c r="JT22" s="19" t="s">
        <v>56</v>
      </c>
      <c r="JU22" s="19">
        <v>0</v>
      </c>
      <c r="JV22" s="19">
        <v>0</v>
      </c>
      <c r="JW22" s="21" t="s">
        <v>56</v>
      </c>
      <c r="JX22" s="21">
        <v>0</v>
      </c>
      <c r="JY22" s="21">
        <v>0</v>
      </c>
      <c r="JZ22" s="21" t="s">
        <v>56</v>
      </c>
      <c r="KA22" s="21">
        <v>0</v>
      </c>
      <c r="KB22" s="21">
        <v>0</v>
      </c>
      <c r="KC22" s="21" t="s">
        <v>56</v>
      </c>
      <c r="KD22" s="14">
        <f t="shared" si="45"/>
        <v>574387.80000000005</v>
      </c>
      <c r="KE22" s="14">
        <f t="shared" si="46"/>
        <v>309561.39999999991</v>
      </c>
      <c r="KF22" s="14">
        <f t="shared" si="47"/>
        <v>53.894146080400709</v>
      </c>
      <c r="KG22" s="7"/>
      <c r="KH22" s="9"/>
      <c r="KJ22" s="9"/>
    </row>
    <row r="23" spans="1:296" ht="14.25" customHeight="1" x14ac:dyDescent="0.2">
      <c r="A23" s="27" t="s">
        <v>24</v>
      </c>
      <c r="B23" s="13">
        <f t="shared" si="20"/>
        <v>156861</v>
      </c>
      <c r="C23" s="13">
        <f t="shared" si="33"/>
        <v>143370.79999999999</v>
      </c>
      <c r="D23" s="14">
        <f t="shared" si="34"/>
        <v>91.399901823907783</v>
      </c>
      <c r="E23" s="18">
        <v>156861</v>
      </c>
      <c r="F23" s="19">
        <v>143370.79999999999</v>
      </c>
      <c r="G23" s="19">
        <f t="shared" si="0"/>
        <v>91.399901823907783</v>
      </c>
      <c r="H23" s="18">
        <v>0</v>
      </c>
      <c r="I23" s="19">
        <v>0</v>
      </c>
      <c r="J23" s="19" t="s">
        <v>56</v>
      </c>
      <c r="K23" s="19">
        <v>0</v>
      </c>
      <c r="L23" s="19">
        <v>0</v>
      </c>
      <c r="M23" s="19" t="s">
        <v>56</v>
      </c>
      <c r="N23" s="13">
        <f t="shared" si="35"/>
        <v>188194.26182999997</v>
      </c>
      <c r="O23" s="13">
        <f t="shared" si="36"/>
        <v>44389.399999999994</v>
      </c>
      <c r="P23" s="14">
        <f t="shared" si="21"/>
        <v>23.587010341525673</v>
      </c>
      <c r="Q23" s="19">
        <v>32199.8</v>
      </c>
      <c r="R23" s="19">
        <v>4090.5</v>
      </c>
      <c r="S23" s="19">
        <f t="shared" si="37"/>
        <v>12.703495052764303</v>
      </c>
      <c r="T23" s="18">
        <v>0</v>
      </c>
      <c r="U23" s="19">
        <v>0</v>
      </c>
      <c r="V23" s="19" t="s">
        <v>56</v>
      </c>
      <c r="W23" s="18">
        <v>6081.9</v>
      </c>
      <c r="X23" s="19">
        <v>6081.9</v>
      </c>
      <c r="Y23" s="19">
        <f t="shared" si="1"/>
        <v>100</v>
      </c>
      <c r="Z23" s="18">
        <v>0</v>
      </c>
      <c r="AA23" s="19">
        <v>0</v>
      </c>
      <c r="AB23" s="19" t="s">
        <v>56</v>
      </c>
      <c r="AC23" s="18">
        <v>0</v>
      </c>
      <c r="AD23" s="19">
        <v>0</v>
      </c>
      <c r="AE23" s="19" t="s">
        <v>56</v>
      </c>
      <c r="AF23" s="18">
        <v>0</v>
      </c>
      <c r="AG23" s="19">
        <v>0</v>
      </c>
      <c r="AH23" s="19" t="s">
        <v>56</v>
      </c>
      <c r="AI23" s="18">
        <v>0</v>
      </c>
      <c r="AJ23" s="18">
        <v>0</v>
      </c>
      <c r="AK23" s="19" t="s">
        <v>56</v>
      </c>
      <c r="AL23" s="19">
        <v>6736.1</v>
      </c>
      <c r="AM23" s="19">
        <v>4257</v>
      </c>
      <c r="AN23" s="19">
        <f t="shared" si="2"/>
        <v>63.196805273080862</v>
      </c>
      <c r="AO23" s="19">
        <v>0</v>
      </c>
      <c r="AP23" s="19">
        <v>0</v>
      </c>
      <c r="AQ23" s="19" t="s">
        <v>56</v>
      </c>
      <c r="AR23" s="19">
        <v>0</v>
      </c>
      <c r="AS23" s="19">
        <v>0</v>
      </c>
      <c r="AT23" s="19" t="s">
        <v>56</v>
      </c>
      <c r="AU23" s="18">
        <v>556.70000000000005</v>
      </c>
      <c r="AV23" s="19">
        <f>556.7</f>
        <v>556.70000000000005</v>
      </c>
      <c r="AW23" s="19">
        <f t="shared" si="48"/>
        <v>100</v>
      </c>
      <c r="AX23" s="19">
        <v>9054.7000000000007</v>
      </c>
      <c r="AY23" s="19">
        <v>2241</v>
      </c>
      <c r="AZ23" s="19">
        <f t="shared" si="38"/>
        <v>24.749577567451155</v>
      </c>
      <c r="BA23" s="18">
        <v>0</v>
      </c>
      <c r="BB23" s="19">
        <v>0</v>
      </c>
      <c r="BC23" s="19" t="s">
        <v>56</v>
      </c>
      <c r="BD23" s="18">
        <v>0</v>
      </c>
      <c r="BE23" s="19">
        <v>0</v>
      </c>
      <c r="BF23" s="19" t="s">
        <v>56</v>
      </c>
      <c r="BG23" s="18">
        <f>123021.83/1000</f>
        <v>123.02183000000001</v>
      </c>
      <c r="BH23" s="19">
        <f>123</f>
        <v>123</v>
      </c>
      <c r="BI23" s="19">
        <f t="shared" si="3"/>
        <v>99.982255181864872</v>
      </c>
      <c r="BJ23" s="18">
        <f>100000/1000</f>
        <v>100</v>
      </c>
      <c r="BK23" s="19">
        <v>100</v>
      </c>
      <c r="BL23" s="19">
        <f>(BK23/BJ23)*100</f>
        <v>100</v>
      </c>
      <c r="BM23" s="18">
        <v>0</v>
      </c>
      <c r="BN23" s="19">
        <v>0</v>
      </c>
      <c r="BO23" s="19" t="s">
        <v>56</v>
      </c>
      <c r="BP23" s="18">
        <v>0</v>
      </c>
      <c r="BQ23" s="19">
        <v>0</v>
      </c>
      <c r="BR23" s="19" t="s">
        <v>56</v>
      </c>
      <c r="BS23" s="18">
        <v>0</v>
      </c>
      <c r="BT23" s="19">
        <v>0</v>
      </c>
      <c r="BU23" s="19" t="s">
        <v>56</v>
      </c>
      <c r="BV23" s="18">
        <v>0</v>
      </c>
      <c r="BW23" s="19">
        <v>0</v>
      </c>
      <c r="BX23" s="19" t="s">
        <v>56</v>
      </c>
      <c r="BY23" s="19">
        <v>0</v>
      </c>
      <c r="BZ23" s="19">
        <v>0</v>
      </c>
      <c r="CA23" s="19" t="s">
        <v>56</v>
      </c>
      <c r="CB23" s="18">
        <f>1020</f>
        <v>1020</v>
      </c>
      <c r="CC23" s="18">
        <f>1020</f>
        <v>1020</v>
      </c>
      <c r="CD23" s="34">
        <v>100</v>
      </c>
      <c r="CE23" s="18">
        <v>1340.3</v>
      </c>
      <c r="CF23" s="18">
        <v>1340.3</v>
      </c>
      <c r="CG23" s="34">
        <f t="shared" si="22"/>
        <v>100</v>
      </c>
      <c r="CH23" s="34">
        <f>54058540/1000</f>
        <v>54058.54</v>
      </c>
      <c r="CI23" s="34">
        <v>1868.3</v>
      </c>
      <c r="CJ23" s="34">
        <f>(CI23/CH23)*100</f>
        <v>3.4560681809016671</v>
      </c>
      <c r="CK23" s="18">
        <v>1850</v>
      </c>
      <c r="CL23" s="18">
        <v>0</v>
      </c>
      <c r="CM23" s="34">
        <v>0</v>
      </c>
      <c r="CN23" s="18">
        <v>343.7</v>
      </c>
      <c r="CO23" s="34">
        <f>1037-725.9</f>
        <v>311.10000000000002</v>
      </c>
      <c r="CP23" s="34">
        <f t="shared" si="4"/>
        <v>90.514983997672402</v>
      </c>
      <c r="CQ23" s="34">
        <v>0</v>
      </c>
      <c r="CR23" s="34">
        <v>0</v>
      </c>
      <c r="CS23" s="34" t="s">
        <v>56</v>
      </c>
      <c r="CT23" s="34">
        <v>0</v>
      </c>
      <c r="CU23" s="34">
        <v>0</v>
      </c>
      <c r="CV23" s="34" t="s">
        <v>56</v>
      </c>
      <c r="CW23" s="34">
        <v>4876.8999999999996</v>
      </c>
      <c r="CX23" s="34">
        <v>1450.7</v>
      </c>
      <c r="CY23" s="34">
        <f t="shared" si="23"/>
        <v>29.746355266665304</v>
      </c>
      <c r="CZ23" s="34">
        <v>2035.7</v>
      </c>
      <c r="DA23" s="34">
        <v>2035.7</v>
      </c>
      <c r="DB23" s="34">
        <f t="shared" si="49"/>
        <v>100</v>
      </c>
      <c r="DC23" s="34">
        <v>7165.2</v>
      </c>
      <c r="DD23" s="34">
        <v>2412.1999999999998</v>
      </c>
      <c r="DE23" s="35">
        <f>(DD23/DC23)*100</f>
        <v>33.665494333724112</v>
      </c>
      <c r="DF23" s="34">
        <v>495</v>
      </c>
      <c r="DG23" s="34">
        <f>990-495</f>
        <v>495</v>
      </c>
      <c r="DH23" s="34">
        <f>DG23/DF23%</f>
        <v>100</v>
      </c>
      <c r="DI23" s="34">
        <v>0</v>
      </c>
      <c r="DJ23" s="34">
        <v>0</v>
      </c>
      <c r="DK23" s="34" t="s">
        <v>56</v>
      </c>
      <c r="DL23" s="34">
        <v>52364.2</v>
      </c>
      <c r="DM23" s="34">
        <v>11628.5</v>
      </c>
      <c r="DN23" s="34">
        <f t="shared" si="24"/>
        <v>22.206965827798385</v>
      </c>
      <c r="DO23" s="34">
        <v>100</v>
      </c>
      <c r="DP23" s="34">
        <v>85</v>
      </c>
      <c r="DQ23" s="34">
        <f t="shared" si="39"/>
        <v>85</v>
      </c>
      <c r="DR23" s="34">
        <v>0</v>
      </c>
      <c r="DS23" s="34">
        <v>0</v>
      </c>
      <c r="DT23" s="34" t="s">
        <v>56</v>
      </c>
      <c r="DU23" s="34">
        <v>4292.5</v>
      </c>
      <c r="DV23" s="34">
        <v>4292.5</v>
      </c>
      <c r="DW23" s="34">
        <f>(DV23/DU23)*100</f>
        <v>100</v>
      </c>
      <c r="DX23" s="34">
        <v>0</v>
      </c>
      <c r="DY23" s="34">
        <v>0</v>
      </c>
      <c r="DZ23" s="34" t="s">
        <v>56</v>
      </c>
      <c r="EA23" s="18">
        <v>3400</v>
      </c>
      <c r="EB23" s="19">
        <v>0</v>
      </c>
      <c r="EC23" s="34">
        <v>0</v>
      </c>
      <c r="ED23" s="18">
        <v>0</v>
      </c>
      <c r="EE23" s="19">
        <v>0</v>
      </c>
      <c r="EF23" s="34" t="s">
        <v>56</v>
      </c>
      <c r="EG23" s="13">
        <f t="shared" si="5"/>
        <v>358827.57399999996</v>
      </c>
      <c r="EH23" s="13">
        <f t="shared" si="6"/>
        <v>262053.59999999998</v>
      </c>
      <c r="EI23" s="14">
        <f t="shared" si="40"/>
        <v>73.0305079620219</v>
      </c>
      <c r="EJ23" s="36">
        <v>2848.9</v>
      </c>
      <c r="EK23" s="36">
        <v>1966.2</v>
      </c>
      <c r="EL23" s="19">
        <f t="shared" si="7"/>
        <v>69.016111481624492</v>
      </c>
      <c r="EM23" s="36">
        <v>114.2</v>
      </c>
      <c r="EN23" s="19">
        <v>114.2</v>
      </c>
      <c r="EO23" s="19">
        <f t="shared" si="54"/>
        <v>99.999999999999986</v>
      </c>
      <c r="EP23" s="36">
        <f>1374/1000</f>
        <v>1.3740000000000001</v>
      </c>
      <c r="EQ23" s="19">
        <v>0</v>
      </c>
      <c r="ER23" s="19">
        <f t="shared" si="10"/>
        <v>0</v>
      </c>
      <c r="ES23" s="36">
        <v>85943.1</v>
      </c>
      <c r="ET23" s="19">
        <v>57010.6</v>
      </c>
      <c r="EU23" s="19">
        <v>66.335284624361933</v>
      </c>
      <c r="EV23" s="34">
        <v>229356.1</v>
      </c>
      <c r="EW23" s="34">
        <v>179121.3</v>
      </c>
      <c r="EX23" s="35">
        <v>78.097465033631096</v>
      </c>
      <c r="EY23" s="36">
        <v>12308</v>
      </c>
      <c r="EZ23" s="34">
        <v>6487.6</v>
      </c>
      <c r="FA23" s="34">
        <f t="shared" si="25"/>
        <v>52.710432239194027</v>
      </c>
      <c r="FB23" s="36">
        <v>2269.5</v>
      </c>
      <c r="FC23" s="19">
        <v>388</v>
      </c>
      <c r="FD23" s="19">
        <f t="shared" si="11"/>
        <v>17.096276712932365</v>
      </c>
      <c r="FE23" s="36">
        <v>769.5</v>
      </c>
      <c r="FF23" s="19">
        <v>550</v>
      </c>
      <c r="FG23" s="19">
        <f>FF23/FE23%</f>
        <v>71.474983755685514</v>
      </c>
      <c r="FH23" s="36">
        <v>0</v>
      </c>
      <c r="FI23" s="19">
        <v>0</v>
      </c>
      <c r="FJ23" s="19" t="s">
        <v>56</v>
      </c>
      <c r="FK23" s="36">
        <v>2015.2</v>
      </c>
      <c r="FL23" s="19">
        <v>1446</v>
      </c>
      <c r="FM23" s="19">
        <f t="shared" si="12"/>
        <v>71.754664549424376</v>
      </c>
      <c r="FN23" s="36">
        <v>262.5</v>
      </c>
      <c r="FO23" s="19">
        <v>197.1</v>
      </c>
      <c r="FP23" s="19">
        <f t="shared" si="13"/>
        <v>75.085714285714289</v>
      </c>
      <c r="FQ23" s="36">
        <v>6.3</v>
      </c>
      <c r="FR23" s="19">
        <v>6.3</v>
      </c>
      <c r="FS23" s="19">
        <f t="shared" si="14"/>
        <v>100</v>
      </c>
      <c r="FT23" s="36">
        <v>127.3</v>
      </c>
      <c r="FU23" s="19">
        <v>69.099999999999994</v>
      </c>
      <c r="FV23" s="19">
        <f t="shared" si="41"/>
        <v>54.281225451688925</v>
      </c>
      <c r="FW23" s="36">
        <v>0</v>
      </c>
      <c r="FX23" s="19">
        <v>0</v>
      </c>
      <c r="FY23" s="19" t="s">
        <v>56</v>
      </c>
      <c r="FZ23" s="36">
        <v>638.5</v>
      </c>
      <c r="GA23" s="19">
        <v>382</v>
      </c>
      <c r="GB23" s="19">
        <f t="shared" si="15"/>
        <v>59.82772122161316</v>
      </c>
      <c r="GC23" s="36">
        <v>419.8</v>
      </c>
      <c r="GD23" s="19">
        <v>331.4</v>
      </c>
      <c r="GE23" s="19">
        <f t="shared" si="16"/>
        <v>78.942353501667441</v>
      </c>
      <c r="GF23" s="36">
        <v>0</v>
      </c>
      <c r="GG23" s="19">
        <v>0</v>
      </c>
      <c r="GH23" s="19" t="s">
        <v>56</v>
      </c>
      <c r="GI23" s="37">
        <v>0</v>
      </c>
      <c r="GJ23" s="19">
        <v>0</v>
      </c>
      <c r="GK23" s="19" t="s">
        <v>56</v>
      </c>
      <c r="GL23" s="37">
        <v>1692.7</v>
      </c>
      <c r="GM23" s="19">
        <v>1248.4000000000001</v>
      </c>
      <c r="GN23" s="19">
        <f t="shared" si="17"/>
        <v>73.751993855969758</v>
      </c>
      <c r="GO23" s="36">
        <v>0</v>
      </c>
      <c r="GP23" s="36">
        <v>0</v>
      </c>
      <c r="GQ23" s="19" t="s">
        <v>56</v>
      </c>
      <c r="GR23" s="36">
        <v>161.1</v>
      </c>
      <c r="GS23" s="19">
        <v>120.8</v>
      </c>
      <c r="GT23" s="19">
        <f t="shared" si="52"/>
        <v>74.984481688392307</v>
      </c>
      <c r="GU23" s="36">
        <v>2165.6</v>
      </c>
      <c r="GV23" s="19">
        <v>440</v>
      </c>
      <c r="GW23" s="19">
        <f t="shared" si="51"/>
        <v>20.317694865164391</v>
      </c>
      <c r="GX23" s="36">
        <v>0</v>
      </c>
      <c r="GY23" s="19">
        <v>0</v>
      </c>
      <c r="GZ23" s="19" t="s">
        <v>56</v>
      </c>
      <c r="HA23" s="36">
        <v>414.2</v>
      </c>
      <c r="HB23" s="19">
        <v>0</v>
      </c>
      <c r="HC23" s="19">
        <v>0</v>
      </c>
      <c r="HD23" s="19">
        <v>13296.7</v>
      </c>
      <c r="HE23" s="19">
        <v>9161.4</v>
      </c>
      <c r="HF23" s="38">
        <f t="shared" si="26"/>
        <v>68.899802206562526</v>
      </c>
      <c r="HG23" s="36">
        <v>4017</v>
      </c>
      <c r="HH23" s="19">
        <v>3013.2</v>
      </c>
      <c r="HI23" s="19">
        <f t="shared" si="27"/>
        <v>75.011202389843163</v>
      </c>
      <c r="HJ23" s="17">
        <f t="shared" si="28"/>
        <v>109328.1</v>
      </c>
      <c r="HK23" s="17">
        <f t="shared" si="29"/>
        <v>49361.8</v>
      </c>
      <c r="HL23" s="16">
        <f t="shared" si="30"/>
        <v>45.150148955300608</v>
      </c>
      <c r="HM23" s="34">
        <v>9374.4</v>
      </c>
      <c r="HN23" s="34">
        <v>2343.6</v>
      </c>
      <c r="HO23" s="35">
        <f t="shared" si="42"/>
        <v>25</v>
      </c>
      <c r="HP23" s="35">
        <v>19995.599999999999</v>
      </c>
      <c r="HQ23" s="35">
        <v>0</v>
      </c>
      <c r="HR23" s="35">
        <v>0</v>
      </c>
      <c r="HS23" s="35">
        <v>5900</v>
      </c>
      <c r="HT23" s="35">
        <v>0</v>
      </c>
      <c r="HU23" s="35">
        <f t="shared" si="43"/>
        <v>0</v>
      </c>
      <c r="HV23" s="35">
        <v>6828.9</v>
      </c>
      <c r="HW23" s="35">
        <v>0</v>
      </c>
      <c r="HX23" s="35">
        <f t="shared" si="44"/>
        <v>0</v>
      </c>
      <c r="HY23" s="34">
        <v>0</v>
      </c>
      <c r="HZ23" s="34">
        <v>0</v>
      </c>
      <c r="IA23" s="34" t="s">
        <v>56</v>
      </c>
      <c r="IB23" s="34">
        <v>117</v>
      </c>
      <c r="IC23" s="34">
        <v>117</v>
      </c>
      <c r="ID23" s="35">
        <f t="shared" si="31"/>
        <v>100</v>
      </c>
      <c r="IE23" s="34">
        <v>0</v>
      </c>
      <c r="IF23" s="34">
        <v>0</v>
      </c>
      <c r="IG23" s="35" t="s">
        <v>56</v>
      </c>
      <c r="IH23" s="18">
        <v>8512.2000000000007</v>
      </c>
      <c r="II23" s="19">
        <v>4122.3999999999996</v>
      </c>
      <c r="IJ23" s="19">
        <f t="shared" si="32"/>
        <v>48.429313221023932</v>
      </c>
      <c r="IK23" s="18">
        <v>0</v>
      </c>
      <c r="IL23" s="18">
        <v>0</v>
      </c>
      <c r="IM23" s="18" t="s">
        <v>56</v>
      </c>
      <c r="IN23" s="19">
        <v>0</v>
      </c>
      <c r="IO23" s="19">
        <v>0</v>
      </c>
      <c r="IP23" s="19" t="s">
        <v>56</v>
      </c>
      <c r="IQ23" s="19">
        <v>0</v>
      </c>
      <c r="IR23" s="19">
        <v>0</v>
      </c>
      <c r="IS23" s="21" t="s">
        <v>56</v>
      </c>
      <c r="IT23" s="19">
        <v>0</v>
      </c>
      <c r="IU23" s="19">
        <v>0</v>
      </c>
      <c r="IV23" s="21" t="s">
        <v>56</v>
      </c>
      <c r="IW23" s="19">
        <v>0</v>
      </c>
      <c r="IX23" s="19">
        <v>0</v>
      </c>
      <c r="IY23" s="19" t="s">
        <v>56</v>
      </c>
      <c r="IZ23" s="19">
        <v>0</v>
      </c>
      <c r="JA23" s="19">
        <v>0</v>
      </c>
      <c r="JB23" s="21" t="s">
        <v>56</v>
      </c>
      <c r="JC23" s="19">
        <v>0</v>
      </c>
      <c r="JD23" s="19">
        <v>0</v>
      </c>
      <c r="JE23" s="19" t="s">
        <v>56</v>
      </c>
      <c r="JF23" s="19">
        <v>0</v>
      </c>
      <c r="JG23" s="19">
        <v>0</v>
      </c>
      <c r="JH23" s="25" t="s">
        <v>56</v>
      </c>
      <c r="JI23" s="23">
        <v>0</v>
      </c>
      <c r="JJ23" s="19">
        <v>0</v>
      </c>
      <c r="JK23" s="25" t="s">
        <v>56</v>
      </c>
      <c r="JL23" s="19">
        <v>0</v>
      </c>
      <c r="JM23" s="19">
        <v>0</v>
      </c>
      <c r="JN23" s="21" t="s">
        <v>56</v>
      </c>
      <c r="JO23" s="19">
        <v>0</v>
      </c>
      <c r="JP23" s="19">
        <v>0</v>
      </c>
      <c r="JQ23" s="19" t="s">
        <v>56</v>
      </c>
      <c r="JR23" s="19">
        <v>58600</v>
      </c>
      <c r="JS23" s="19">
        <v>42778.8</v>
      </c>
      <c r="JT23" s="19">
        <f>(JS23/JR23)*100</f>
        <v>73.001365187713319</v>
      </c>
      <c r="JU23" s="19">
        <v>0</v>
      </c>
      <c r="JV23" s="19">
        <v>0</v>
      </c>
      <c r="JW23" s="21" t="s">
        <v>56</v>
      </c>
      <c r="JX23" s="21">
        <v>0</v>
      </c>
      <c r="JY23" s="21">
        <v>0</v>
      </c>
      <c r="JZ23" s="21" t="s">
        <v>56</v>
      </c>
      <c r="KA23" s="21">
        <v>0</v>
      </c>
      <c r="KB23" s="21">
        <v>0</v>
      </c>
      <c r="KC23" s="21" t="s">
        <v>56</v>
      </c>
      <c r="KD23" s="14">
        <f t="shared" si="45"/>
        <v>813210.93582999997</v>
      </c>
      <c r="KE23" s="14">
        <f t="shared" si="46"/>
        <v>499175.59999999992</v>
      </c>
      <c r="KF23" s="14">
        <f t="shared" si="47"/>
        <v>61.383286673403944</v>
      </c>
      <c r="KG23" s="7"/>
      <c r="KH23" s="9"/>
      <c r="KJ23" s="9"/>
    </row>
    <row r="24" spans="1:296" ht="13.5" customHeight="1" x14ac:dyDescent="0.2">
      <c r="A24" s="27" t="s">
        <v>25</v>
      </c>
      <c r="B24" s="13">
        <f t="shared" si="20"/>
        <v>61060.6</v>
      </c>
      <c r="C24" s="13">
        <f t="shared" si="33"/>
        <v>61060.6</v>
      </c>
      <c r="D24" s="14">
        <f t="shared" si="34"/>
        <v>100</v>
      </c>
      <c r="E24" s="18">
        <v>50921</v>
      </c>
      <c r="F24" s="19">
        <v>50921</v>
      </c>
      <c r="G24" s="19">
        <f t="shared" si="0"/>
        <v>100</v>
      </c>
      <c r="H24" s="18">
        <f>10139600/1000</f>
        <v>10139.6</v>
      </c>
      <c r="I24" s="19">
        <v>10139.6</v>
      </c>
      <c r="J24" s="19">
        <v>100</v>
      </c>
      <c r="K24" s="19">
        <v>0</v>
      </c>
      <c r="L24" s="19">
        <v>0</v>
      </c>
      <c r="M24" s="19" t="s">
        <v>56</v>
      </c>
      <c r="N24" s="13">
        <f t="shared" si="35"/>
        <v>109512.98661999998</v>
      </c>
      <c r="O24" s="13">
        <f t="shared" si="36"/>
        <v>34120</v>
      </c>
      <c r="P24" s="14">
        <f t="shared" si="21"/>
        <v>31.156122258260815</v>
      </c>
      <c r="Q24" s="19">
        <v>10158.6</v>
      </c>
      <c r="R24" s="19">
        <v>0</v>
      </c>
      <c r="S24" s="19">
        <f t="shared" si="37"/>
        <v>0</v>
      </c>
      <c r="T24" s="18">
        <v>0</v>
      </c>
      <c r="U24" s="19">
        <v>0</v>
      </c>
      <c r="V24" s="19" t="s">
        <v>56</v>
      </c>
      <c r="W24" s="18">
        <v>9507</v>
      </c>
      <c r="X24" s="19">
        <v>2421.1</v>
      </c>
      <c r="Y24" s="19">
        <f t="shared" si="1"/>
        <v>25.466498369622386</v>
      </c>
      <c r="Z24" s="18">
        <v>0</v>
      </c>
      <c r="AA24" s="19">
        <v>0</v>
      </c>
      <c r="AB24" s="19" t="s">
        <v>56</v>
      </c>
      <c r="AC24" s="18">
        <v>0</v>
      </c>
      <c r="AD24" s="19">
        <v>0</v>
      </c>
      <c r="AE24" s="19" t="s">
        <v>56</v>
      </c>
      <c r="AF24" s="18">
        <v>0</v>
      </c>
      <c r="AG24" s="19">
        <v>0</v>
      </c>
      <c r="AH24" s="19" t="s">
        <v>56</v>
      </c>
      <c r="AI24" s="18">
        <v>0</v>
      </c>
      <c r="AJ24" s="18">
        <v>0</v>
      </c>
      <c r="AK24" s="19" t="s">
        <v>56</v>
      </c>
      <c r="AL24" s="19">
        <v>902.9</v>
      </c>
      <c r="AM24" s="19">
        <v>902.9</v>
      </c>
      <c r="AN24" s="19">
        <f t="shared" si="2"/>
        <v>100</v>
      </c>
      <c r="AO24" s="19">
        <v>0</v>
      </c>
      <c r="AP24" s="19">
        <v>0</v>
      </c>
      <c r="AQ24" s="19" t="s">
        <v>56</v>
      </c>
      <c r="AR24" s="19">
        <v>0</v>
      </c>
      <c r="AS24" s="19">
        <v>0</v>
      </c>
      <c r="AT24" s="19" t="s">
        <v>56</v>
      </c>
      <c r="AU24" s="18">
        <v>0</v>
      </c>
      <c r="AV24" s="19">
        <v>0</v>
      </c>
      <c r="AW24" s="19" t="s">
        <v>56</v>
      </c>
      <c r="AX24" s="19">
        <v>3151</v>
      </c>
      <c r="AY24" s="19">
        <v>0</v>
      </c>
      <c r="AZ24" s="19">
        <f t="shared" si="38"/>
        <v>0</v>
      </c>
      <c r="BA24" s="18">
        <v>0</v>
      </c>
      <c r="BB24" s="19">
        <v>0</v>
      </c>
      <c r="BC24" s="19" t="s">
        <v>56</v>
      </c>
      <c r="BD24" s="18">
        <v>0</v>
      </c>
      <c r="BE24" s="19">
        <v>0</v>
      </c>
      <c r="BF24" s="19" t="s">
        <v>56</v>
      </c>
      <c r="BG24" s="18">
        <f>78286.62/1000</f>
        <v>78.286619999999999</v>
      </c>
      <c r="BH24" s="19">
        <v>78.3</v>
      </c>
      <c r="BI24" s="19">
        <f t="shared" si="3"/>
        <v>100.01709104314378</v>
      </c>
      <c r="BJ24" s="18">
        <f>100000/1000</f>
        <v>100</v>
      </c>
      <c r="BK24" s="19">
        <v>100</v>
      </c>
      <c r="BL24" s="19">
        <f>(BK24/BJ24)*100</f>
        <v>100</v>
      </c>
      <c r="BM24" s="18">
        <v>0</v>
      </c>
      <c r="BN24" s="19">
        <v>0</v>
      </c>
      <c r="BO24" s="19" t="s">
        <v>56</v>
      </c>
      <c r="BP24" s="18">
        <v>0</v>
      </c>
      <c r="BQ24" s="19">
        <v>0</v>
      </c>
      <c r="BR24" s="19" t="s">
        <v>56</v>
      </c>
      <c r="BS24" s="18">
        <v>0</v>
      </c>
      <c r="BT24" s="19">
        <v>0</v>
      </c>
      <c r="BU24" s="19" t="s">
        <v>56</v>
      </c>
      <c r="BV24" s="18">
        <v>0</v>
      </c>
      <c r="BW24" s="19">
        <v>0</v>
      </c>
      <c r="BX24" s="19" t="s">
        <v>56</v>
      </c>
      <c r="BY24" s="19">
        <v>0</v>
      </c>
      <c r="BZ24" s="19">
        <v>0</v>
      </c>
      <c r="CA24" s="19" t="s">
        <v>56</v>
      </c>
      <c r="CB24" s="18">
        <v>0</v>
      </c>
      <c r="CC24" s="18">
        <v>0</v>
      </c>
      <c r="CD24" s="34" t="s">
        <v>56</v>
      </c>
      <c r="CE24" s="18">
        <v>0</v>
      </c>
      <c r="CF24" s="18">
        <v>0</v>
      </c>
      <c r="CG24" s="34" t="s">
        <v>56</v>
      </c>
      <c r="CH24" s="34">
        <v>0</v>
      </c>
      <c r="CI24" s="34">
        <v>0</v>
      </c>
      <c r="CJ24" s="34" t="s">
        <v>56</v>
      </c>
      <c r="CK24" s="18">
        <v>1700</v>
      </c>
      <c r="CL24" s="18">
        <v>0</v>
      </c>
      <c r="CM24" s="34">
        <v>0</v>
      </c>
      <c r="CN24" s="18">
        <v>5158.5</v>
      </c>
      <c r="CO24" s="34">
        <v>5158.5</v>
      </c>
      <c r="CP24" s="34">
        <f t="shared" si="4"/>
        <v>100</v>
      </c>
      <c r="CQ24" s="34">
        <v>0</v>
      </c>
      <c r="CR24" s="34">
        <v>0</v>
      </c>
      <c r="CS24" s="34" t="s">
        <v>56</v>
      </c>
      <c r="CT24" s="34">
        <v>468.5</v>
      </c>
      <c r="CU24" s="34">
        <v>327.2</v>
      </c>
      <c r="CV24" s="34">
        <f>(CU24/CT24)*100</f>
        <v>69.839914621131271</v>
      </c>
      <c r="CW24" s="34">
        <v>0</v>
      </c>
      <c r="CX24" s="34">
        <v>0</v>
      </c>
      <c r="CY24" s="34" t="s">
        <v>56</v>
      </c>
      <c r="CZ24" s="34">
        <v>2035.7</v>
      </c>
      <c r="DA24" s="34">
        <v>367.5</v>
      </c>
      <c r="DB24" s="34">
        <f t="shared" si="49"/>
        <v>18.052758264970279</v>
      </c>
      <c r="DC24" s="34">
        <v>0</v>
      </c>
      <c r="DD24" s="34">
        <v>0</v>
      </c>
      <c r="DE24" s="35" t="s">
        <v>56</v>
      </c>
      <c r="DF24" s="34">
        <v>24750</v>
      </c>
      <c r="DG24" s="34">
        <f>2429.5</f>
        <v>2429.5</v>
      </c>
      <c r="DH24" s="34">
        <f>DG24/DF24%</f>
        <v>9.816161616161617</v>
      </c>
      <c r="DI24" s="34">
        <v>0</v>
      </c>
      <c r="DJ24" s="34">
        <v>0</v>
      </c>
      <c r="DK24" s="34" t="s">
        <v>56</v>
      </c>
      <c r="DL24" s="34">
        <v>48626.1</v>
      </c>
      <c r="DM24" s="34">
        <v>21585.599999999999</v>
      </c>
      <c r="DN24" s="34">
        <f t="shared" si="24"/>
        <v>44.390975217013086</v>
      </c>
      <c r="DO24" s="34">
        <v>0</v>
      </c>
      <c r="DP24" s="34">
        <v>0</v>
      </c>
      <c r="DQ24" s="34" t="s">
        <v>56</v>
      </c>
      <c r="DR24" s="34">
        <v>0</v>
      </c>
      <c r="DS24" s="34">
        <v>0</v>
      </c>
      <c r="DT24" s="34" t="s">
        <v>56</v>
      </c>
      <c r="DU24" s="34">
        <v>0</v>
      </c>
      <c r="DV24" s="34">
        <v>0</v>
      </c>
      <c r="DW24" s="34" t="s">
        <v>56</v>
      </c>
      <c r="DX24" s="34">
        <v>0</v>
      </c>
      <c r="DY24" s="34">
        <v>0</v>
      </c>
      <c r="DZ24" s="34" t="s">
        <v>56</v>
      </c>
      <c r="EA24" s="18">
        <v>0</v>
      </c>
      <c r="EB24" s="19">
        <v>0</v>
      </c>
      <c r="EC24" s="34" t="s">
        <v>56</v>
      </c>
      <c r="ED24" s="18">
        <v>2876.4</v>
      </c>
      <c r="EE24" s="19">
        <v>749.4</v>
      </c>
      <c r="EF24" s="34">
        <f>EE24/ED24%</f>
        <v>26.05340008343763</v>
      </c>
      <c r="EG24" s="13">
        <f t="shared" si="5"/>
        <v>190287.264</v>
      </c>
      <c r="EH24" s="13">
        <f t="shared" si="6"/>
        <v>145551.89999999997</v>
      </c>
      <c r="EI24" s="14">
        <f t="shared" si="40"/>
        <v>76.490615788138072</v>
      </c>
      <c r="EJ24" s="36">
        <v>1057.0999999999999</v>
      </c>
      <c r="EK24" s="36">
        <v>590.29999999999995</v>
      </c>
      <c r="EL24" s="19">
        <f t="shared" si="7"/>
        <v>55.841453031879666</v>
      </c>
      <c r="EM24" s="36">
        <v>0</v>
      </c>
      <c r="EN24" s="19">
        <v>0</v>
      </c>
      <c r="EO24" s="19" t="s">
        <v>56</v>
      </c>
      <c r="EP24" s="36">
        <f>64/1000</f>
        <v>6.4000000000000001E-2</v>
      </c>
      <c r="EQ24" s="19">
        <v>0</v>
      </c>
      <c r="ER24" s="19">
        <f t="shared" si="10"/>
        <v>0</v>
      </c>
      <c r="ES24" s="36">
        <v>35206.300000000003</v>
      </c>
      <c r="ET24" s="19">
        <v>25304</v>
      </c>
      <c r="EU24" s="19">
        <v>71.873499913367766</v>
      </c>
      <c r="EV24" s="34">
        <v>135236.5</v>
      </c>
      <c r="EW24" s="34">
        <v>108240</v>
      </c>
      <c r="EX24" s="35">
        <v>80.03756382337609</v>
      </c>
      <c r="EY24" s="36">
        <v>4984.8</v>
      </c>
      <c r="EZ24" s="34">
        <v>3341.8</v>
      </c>
      <c r="FA24" s="34">
        <f t="shared" si="25"/>
        <v>67.039800995024876</v>
      </c>
      <c r="FB24" s="36">
        <v>889.6</v>
      </c>
      <c r="FC24" s="19">
        <v>766.6</v>
      </c>
      <c r="FD24" s="19">
        <f t="shared" si="11"/>
        <v>86.173561151079127</v>
      </c>
      <c r="FE24" s="36">
        <v>0</v>
      </c>
      <c r="FF24" s="19">
        <v>0</v>
      </c>
      <c r="FG24" s="19" t="s">
        <v>56</v>
      </c>
      <c r="FH24" s="36">
        <v>0</v>
      </c>
      <c r="FI24" s="19">
        <v>0</v>
      </c>
      <c r="FJ24" s="19" t="s">
        <v>56</v>
      </c>
      <c r="FK24" s="36">
        <v>273</v>
      </c>
      <c r="FL24" s="19">
        <v>22.7</v>
      </c>
      <c r="FM24" s="19">
        <f t="shared" si="12"/>
        <v>8.3150183150183157</v>
      </c>
      <c r="FN24" s="36">
        <v>245</v>
      </c>
      <c r="FO24" s="19">
        <v>183.6</v>
      </c>
      <c r="FP24" s="19">
        <f t="shared" si="13"/>
        <v>74.938775510204067</v>
      </c>
      <c r="FQ24" s="36">
        <v>0.8</v>
      </c>
      <c r="FR24" s="19">
        <v>0.8</v>
      </c>
      <c r="FS24" s="19">
        <f t="shared" si="14"/>
        <v>100</v>
      </c>
      <c r="FT24" s="36">
        <v>63.6</v>
      </c>
      <c r="FU24" s="19">
        <v>37.299999999999997</v>
      </c>
      <c r="FV24" s="19">
        <f t="shared" si="41"/>
        <v>58.647798742138356</v>
      </c>
      <c r="FW24" s="36">
        <v>0</v>
      </c>
      <c r="FX24" s="19">
        <v>0</v>
      </c>
      <c r="FY24" s="19" t="s">
        <v>56</v>
      </c>
      <c r="FZ24" s="36">
        <v>543.9</v>
      </c>
      <c r="GA24" s="19">
        <v>266</v>
      </c>
      <c r="GB24" s="19">
        <f t="shared" si="15"/>
        <v>48.906048906048909</v>
      </c>
      <c r="GC24" s="36">
        <v>198.4</v>
      </c>
      <c r="GD24" s="19">
        <v>107.3</v>
      </c>
      <c r="GE24" s="19">
        <f t="shared" si="16"/>
        <v>54.082661290322577</v>
      </c>
      <c r="GF24" s="36">
        <v>0</v>
      </c>
      <c r="GG24" s="19">
        <v>0</v>
      </c>
      <c r="GH24" s="19" t="s">
        <v>56</v>
      </c>
      <c r="GI24" s="37">
        <v>0</v>
      </c>
      <c r="GJ24" s="19">
        <v>0</v>
      </c>
      <c r="GK24" s="19" t="s">
        <v>56</v>
      </c>
      <c r="GL24" s="37">
        <v>1914.1</v>
      </c>
      <c r="GM24" s="19">
        <v>1115.4000000000001</v>
      </c>
      <c r="GN24" s="19">
        <f t="shared" si="17"/>
        <v>58.272817512146709</v>
      </c>
      <c r="GO24" s="36">
        <v>0</v>
      </c>
      <c r="GP24" s="36">
        <v>0</v>
      </c>
      <c r="GQ24" s="19" t="s">
        <v>56</v>
      </c>
      <c r="GR24" s="36">
        <v>0</v>
      </c>
      <c r="GS24" s="19">
        <v>0</v>
      </c>
      <c r="GT24" s="19" t="s">
        <v>56</v>
      </c>
      <c r="GU24" s="36">
        <v>661.1</v>
      </c>
      <c r="GV24" s="19">
        <v>102.5</v>
      </c>
      <c r="GW24" s="19">
        <f t="shared" si="51"/>
        <v>15.504462259869912</v>
      </c>
      <c r="GX24" s="36">
        <v>0</v>
      </c>
      <c r="GY24" s="19">
        <v>0</v>
      </c>
      <c r="GZ24" s="19" t="s">
        <v>56</v>
      </c>
      <c r="HA24" s="36">
        <v>176</v>
      </c>
      <c r="HB24" s="19">
        <v>0</v>
      </c>
      <c r="HC24" s="19">
        <v>0</v>
      </c>
      <c r="HD24" s="19">
        <v>7488</v>
      </c>
      <c r="HE24" s="19">
        <v>4799.2</v>
      </c>
      <c r="HF24" s="38">
        <f t="shared" si="26"/>
        <v>64.091880341880341</v>
      </c>
      <c r="HG24" s="36">
        <v>1349</v>
      </c>
      <c r="HH24" s="19">
        <v>674.4</v>
      </c>
      <c r="HI24" s="19">
        <f t="shared" si="27"/>
        <v>49.992587101556708</v>
      </c>
      <c r="HJ24" s="17">
        <f t="shared" si="28"/>
        <v>59038.9</v>
      </c>
      <c r="HK24" s="17">
        <f t="shared" si="29"/>
        <v>36945.5</v>
      </c>
      <c r="HL24" s="16">
        <f t="shared" si="30"/>
        <v>62.578232318014045</v>
      </c>
      <c r="HM24" s="34">
        <v>6015.2</v>
      </c>
      <c r="HN24" s="34">
        <v>0</v>
      </c>
      <c r="HO24" s="35">
        <f t="shared" si="42"/>
        <v>0</v>
      </c>
      <c r="HP24" s="35">
        <v>0</v>
      </c>
      <c r="HQ24" s="35">
        <v>0</v>
      </c>
      <c r="HR24" s="35" t="s">
        <v>56</v>
      </c>
      <c r="HS24" s="35">
        <v>9230</v>
      </c>
      <c r="HT24" s="35">
        <v>0</v>
      </c>
      <c r="HU24" s="35">
        <f t="shared" si="43"/>
        <v>0</v>
      </c>
      <c r="HV24" s="35">
        <v>3479.3</v>
      </c>
      <c r="HW24" s="35">
        <v>0</v>
      </c>
      <c r="HX24" s="35">
        <f t="shared" si="44"/>
        <v>0</v>
      </c>
      <c r="HY24" s="34">
        <v>0</v>
      </c>
      <c r="HZ24" s="34">
        <v>0</v>
      </c>
      <c r="IA24" s="34" t="s">
        <v>56</v>
      </c>
      <c r="IB24" s="34">
        <v>117</v>
      </c>
      <c r="IC24" s="34">
        <v>117</v>
      </c>
      <c r="ID24" s="35">
        <f t="shared" si="31"/>
        <v>100</v>
      </c>
      <c r="IE24" s="34">
        <v>0</v>
      </c>
      <c r="IF24" s="34">
        <v>0</v>
      </c>
      <c r="IG24" s="35" t="s">
        <v>56</v>
      </c>
      <c r="IH24" s="18">
        <v>2999.9</v>
      </c>
      <c r="II24" s="19">
        <v>0</v>
      </c>
      <c r="IJ24" s="19">
        <f t="shared" si="32"/>
        <v>0</v>
      </c>
      <c r="IK24" s="18">
        <v>0</v>
      </c>
      <c r="IL24" s="18">
        <v>0</v>
      </c>
      <c r="IM24" s="18" t="s">
        <v>56</v>
      </c>
      <c r="IN24" s="19">
        <v>0</v>
      </c>
      <c r="IO24" s="19">
        <v>0</v>
      </c>
      <c r="IP24" s="19" t="s">
        <v>56</v>
      </c>
      <c r="IQ24" s="19">
        <v>36528.5</v>
      </c>
      <c r="IR24" s="19">
        <v>36528.5</v>
      </c>
      <c r="IS24" s="21">
        <f t="shared" si="53"/>
        <v>100</v>
      </c>
      <c r="IT24" s="19">
        <v>0</v>
      </c>
      <c r="IU24" s="19">
        <v>0</v>
      </c>
      <c r="IV24" s="21" t="s">
        <v>56</v>
      </c>
      <c r="IW24" s="19">
        <v>0</v>
      </c>
      <c r="IX24" s="19">
        <v>0</v>
      </c>
      <c r="IY24" s="19" t="s">
        <v>56</v>
      </c>
      <c r="IZ24" s="19">
        <v>297</v>
      </c>
      <c r="JA24" s="19">
        <v>297</v>
      </c>
      <c r="JB24" s="21">
        <f>(JA24/IZ24)*100</f>
        <v>100</v>
      </c>
      <c r="JC24" s="19">
        <v>369</v>
      </c>
      <c r="JD24" s="19">
        <v>0</v>
      </c>
      <c r="JE24" s="19">
        <v>0</v>
      </c>
      <c r="JF24" s="19">
        <v>0</v>
      </c>
      <c r="JG24" s="19">
        <v>0</v>
      </c>
      <c r="JH24" s="25" t="s">
        <v>56</v>
      </c>
      <c r="JI24" s="23">
        <v>3</v>
      </c>
      <c r="JJ24" s="19">
        <v>3</v>
      </c>
      <c r="JK24" s="25">
        <f>(JJ24/JI24)*100</f>
        <v>100</v>
      </c>
      <c r="JL24" s="19">
        <v>0</v>
      </c>
      <c r="JM24" s="19">
        <v>0</v>
      </c>
      <c r="JN24" s="21" t="s">
        <v>56</v>
      </c>
      <c r="JO24" s="19">
        <v>0</v>
      </c>
      <c r="JP24" s="19">
        <v>0</v>
      </c>
      <c r="JQ24" s="19" t="s">
        <v>56</v>
      </c>
      <c r="JR24" s="19">
        <v>0</v>
      </c>
      <c r="JS24" s="19">
        <v>0</v>
      </c>
      <c r="JT24" s="19" t="s">
        <v>56</v>
      </c>
      <c r="JU24" s="19">
        <v>0</v>
      </c>
      <c r="JV24" s="19">
        <v>0</v>
      </c>
      <c r="JW24" s="21" t="s">
        <v>56</v>
      </c>
      <c r="JX24" s="21">
        <v>0</v>
      </c>
      <c r="JY24" s="21">
        <v>0</v>
      </c>
      <c r="JZ24" s="21" t="s">
        <v>56</v>
      </c>
      <c r="KA24" s="21">
        <v>0</v>
      </c>
      <c r="KB24" s="21">
        <v>0</v>
      </c>
      <c r="KC24" s="21" t="s">
        <v>56</v>
      </c>
      <c r="KD24" s="14">
        <f t="shared" si="45"/>
        <v>419899.75062000001</v>
      </c>
      <c r="KE24" s="14">
        <f t="shared" si="46"/>
        <v>277678</v>
      </c>
      <c r="KF24" s="14">
        <f t="shared" si="47"/>
        <v>66.129593930455187</v>
      </c>
      <c r="KG24" s="7"/>
      <c r="KH24" s="9"/>
      <c r="KJ24" s="9"/>
    </row>
    <row r="25" spans="1:296" x14ac:dyDescent="0.2">
      <c r="A25" s="27" t="s">
        <v>26</v>
      </c>
      <c r="B25" s="13">
        <f t="shared" si="20"/>
        <v>168083.7</v>
      </c>
      <c r="C25" s="13">
        <f t="shared" si="33"/>
        <v>148879.9</v>
      </c>
      <c r="D25" s="14">
        <f t="shared" si="34"/>
        <v>88.574858835211259</v>
      </c>
      <c r="E25" s="18">
        <v>149823</v>
      </c>
      <c r="F25" s="19">
        <v>139877.4</v>
      </c>
      <c r="G25" s="19">
        <f t="shared" si="0"/>
        <v>93.361766884924208</v>
      </c>
      <c r="H25" s="18">
        <f>18260700/1000</f>
        <v>18260.7</v>
      </c>
      <c r="I25" s="19">
        <v>9002.5</v>
      </c>
      <c r="J25" s="19">
        <f>(I25/H25)*100</f>
        <v>49.299862546342688</v>
      </c>
      <c r="K25" s="19">
        <v>0</v>
      </c>
      <c r="L25" s="19">
        <v>0</v>
      </c>
      <c r="M25" s="19" t="s">
        <v>56</v>
      </c>
      <c r="N25" s="13">
        <f t="shared" si="35"/>
        <v>147200.20282000001</v>
      </c>
      <c r="O25" s="13">
        <f t="shared" si="36"/>
        <v>63089.899999999994</v>
      </c>
      <c r="P25" s="14">
        <f t="shared" si="21"/>
        <v>42.859927358352799</v>
      </c>
      <c r="Q25" s="19">
        <v>16253.8</v>
      </c>
      <c r="R25" s="19">
        <v>865.1</v>
      </c>
      <c r="S25" s="19">
        <f t="shared" si="37"/>
        <v>5.3224476737747484</v>
      </c>
      <c r="T25" s="18">
        <v>0</v>
      </c>
      <c r="U25" s="19">
        <v>0</v>
      </c>
      <c r="V25" s="19" t="s">
        <v>56</v>
      </c>
      <c r="W25" s="18">
        <f>8292.8</f>
        <v>8292.7999999999993</v>
      </c>
      <c r="X25" s="19">
        <v>8292.7999999999993</v>
      </c>
      <c r="Y25" s="19">
        <f t="shared" si="1"/>
        <v>100</v>
      </c>
      <c r="Z25" s="18">
        <v>0</v>
      </c>
      <c r="AA25" s="19">
        <v>0</v>
      </c>
      <c r="AB25" s="19" t="s">
        <v>56</v>
      </c>
      <c r="AC25" s="18">
        <v>0</v>
      </c>
      <c r="AD25" s="19">
        <v>0</v>
      </c>
      <c r="AE25" s="19" t="s">
        <v>56</v>
      </c>
      <c r="AF25" s="18">
        <v>0</v>
      </c>
      <c r="AG25" s="19">
        <v>0</v>
      </c>
      <c r="AH25" s="19" t="s">
        <v>56</v>
      </c>
      <c r="AI25" s="18">
        <v>0</v>
      </c>
      <c r="AJ25" s="18">
        <v>0</v>
      </c>
      <c r="AK25" s="19" t="s">
        <v>56</v>
      </c>
      <c r="AL25" s="19">
        <v>5777.2</v>
      </c>
      <c r="AM25" s="19">
        <v>2586</v>
      </c>
      <c r="AN25" s="19">
        <f t="shared" si="2"/>
        <v>44.762168524544762</v>
      </c>
      <c r="AO25" s="19">
        <v>0</v>
      </c>
      <c r="AP25" s="19">
        <v>0</v>
      </c>
      <c r="AQ25" s="19" t="s">
        <v>56</v>
      </c>
      <c r="AR25" s="19">
        <v>0</v>
      </c>
      <c r="AS25" s="19">
        <v>0</v>
      </c>
      <c r="AT25" s="19" t="s">
        <v>56</v>
      </c>
      <c r="AU25" s="18">
        <v>222.7</v>
      </c>
      <c r="AV25" s="19">
        <f>222.7</f>
        <v>222.7</v>
      </c>
      <c r="AW25" s="19">
        <f t="shared" si="48"/>
        <v>100</v>
      </c>
      <c r="AX25" s="19">
        <v>9447</v>
      </c>
      <c r="AY25" s="19">
        <v>2361.6999999999998</v>
      </c>
      <c r="AZ25" s="19">
        <f t="shared" si="38"/>
        <v>24.999470731449136</v>
      </c>
      <c r="BA25" s="18">
        <v>0</v>
      </c>
      <c r="BB25" s="19">
        <v>0</v>
      </c>
      <c r="BC25" s="19" t="s">
        <v>56</v>
      </c>
      <c r="BD25" s="18">
        <v>0</v>
      </c>
      <c r="BE25" s="19">
        <v>0</v>
      </c>
      <c r="BF25" s="19" t="s">
        <v>56</v>
      </c>
      <c r="BG25" s="18">
        <f>67102.82/1000</f>
        <v>67.102820000000008</v>
      </c>
      <c r="BH25" s="19">
        <f>67.1</f>
        <v>67.099999999999994</v>
      </c>
      <c r="BI25" s="19">
        <f t="shared" si="3"/>
        <v>99.995797494054628</v>
      </c>
      <c r="BJ25" s="18">
        <v>0</v>
      </c>
      <c r="BK25" s="19">
        <v>0</v>
      </c>
      <c r="BL25" s="19" t="s">
        <v>56</v>
      </c>
      <c r="BM25" s="18">
        <v>0</v>
      </c>
      <c r="BN25" s="19">
        <v>0</v>
      </c>
      <c r="BO25" s="19" t="s">
        <v>56</v>
      </c>
      <c r="BP25" s="18">
        <v>0</v>
      </c>
      <c r="BQ25" s="19">
        <v>0</v>
      </c>
      <c r="BR25" s="19" t="s">
        <v>56</v>
      </c>
      <c r="BS25" s="18">
        <v>0</v>
      </c>
      <c r="BT25" s="19">
        <v>0</v>
      </c>
      <c r="BU25" s="19" t="s">
        <v>56</v>
      </c>
      <c r="BV25" s="18">
        <v>0</v>
      </c>
      <c r="BW25" s="19">
        <v>0</v>
      </c>
      <c r="BX25" s="19" t="s">
        <v>56</v>
      </c>
      <c r="BY25" s="19">
        <v>2323.4</v>
      </c>
      <c r="BZ25" s="19">
        <v>2242.1999999999998</v>
      </c>
      <c r="CA25" s="19">
        <f t="shared" si="50"/>
        <v>96.505121804252383</v>
      </c>
      <c r="CB25" s="18">
        <f>369.1</f>
        <v>369.1</v>
      </c>
      <c r="CC25" s="18">
        <f>369.1</f>
        <v>369.1</v>
      </c>
      <c r="CD25" s="34">
        <v>100</v>
      </c>
      <c r="CE25" s="18">
        <v>0</v>
      </c>
      <c r="CF25" s="18">
        <v>0</v>
      </c>
      <c r="CG25" s="34" t="s">
        <v>56</v>
      </c>
      <c r="CH25" s="34">
        <v>0</v>
      </c>
      <c r="CI25" s="34">
        <v>0</v>
      </c>
      <c r="CJ25" s="34" t="s">
        <v>56</v>
      </c>
      <c r="CK25" s="18">
        <v>2500</v>
      </c>
      <c r="CL25" s="18">
        <v>0</v>
      </c>
      <c r="CM25" s="34">
        <v>0</v>
      </c>
      <c r="CN25" s="18">
        <v>5000.7</v>
      </c>
      <c r="CO25" s="34">
        <v>5000.7</v>
      </c>
      <c r="CP25" s="34">
        <f t="shared" si="4"/>
        <v>100</v>
      </c>
      <c r="CQ25" s="34">
        <v>0</v>
      </c>
      <c r="CR25" s="34">
        <v>0</v>
      </c>
      <c r="CS25" s="34" t="s">
        <v>56</v>
      </c>
      <c r="CT25" s="34">
        <v>72.7</v>
      </c>
      <c r="CU25" s="34">
        <v>72.7</v>
      </c>
      <c r="CV25" s="34">
        <v>100</v>
      </c>
      <c r="CW25" s="34">
        <v>18950.5</v>
      </c>
      <c r="CX25" s="34">
        <v>1183</v>
      </c>
      <c r="CY25" s="34">
        <f t="shared" si="23"/>
        <v>6.242579351468299</v>
      </c>
      <c r="CZ25" s="34">
        <v>2035.8</v>
      </c>
      <c r="DA25" s="34">
        <v>2035.7</v>
      </c>
      <c r="DB25" s="34">
        <f t="shared" si="49"/>
        <v>99.995087926122423</v>
      </c>
      <c r="DC25" s="34">
        <v>0</v>
      </c>
      <c r="DD25" s="34">
        <v>0</v>
      </c>
      <c r="DE25" s="35" t="s">
        <v>56</v>
      </c>
      <c r="DF25" s="34">
        <v>0</v>
      </c>
      <c r="DG25" s="34">
        <v>0</v>
      </c>
      <c r="DH25" s="34" t="s">
        <v>56</v>
      </c>
      <c r="DI25" s="34">
        <v>0</v>
      </c>
      <c r="DJ25" s="34">
        <v>0</v>
      </c>
      <c r="DK25" s="34" t="s">
        <v>56</v>
      </c>
      <c r="DL25" s="34">
        <v>61142.400000000001</v>
      </c>
      <c r="DM25" s="34">
        <v>31626.1</v>
      </c>
      <c r="DN25" s="34">
        <f t="shared" si="24"/>
        <v>51.725316637881406</v>
      </c>
      <c r="DO25" s="34">
        <v>0</v>
      </c>
      <c r="DP25" s="34">
        <v>0</v>
      </c>
      <c r="DQ25" s="34" t="s">
        <v>56</v>
      </c>
      <c r="DR25" s="34">
        <v>0</v>
      </c>
      <c r="DS25" s="34">
        <v>0</v>
      </c>
      <c r="DT25" s="34" t="s">
        <v>56</v>
      </c>
      <c r="DU25" s="34">
        <v>4745</v>
      </c>
      <c r="DV25" s="34">
        <v>2376.6999999999998</v>
      </c>
      <c r="DW25" s="34">
        <f>(DV25/DU25)*100</f>
        <v>50.088514225500525</v>
      </c>
      <c r="DX25" s="34">
        <v>0</v>
      </c>
      <c r="DY25" s="34">
        <v>0</v>
      </c>
      <c r="DZ25" s="34" t="s">
        <v>56</v>
      </c>
      <c r="EA25" s="18">
        <v>10000</v>
      </c>
      <c r="EB25" s="19">
        <v>3788.3</v>
      </c>
      <c r="EC25" s="34">
        <f>EB25/EA25%</f>
        <v>37.883000000000003</v>
      </c>
      <c r="ED25" s="18">
        <v>0</v>
      </c>
      <c r="EE25" s="19">
        <v>0</v>
      </c>
      <c r="EF25" s="34" t="s">
        <v>56</v>
      </c>
      <c r="EG25" s="13">
        <f t="shared" si="5"/>
        <v>403148.3</v>
      </c>
      <c r="EH25" s="13">
        <f t="shared" si="6"/>
        <v>298697.89999999997</v>
      </c>
      <c r="EI25" s="14">
        <f t="shared" si="40"/>
        <v>74.09132073730683</v>
      </c>
      <c r="EJ25" s="36">
        <v>3222.7</v>
      </c>
      <c r="EK25" s="36">
        <v>2075.6999999999998</v>
      </c>
      <c r="EL25" s="19">
        <f t="shared" si="7"/>
        <v>64.408725602755453</v>
      </c>
      <c r="EM25" s="36">
        <v>0</v>
      </c>
      <c r="EN25" s="19">
        <v>0</v>
      </c>
      <c r="EO25" s="19" t="s">
        <v>56</v>
      </c>
      <c r="EP25" s="36">
        <v>0</v>
      </c>
      <c r="EQ25" s="19">
        <v>0</v>
      </c>
      <c r="ER25" s="19" t="s">
        <v>56</v>
      </c>
      <c r="ES25" s="36">
        <v>99495.8</v>
      </c>
      <c r="ET25" s="19">
        <v>62598.9</v>
      </c>
      <c r="EU25" s="19">
        <v>62.91612309263305</v>
      </c>
      <c r="EV25" s="34">
        <v>245129.5</v>
      </c>
      <c r="EW25" s="34">
        <v>197133.9</v>
      </c>
      <c r="EX25" s="35">
        <v>80.420308449207454</v>
      </c>
      <c r="EY25" s="36">
        <v>9632.2000000000007</v>
      </c>
      <c r="EZ25" s="34">
        <v>5216.5</v>
      </c>
      <c r="FA25" s="34">
        <f t="shared" si="25"/>
        <v>54.156890430015984</v>
      </c>
      <c r="FB25" s="36">
        <v>2183.9</v>
      </c>
      <c r="FC25" s="19">
        <v>988.8</v>
      </c>
      <c r="FD25" s="19">
        <f t="shared" si="11"/>
        <v>45.276798388204583</v>
      </c>
      <c r="FE25" s="36">
        <v>0</v>
      </c>
      <c r="FF25" s="19">
        <v>0</v>
      </c>
      <c r="FG25" s="19" t="s">
        <v>56</v>
      </c>
      <c r="FH25" s="36">
        <v>0</v>
      </c>
      <c r="FI25" s="19">
        <v>0</v>
      </c>
      <c r="FJ25" s="19" t="s">
        <v>56</v>
      </c>
      <c r="FK25" s="36">
        <v>0</v>
      </c>
      <c r="FL25" s="19">
        <v>0</v>
      </c>
      <c r="FM25" s="19" t="s">
        <v>56</v>
      </c>
      <c r="FN25" s="36">
        <v>332.5</v>
      </c>
      <c r="FO25" s="19">
        <v>249.3</v>
      </c>
      <c r="FP25" s="19">
        <f t="shared" si="13"/>
        <v>74.977443609022558</v>
      </c>
      <c r="FQ25" s="36">
        <v>3.1</v>
      </c>
      <c r="FR25" s="19">
        <v>3.1</v>
      </c>
      <c r="FS25" s="19">
        <f t="shared" si="14"/>
        <v>100</v>
      </c>
      <c r="FT25" s="36">
        <v>95.5</v>
      </c>
      <c r="FU25" s="19">
        <v>53.4</v>
      </c>
      <c r="FV25" s="19">
        <f t="shared" si="41"/>
        <v>55.916230366492151</v>
      </c>
      <c r="FW25" s="36">
        <v>5</v>
      </c>
      <c r="FX25" s="19">
        <v>5</v>
      </c>
      <c r="FY25" s="19">
        <f>FX25/FW25%</f>
        <v>100</v>
      </c>
      <c r="FZ25" s="36">
        <v>656.8</v>
      </c>
      <c r="GA25" s="19">
        <v>403.5</v>
      </c>
      <c r="GB25" s="19">
        <f t="shared" si="15"/>
        <v>61.434226552984171</v>
      </c>
      <c r="GC25" s="36">
        <v>443.1</v>
      </c>
      <c r="GD25" s="19">
        <v>356.8</v>
      </c>
      <c r="GE25" s="19">
        <f t="shared" si="16"/>
        <v>80.52358384111939</v>
      </c>
      <c r="GF25" s="36">
        <v>0</v>
      </c>
      <c r="GG25" s="19">
        <v>0</v>
      </c>
      <c r="GH25" s="19" t="s">
        <v>56</v>
      </c>
      <c r="GI25" s="37">
        <v>0</v>
      </c>
      <c r="GJ25" s="19">
        <v>0</v>
      </c>
      <c r="GK25" s="19" t="s">
        <v>56</v>
      </c>
      <c r="GL25" s="37">
        <v>2606.4</v>
      </c>
      <c r="GM25" s="19">
        <v>1797.4</v>
      </c>
      <c r="GN25" s="19">
        <f t="shared" si="17"/>
        <v>68.961019030079811</v>
      </c>
      <c r="GO25" s="36">
        <v>0</v>
      </c>
      <c r="GP25" s="36">
        <v>0</v>
      </c>
      <c r="GQ25" s="19" t="s">
        <v>56</v>
      </c>
      <c r="GR25" s="36">
        <v>344.3</v>
      </c>
      <c r="GS25" s="19">
        <v>255.8</v>
      </c>
      <c r="GT25" s="19">
        <f t="shared" si="52"/>
        <v>74.295672378739468</v>
      </c>
      <c r="GU25" s="36">
        <v>1136.7</v>
      </c>
      <c r="GV25" s="19">
        <v>325.60000000000002</v>
      </c>
      <c r="GW25" s="19">
        <f t="shared" si="51"/>
        <v>28.644321280900854</v>
      </c>
      <c r="GX25" s="36">
        <v>7590</v>
      </c>
      <c r="GY25" s="19">
        <v>6058</v>
      </c>
      <c r="GZ25" s="19">
        <f>GY25/GX25%</f>
        <v>79.815546772068501</v>
      </c>
      <c r="HA25" s="36">
        <v>480.1</v>
      </c>
      <c r="HB25" s="19">
        <v>0</v>
      </c>
      <c r="HC25" s="19">
        <v>0</v>
      </c>
      <c r="HD25" s="19">
        <v>24578.7</v>
      </c>
      <c r="HE25" s="19">
        <v>17267.5</v>
      </c>
      <c r="HF25" s="38">
        <f t="shared" si="26"/>
        <v>70.253919043724849</v>
      </c>
      <c r="HG25" s="36">
        <v>5212</v>
      </c>
      <c r="HH25" s="19">
        <v>3908.7</v>
      </c>
      <c r="HI25" s="19">
        <f t="shared" si="27"/>
        <v>74.994244052187256</v>
      </c>
      <c r="HJ25" s="17">
        <f t="shared" si="28"/>
        <v>41195.699999999997</v>
      </c>
      <c r="HK25" s="17">
        <f t="shared" si="29"/>
        <v>4881.7</v>
      </c>
      <c r="HL25" s="16">
        <f t="shared" si="30"/>
        <v>11.850023182031135</v>
      </c>
      <c r="HM25" s="34">
        <v>10350.9</v>
      </c>
      <c r="HN25" s="34">
        <v>2587.6999999999998</v>
      </c>
      <c r="HO25" s="35">
        <f t="shared" si="42"/>
        <v>24.999758475108443</v>
      </c>
      <c r="HP25" s="35">
        <v>0</v>
      </c>
      <c r="HQ25" s="35">
        <v>0</v>
      </c>
      <c r="HR25" s="35" t="s">
        <v>56</v>
      </c>
      <c r="HS25" s="35">
        <v>7200</v>
      </c>
      <c r="HT25" s="35">
        <v>2160</v>
      </c>
      <c r="HU25" s="35">
        <f t="shared" si="43"/>
        <v>30</v>
      </c>
      <c r="HV25" s="35">
        <v>13445.6</v>
      </c>
      <c r="HW25" s="35">
        <v>0</v>
      </c>
      <c r="HX25" s="35">
        <f t="shared" si="44"/>
        <v>0</v>
      </c>
      <c r="HY25" s="34">
        <v>0</v>
      </c>
      <c r="HZ25" s="34">
        <v>0</v>
      </c>
      <c r="IA25" s="34" t="s">
        <v>56</v>
      </c>
      <c r="IB25" s="34">
        <v>134</v>
      </c>
      <c r="IC25" s="34">
        <v>134</v>
      </c>
      <c r="ID25" s="35">
        <f t="shared" si="31"/>
        <v>100</v>
      </c>
      <c r="IE25" s="34">
        <v>0</v>
      </c>
      <c r="IF25" s="34">
        <v>0</v>
      </c>
      <c r="IG25" s="35" t="s">
        <v>56</v>
      </c>
      <c r="IH25" s="18">
        <v>10065.200000000001</v>
      </c>
      <c r="II25" s="19">
        <v>0</v>
      </c>
      <c r="IJ25" s="19">
        <f t="shared" si="32"/>
        <v>0</v>
      </c>
      <c r="IK25" s="18">
        <v>0</v>
      </c>
      <c r="IL25" s="18">
        <v>0</v>
      </c>
      <c r="IM25" s="18" t="s">
        <v>56</v>
      </c>
      <c r="IN25" s="19">
        <v>0</v>
      </c>
      <c r="IO25" s="19">
        <v>0</v>
      </c>
      <c r="IP25" s="19" t="s">
        <v>56</v>
      </c>
      <c r="IQ25" s="19">
        <v>0</v>
      </c>
      <c r="IR25" s="19">
        <v>0</v>
      </c>
      <c r="IS25" s="21" t="s">
        <v>56</v>
      </c>
      <c r="IT25" s="19">
        <v>0</v>
      </c>
      <c r="IU25" s="19">
        <v>0</v>
      </c>
      <c r="IV25" s="21" t="s">
        <v>56</v>
      </c>
      <c r="IW25" s="19">
        <v>0</v>
      </c>
      <c r="IX25" s="19">
        <v>0</v>
      </c>
      <c r="IY25" s="19" t="s">
        <v>56</v>
      </c>
      <c r="IZ25" s="19">
        <v>0</v>
      </c>
      <c r="JA25" s="19">
        <v>0</v>
      </c>
      <c r="JB25" s="21" t="s">
        <v>56</v>
      </c>
      <c r="JC25" s="19">
        <v>0</v>
      </c>
      <c r="JD25" s="19">
        <v>0</v>
      </c>
      <c r="JE25" s="19" t="s">
        <v>56</v>
      </c>
      <c r="JF25" s="19">
        <v>0</v>
      </c>
      <c r="JG25" s="19">
        <v>0</v>
      </c>
      <c r="JH25" s="25" t="s">
        <v>56</v>
      </c>
      <c r="JI25" s="23">
        <v>0</v>
      </c>
      <c r="JJ25" s="19">
        <v>0</v>
      </c>
      <c r="JK25" s="25" t="s">
        <v>56</v>
      </c>
      <c r="JL25" s="19">
        <v>0</v>
      </c>
      <c r="JM25" s="19">
        <v>0</v>
      </c>
      <c r="JN25" s="21" t="s">
        <v>56</v>
      </c>
      <c r="JO25" s="19">
        <v>0</v>
      </c>
      <c r="JP25" s="19">
        <v>0</v>
      </c>
      <c r="JQ25" s="19" t="s">
        <v>56</v>
      </c>
      <c r="JR25" s="19">
        <v>0</v>
      </c>
      <c r="JS25" s="19">
        <v>0</v>
      </c>
      <c r="JT25" s="19" t="s">
        <v>56</v>
      </c>
      <c r="JU25" s="19">
        <v>0</v>
      </c>
      <c r="JV25" s="19">
        <v>0</v>
      </c>
      <c r="JW25" s="21" t="s">
        <v>56</v>
      </c>
      <c r="JX25" s="21">
        <v>0</v>
      </c>
      <c r="JY25" s="21">
        <v>0</v>
      </c>
      <c r="JZ25" s="21" t="s">
        <v>56</v>
      </c>
      <c r="KA25" s="21">
        <v>0</v>
      </c>
      <c r="KB25" s="21">
        <v>0</v>
      </c>
      <c r="KC25" s="21" t="s">
        <v>56</v>
      </c>
      <c r="KD25" s="14">
        <f t="shared" si="45"/>
        <v>759627.90281999996</v>
      </c>
      <c r="KE25" s="14">
        <f t="shared" si="46"/>
        <v>515549.39999999997</v>
      </c>
      <c r="KF25" s="14">
        <f t="shared" si="47"/>
        <v>67.868675977554716</v>
      </c>
      <c r="KG25" s="7"/>
      <c r="KH25" s="9"/>
      <c r="KJ25" s="9"/>
    </row>
    <row r="26" spans="1:296" x14ac:dyDescent="0.2">
      <c r="A26" s="27" t="s">
        <v>27</v>
      </c>
      <c r="B26" s="13">
        <f t="shared" si="20"/>
        <v>107073</v>
      </c>
      <c r="C26" s="13">
        <f t="shared" si="33"/>
        <v>103112.4</v>
      </c>
      <c r="D26" s="14">
        <f t="shared" si="34"/>
        <v>96.301028270432326</v>
      </c>
      <c r="E26" s="18">
        <v>107073</v>
      </c>
      <c r="F26" s="19">
        <v>103112.4</v>
      </c>
      <c r="G26" s="19">
        <f t="shared" si="0"/>
        <v>96.301028270432312</v>
      </c>
      <c r="H26" s="18">
        <v>0</v>
      </c>
      <c r="I26" s="19">
        <v>0</v>
      </c>
      <c r="J26" s="19" t="s">
        <v>56</v>
      </c>
      <c r="K26" s="19">
        <v>0</v>
      </c>
      <c r="L26" s="19">
        <v>0</v>
      </c>
      <c r="M26" s="19" t="s">
        <v>56</v>
      </c>
      <c r="N26" s="13">
        <f t="shared" si="35"/>
        <v>130097.17042000001</v>
      </c>
      <c r="O26" s="13">
        <f t="shared" si="36"/>
        <v>64831</v>
      </c>
      <c r="P26" s="14">
        <f t="shared" si="21"/>
        <v>49.832751773695335</v>
      </c>
      <c r="Q26" s="19">
        <v>16253.8</v>
      </c>
      <c r="R26" s="19">
        <v>0</v>
      </c>
      <c r="S26" s="19">
        <f t="shared" si="37"/>
        <v>0</v>
      </c>
      <c r="T26" s="18">
        <v>0</v>
      </c>
      <c r="U26" s="19">
        <v>0</v>
      </c>
      <c r="V26" s="19" t="s">
        <v>56</v>
      </c>
      <c r="W26" s="18">
        <f>1502.1</f>
        <v>1502.1</v>
      </c>
      <c r="X26" s="19">
        <f>1440.8</f>
        <v>1440.8</v>
      </c>
      <c r="Y26" s="19">
        <f t="shared" si="1"/>
        <v>95.919046667998145</v>
      </c>
      <c r="Z26" s="18">
        <v>0</v>
      </c>
      <c r="AA26" s="19">
        <v>0</v>
      </c>
      <c r="AB26" s="19" t="s">
        <v>56</v>
      </c>
      <c r="AC26" s="18">
        <v>0</v>
      </c>
      <c r="AD26" s="19">
        <v>0</v>
      </c>
      <c r="AE26" s="19" t="s">
        <v>56</v>
      </c>
      <c r="AF26" s="18">
        <v>0</v>
      </c>
      <c r="AG26" s="19">
        <v>0</v>
      </c>
      <c r="AH26" s="19" t="s">
        <v>56</v>
      </c>
      <c r="AI26" s="18">
        <v>0</v>
      </c>
      <c r="AJ26" s="18">
        <v>0</v>
      </c>
      <c r="AK26" s="19" t="s">
        <v>56</v>
      </c>
      <c r="AL26" s="19">
        <v>10206</v>
      </c>
      <c r="AM26" s="19">
        <v>2991</v>
      </c>
      <c r="AN26" s="19">
        <f t="shared" si="2"/>
        <v>29.306290417401527</v>
      </c>
      <c r="AO26" s="19">
        <f>4553.8</f>
        <v>4553.8</v>
      </c>
      <c r="AP26" s="19">
        <v>4553.8</v>
      </c>
      <c r="AQ26" s="19">
        <f>(AP26/AO26)*100</f>
        <v>100</v>
      </c>
      <c r="AR26" s="19">
        <v>0</v>
      </c>
      <c r="AS26" s="19">
        <v>0</v>
      </c>
      <c r="AT26" s="19" t="s">
        <v>56</v>
      </c>
      <c r="AU26" s="18">
        <v>1336.1</v>
      </c>
      <c r="AV26" s="19">
        <f>1336.1</f>
        <v>1336.1</v>
      </c>
      <c r="AW26" s="19">
        <f t="shared" si="48"/>
        <v>100</v>
      </c>
      <c r="AX26" s="19">
        <v>2966.3</v>
      </c>
      <c r="AY26" s="19">
        <v>373.7</v>
      </c>
      <c r="AZ26" s="19">
        <f t="shared" si="38"/>
        <v>12.59818629268786</v>
      </c>
      <c r="BA26" s="18">
        <v>0</v>
      </c>
      <c r="BB26" s="19">
        <v>0</v>
      </c>
      <c r="BC26" s="19" t="s">
        <v>56</v>
      </c>
      <c r="BD26" s="18">
        <v>0</v>
      </c>
      <c r="BE26" s="19">
        <v>0</v>
      </c>
      <c r="BF26" s="19" t="s">
        <v>56</v>
      </c>
      <c r="BG26" s="18">
        <f>89470.42/1000</f>
        <v>89.470420000000004</v>
      </c>
      <c r="BH26" s="19">
        <f>89.5</f>
        <v>89.5</v>
      </c>
      <c r="BI26" s="19">
        <f t="shared" si="3"/>
        <v>100.03306120615059</v>
      </c>
      <c r="BJ26" s="18">
        <f>100000/1000</f>
        <v>100</v>
      </c>
      <c r="BK26" s="19">
        <v>100</v>
      </c>
      <c r="BL26" s="19">
        <f>(BK26/BJ26)*100</f>
        <v>100</v>
      </c>
      <c r="BM26" s="18">
        <v>0</v>
      </c>
      <c r="BN26" s="19">
        <v>0</v>
      </c>
      <c r="BO26" s="19" t="s">
        <v>56</v>
      </c>
      <c r="BP26" s="18">
        <v>0</v>
      </c>
      <c r="BQ26" s="19">
        <v>0</v>
      </c>
      <c r="BR26" s="19" t="s">
        <v>56</v>
      </c>
      <c r="BS26" s="18">
        <v>0</v>
      </c>
      <c r="BT26" s="19">
        <v>0</v>
      </c>
      <c r="BU26" s="19" t="s">
        <v>56</v>
      </c>
      <c r="BV26" s="18">
        <v>0</v>
      </c>
      <c r="BW26" s="19">
        <v>0</v>
      </c>
      <c r="BX26" s="19" t="s">
        <v>56</v>
      </c>
      <c r="BY26" s="19">
        <v>0</v>
      </c>
      <c r="BZ26" s="19">
        <v>0</v>
      </c>
      <c r="CA26" s="19" t="s">
        <v>56</v>
      </c>
      <c r="CB26" s="18">
        <f>1364.4</f>
        <v>1364.4</v>
      </c>
      <c r="CC26" s="18">
        <f>1364.4</f>
        <v>1364.4</v>
      </c>
      <c r="CD26" s="34">
        <v>100</v>
      </c>
      <c r="CE26" s="18">
        <v>0</v>
      </c>
      <c r="CF26" s="18">
        <v>0</v>
      </c>
      <c r="CG26" s="34" t="s">
        <v>56</v>
      </c>
      <c r="CH26" s="34">
        <v>0</v>
      </c>
      <c r="CI26" s="34">
        <v>0</v>
      </c>
      <c r="CJ26" s="34" t="s">
        <v>56</v>
      </c>
      <c r="CK26" s="18">
        <v>2000</v>
      </c>
      <c r="CL26" s="18">
        <v>0</v>
      </c>
      <c r="CM26" s="34">
        <v>0</v>
      </c>
      <c r="CN26" s="18">
        <v>398.1</v>
      </c>
      <c r="CO26" s="34">
        <v>398.1</v>
      </c>
      <c r="CP26" s="34">
        <f t="shared" si="4"/>
        <v>100</v>
      </c>
      <c r="CQ26" s="34">
        <v>0</v>
      </c>
      <c r="CR26" s="34">
        <v>0</v>
      </c>
      <c r="CS26" s="34" t="s">
        <v>56</v>
      </c>
      <c r="CT26" s="34">
        <v>0</v>
      </c>
      <c r="CU26" s="34">
        <v>0</v>
      </c>
      <c r="CV26" s="34" t="s">
        <v>56</v>
      </c>
      <c r="CW26" s="34">
        <v>0</v>
      </c>
      <c r="CX26" s="34">
        <v>0</v>
      </c>
      <c r="CY26" s="34" t="s">
        <v>56</v>
      </c>
      <c r="CZ26" s="34">
        <v>2035.8</v>
      </c>
      <c r="DA26" s="34">
        <v>1809.6</v>
      </c>
      <c r="DB26" s="34">
        <f t="shared" si="49"/>
        <v>88.888888888888886</v>
      </c>
      <c r="DC26" s="34">
        <v>2200</v>
      </c>
      <c r="DD26" s="34">
        <v>653.29999999999995</v>
      </c>
      <c r="DE26" s="35">
        <f>(DD26/DC26)*100</f>
        <v>29.695454545454542</v>
      </c>
      <c r="DF26" s="34">
        <v>990</v>
      </c>
      <c r="DG26" s="34">
        <v>0</v>
      </c>
      <c r="DH26" s="34">
        <f>DG26/DF26%</f>
        <v>0</v>
      </c>
      <c r="DI26" s="34">
        <v>0</v>
      </c>
      <c r="DJ26" s="34">
        <v>0</v>
      </c>
      <c r="DK26" s="34" t="s">
        <v>56</v>
      </c>
      <c r="DL26" s="34">
        <v>69101.3</v>
      </c>
      <c r="DM26" s="34">
        <v>38801.5</v>
      </c>
      <c r="DN26" s="34">
        <f t="shared" si="24"/>
        <v>56.151620881227991</v>
      </c>
      <c r="DO26" s="34">
        <v>0</v>
      </c>
      <c r="DP26" s="34">
        <v>0</v>
      </c>
      <c r="DQ26" s="34" t="s">
        <v>56</v>
      </c>
      <c r="DR26" s="34">
        <v>0</v>
      </c>
      <c r="DS26" s="34">
        <v>0</v>
      </c>
      <c r="DT26" s="34" t="s">
        <v>56</v>
      </c>
      <c r="DU26" s="34">
        <v>0</v>
      </c>
      <c r="DV26" s="34">
        <v>0</v>
      </c>
      <c r="DW26" s="34" t="s">
        <v>56</v>
      </c>
      <c r="DX26" s="34">
        <v>0</v>
      </c>
      <c r="DY26" s="34">
        <v>0</v>
      </c>
      <c r="DZ26" s="34" t="s">
        <v>56</v>
      </c>
      <c r="EA26" s="18">
        <v>15000</v>
      </c>
      <c r="EB26" s="19">
        <v>10919.2</v>
      </c>
      <c r="EC26" s="34">
        <f>EB26/EA26%</f>
        <v>72.794666666666672</v>
      </c>
      <c r="ED26" s="18">
        <v>0</v>
      </c>
      <c r="EE26" s="19">
        <v>0</v>
      </c>
      <c r="EF26" s="34" t="s">
        <v>56</v>
      </c>
      <c r="EG26" s="13">
        <f t="shared" si="5"/>
        <v>199415.8</v>
      </c>
      <c r="EH26" s="13">
        <f t="shared" si="6"/>
        <v>146332.09999999998</v>
      </c>
      <c r="EI26" s="14">
        <f t="shared" si="40"/>
        <v>73.380394131257404</v>
      </c>
      <c r="EJ26" s="36">
        <v>1208.2</v>
      </c>
      <c r="EK26" s="36">
        <v>712.1</v>
      </c>
      <c r="EL26" s="19">
        <f t="shared" si="7"/>
        <v>58.938917397781822</v>
      </c>
      <c r="EM26" s="36">
        <v>0</v>
      </c>
      <c r="EN26" s="19">
        <v>0</v>
      </c>
      <c r="EO26" s="19" t="s">
        <v>56</v>
      </c>
      <c r="EP26" s="36">
        <v>0</v>
      </c>
      <c r="EQ26" s="19">
        <v>0</v>
      </c>
      <c r="ER26" s="19" t="s">
        <v>56</v>
      </c>
      <c r="ES26" s="36">
        <v>44442.2</v>
      </c>
      <c r="ET26" s="19">
        <v>25061</v>
      </c>
      <c r="EU26" s="19">
        <v>56.390097699933854</v>
      </c>
      <c r="EV26" s="34">
        <v>134569.60000000001</v>
      </c>
      <c r="EW26" s="34">
        <v>109186.2</v>
      </c>
      <c r="EX26" s="35">
        <v>81.13734454141202</v>
      </c>
      <c r="EY26" s="36">
        <v>7042.1</v>
      </c>
      <c r="EZ26" s="34">
        <v>3268.4</v>
      </c>
      <c r="FA26" s="34">
        <f t="shared" si="25"/>
        <v>46.412291787960974</v>
      </c>
      <c r="FB26" s="36">
        <v>623.20000000000005</v>
      </c>
      <c r="FC26" s="19">
        <v>0</v>
      </c>
      <c r="FD26" s="19">
        <f t="shared" si="11"/>
        <v>0</v>
      </c>
      <c r="FE26" s="36">
        <v>0</v>
      </c>
      <c r="FF26" s="19">
        <v>0</v>
      </c>
      <c r="FG26" s="19" t="s">
        <v>56</v>
      </c>
      <c r="FH26" s="36">
        <v>0</v>
      </c>
      <c r="FI26" s="19">
        <v>0</v>
      </c>
      <c r="FJ26" s="19" t="s">
        <v>56</v>
      </c>
      <c r="FK26" s="36">
        <v>0</v>
      </c>
      <c r="FL26" s="19">
        <v>0</v>
      </c>
      <c r="FM26" s="19" t="s">
        <v>56</v>
      </c>
      <c r="FN26" s="36">
        <v>192.5</v>
      </c>
      <c r="FO26" s="19">
        <v>144</v>
      </c>
      <c r="FP26" s="19">
        <f t="shared" si="13"/>
        <v>74.805194805194802</v>
      </c>
      <c r="FQ26" s="36">
        <v>0.7</v>
      </c>
      <c r="FR26" s="19">
        <v>0</v>
      </c>
      <c r="FS26" s="19">
        <f t="shared" si="14"/>
        <v>0</v>
      </c>
      <c r="FT26" s="36">
        <v>95.5</v>
      </c>
      <c r="FU26" s="19">
        <v>39.9</v>
      </c>
      <c r="FV26" s="19">
        <f t="shared" si="41"/>
        <v>41.780104712041883</v>
      </c>
      <c r="FW26" s="36">
        <v>0</v>
      </c>
      <c r="FX26" s="19">
        <v>0</v>
      </c>
      <c r="FY26" s="19" t="s">
        <v>56</v>
      </c>
      <c r="FZ26" s="36">
        <v>533.29999999999995</v>
      </c>
      <c r="GA26" s="19">
        <v>370.1</v>
      </c>
      <c r="GB26" s="19">
        <f t="shared" si="15"/>
        <v>69.398087380461291</v>
      </c>
      <c r="GC26" s="36">
        <v>198.4</v>
      </c>
      <c r="GD26" s="19">
        <v>129</v>
      </c>
      <c r="GE26" s="19">
        <f t="shared" si="16"/>
        <v>65.020161290322577</v>
      </c>
      <c r="GF26" s="36">
        <v>0</v>
      </c>
      <c r="GG26" s="19">
        <v>0</v>
      </c>
      <c r="GH26" s="19" t="s">
        <v>56</v>
      </c>
      <c r="GI26" s="37">
        <v>0</v>
      </c>
      <c r="GJ26" s="19">
        <v>0</v>
      </c>
      <c r="GK26" s="19" t="s">
        <v>56</v>
      </c>
      <c r="GL26" s="37">
        <v>1559.8</v>
      </c>
      <c r="GM26" s="19">
        <v>1136</v>
      </c>
      <c r="GN26" s="19">
        <f t="shared" si="17"/>
        <v>72.829849980766767</v>
      </c>
      <c r="GO26" s="36">
        <v>0</v>
      </c>
      <c r="GP26" s="36">
        <v>0</v>
      </c>
      <c r="GQ26" s="19" t="s">
        <v>56</v>
      </c>
      <c r="GR26" s="36">
        <v>0</v>
      </c>
      <c r="GS26" s="19">
        <v>0</v>
      </c>
      <c r="GT26" s="19" t="s">
        <v>56</v>
      </c>
      <c r="GU26" s="36">
        <v>1318.2</v>
      </c>
      <c r="GV26" s="19">
        <v>391.3</v>
      </c>
      <c r="GW26" s="19">
        <f t="shared" si="51"/>
        <v>29.684418145956606</v>
      </c>
      <c r="GX26" s="36">
        <v>0</v>
      </c>
      <c r="GY26" s="19">
        <v>0</v>
      </c>
      <c r="GZ26" s="19" t="s">
        <v>56</v>
      </c>
      <c r="HA26" s="36">
        <v>163.30000000000001</v>
      </c>
      <c r="HB26" s="19">
        <v>0</v>
      </c>
      <c r="HC26" s="19">
        <v>0</v>
      </c>
      <c r="HD26" s="19">
        <v>6059.8</v>
      </c>
      <c r="HE26" s="19">
        <v>4837.5</v>
      </c>
      <c r="HF26" s="38">
        <f t="shared" si="26"/>
        <v>79.829367305851676</v>
      </c>
      <c r="HG26" s="36">
        <v>1409</v>
      </c>
      <c r="HH26" s="19">
        <v>1056.5999999999999</v>
      </c>
      <c r="HI26" s="19">
        <f t="shared" si="27"/>
        <v>74.989354151880761</v>
      </c>
      <c r="HJ26" s="17">
        <f t="shared" si="28"/>
        <v>25382.5</v>
      </c>
      <c r="HK26" s="17">
        <f t="shared" si="29"/>
        <v>6259.3</v>
      </c>
      <c r="HL26" s="16">
        <f t="shared" si="30"/>
        <v>24.659903476804885</v>
      </c>
      <c r="HM26" s="34">
        <v>4921.6000000000004</v>
      </c>
      <c r="HN26" s="34">
        <v>206.7</v>
      </c>
      <c r="HO26" s="35">
        <f t="shared" si="42"/>
        <v>4.1998537061118331</v>
      </c>
      <c r="HP26" s="35">
        <v>0</v>
      </c>
      <c r="HQ26" s="35">
        <v>0</v>
      </c>
      <c r="HR26" s="35" t="s">
        <v>56</v>
      </c>
      <c r="HS26" s="35">
        <v>6300</v>
      </c>
      <c r="HT26" s="35">
        <v>0</v>
      </c>
      <c r="HU26" s="35">
        <f t="shared" si="43"/>
        <v>0</v>
      </c>
      <c r="HV26" s="35">
        <v>3612.4</v>
      </c>
      <c r="HW26" s="35">
        <v>0</v>
      </c>
      <c r="HX26" s="35">
        <f t="shared" si="44"/>
        <v>0</v>
      </c>
      <c r="HY26" s="34">
        <v>0</v>
      </c>
      <c r="HZ26" s="34">
        <v>0</v>
      </c>
      <c r="IA26" s="34" t="s">
        <v>56</v>
      </c>
      <c r="IB26" s="34">
        <v>109</v>
      </c>
      <c r="IC26" s="34">
        <v>109</v>
      </c>
      <c r="ID26" s="35">
        <f t="shared" si="31"/>
        <v>100</v>
      </c>
      <c r="IE26" s="34">
        <v>0</v>
      </c>
      <c r="IF26" s="34">
        <v>0</v>
      </c>
      <c r="IG26" s="35" t="s">
        <v>56</v>
      </c>
      <c r="IH26" s="18">
        <v>3137.2</v>
      </c>
      <c r="II26" s="19">
        <v>3137.2</v>
      </c>
      <c r="IJ26" s="19">
        <f t="shared" si="32"/>
        <v>100</v>
      </c>
      <c r="IK26" s="18">
        <v>0</v>
      </c>
      <c r="IL26" s="18">
        <v>0</v>
      </c>
      <c r="IM26" s="18" t="s">
        <v>56</v>
      </c>
      <c r="IN26" s="19">
        <v>4232.8999999999996</v>
      </c>
      <c r="IO26" s="19">
        <v>0</v>
      </c>
      <c r="IP26" s="19">
        <v>0</v>
      </c>
      <c r="IQ26" s="19">
        <v>0</v>
      </c>
      <c r="IR26" s="19"/>
      <c r="IS26" s="21" t="s">
        <v>56</v>
      </c>
      <c r="IT26" s="19">
        <v>2863.9</v>
      </c>
      <c r="IU26" s="19">
        <v>2603.5</v>
      </c>
      <c r="IV26" s="21">
        <f>(IU26/IT26)*100</f>
        <v>90.907503753622677</v>
      </c>
      <c r="IW26" s="19">
        <v>0</v>
      </c>
      <c r="IX26" s="19">
        <v>0</v>
      </c>
      <c r="IY26" s="19" t="s">
        <v>56</v>
      </c>
      <c r="IZ26" s="19">
        <v>0</v>
      </c>
      <c r="JA26" s="19">
        <v>0</v>
      </c>
      <c r="JB26" s="21" t="s">
        <v>56</v>
      </c>
      <c r="JC26" s="19">
        <v>0</v>
      </c>
      <c r="JD26" s="19">
        <v>0</v>
      </c>
      <c r="JE26" s="19" t="s">
        <v>56</v>
      </c>
      <c r="JF26" s="19">
        <v>28.9</v>
      </c>
      <c r="JG26" s="19">
        <v>26.3</v>
      </c>
      <c r="JH26" s="25">
        <f>(JG26/JF26)*100</f>
        <v>91.003460207612463</v>
      </c>
      <c r="JI26" s="23">
        <v>0</v>
      </c>
      <c r="JJ26" s="19">
        <v>0</v>
      </c>
      <c r="JK26" s="25" t="s">
        <v>56</v>
      </c>
      <c r="JL26" s="19">
        <v>0</v>
      </c>
      <c r="JM26" s="19">
        <v>0</v>
      </c>
      <c r="JN26" s="21" t="s">
        <v>56</v>
      </c>
      <c r="JO26" s="19">
        <v>0</v>
      </c>
      <c r="JP26" s="19">
        <v>0</v>
      </c>
      <c r="JQ26" s="19" t="s">
        <v>56</v>
      </c>
      <c r="JR26" s="19">
        <v>0</v>
      </c>
      <c r="JS26" s="19">
        <v>0</v>
      </c>
      <c r="JT26" s="19" t="s">
        <v>56</v>
      </c>
      <c r="JU26" s="19">
        <v>0</v>
      </c>
      <c r="JV26" s="19">
        <v>0</v>
      </c>
      <c r="JW26" s="21" t="s">
        <v>56</v>
      </c>
      <c r="JX26" s="21">
        <v>0</v>
      </c>
      <c r="JY26" s="21">
        <v>0</v>
      </c>
      <c r="JZ26" s="21" t="s">
        <v>56</v>
      </c>
      <c r="KA26" s="21">
        <v>176.6</v>
      </c>
      <c r="KB26" s="21">
        <v>176.6</v>
      </c>
      <c r="KC26" s="21">
        <f t="shared" ref="KC26:KC44" si="55">(KB26/KA26)*100</f>
        <v>100</v>
      </c>
      <c r="KD26" s="14">
        <f t="shared" si="45"/>
        <v>461968.47042000003</v>
      </c>
      <c r="KE26" s="14">
        <f t="shared" si="46"/>
        <v>320534.8</v>
      </c>
      <c r="KF26" s="14">
        <f t="shared" si="47"/>
        <v>69.384562047835175</v>
      </c>
      <c r="KG26" s="7"/>
      <c r="KH26" s="9"/>
      <c r="KJ26" s="9"/>
    </row>
    <row r="27" spans="1:296" ht="16.5" customHeight="1" x14ac:dyDescent="0.2">
      <c r="A27" s="27" t="s">
        <v>30</v>
      </c>
      <c r="B27" s="13">
        <f t="shared" si="20"/>
        <v>98687</v>
      </c>
      <c r="C27" s="13">
        <f t="shared" si="33"/>
        <v>98687</v>
      </c>
      <c r="D27" s="14">
        <f t="shared" si="34"/>
        <v>100</v>
      </c>
      <c r="E27" s="18">
        <v>98687</v>
      </c>
      <c r="F27" s="19">
        <v>98687</v>
      </c>
      <c r="G27" s="19">
        <f t="shared" si="0"/>
        <v>100</v>
      </c>
      <c r="H27" s="18">
        <v>0</v>
      </c>
      <c r="I27" s="19">
        <v>0</v>
      </c>
      <c r="J27" s="19" t="s">
        <v>56</v>
      </c>
      <c r="K27" s="19">
        <v>0</v>
      </c>
      <c r="L27" s="19">
        <v>0</v>
      </c>
      <c r="M27" s="19" t="s">
        <v>56</v>
      </c>
      <c r="N27" s="13">
        <f t="shared" si="35"/>
        <v>119907.33520999999</v>
      </c>
      <c r="O27" s="13">
        <f t="shared" si="36"/>
        <v>59011.8</v>
      </c>
      <c r="P27" s="14">
        <f t="shared" si="21"/>
        <v>49.214503763801901</v>
      </c>
      <c r="Q27" s="19">
        <v>16253.8</v>
      </c>
      <c r="R27" s="19">
        <v>0</v>
      </c>
      <c r="S27" s="19">
        <f t="shared" si="37"/>
        <v>0</v>
      </c>
      <c r="T27" s="18">
        <v>0</v>
      </c>
      <c r="U27" s="19">
        <v>0</v>
      </c>
      <c r="V27" s="19" t="s">
        <v>56</v>
      </c>
      <c r="W27" s="18">
        <f>4709.3</f>
        <v>4709.3</v>
      </c>
      <c r="X27" s="19">
        <v>4709.3</v>
      </c>
      <c r="Y27" s="19">
        <f t="shared" si="1"/>
        <v>100</v>
      </c>
      <c r="Z27" s="18">
        <v>0</v>
      </c>
      <c r="AA27" s="19">
        <v>0</v>
      </c>
      <c r="AB27" s="19" t="s">
        <v>56</v>
      </c>
      <c r="AC27" s="18">
        <v>0</v>
      </c>
      <c r="AD27" s="19">
        <v>0</v>
      </c>
      <c r="AE27" s="19" t="s">
        <v>56</v>
      </c>
      <c r="AF27" s="18">
        <v>0</v>
      </c>
      <c r="AG27" s="19">
        <v>0</v>
      </c>
      <c r="AH27" s="19" t="s">
        <v>56</v>
      </c>
      <c r="AI27" s="18">
        <v>0</v>
      </c>
      <c r="AJ27" s="18">
        <v>0</v>
      </c>
      <c r="AK27" s="19" t="s">
        <v>56</v>
      </c>
      <c r="AL27" s="19">
        <v>3060.3</v>
      </c>
      <c r="AM27" s="19">
        <v>2142.8000000000002</v>
      </c>
      <c r="AN27" s="19">
        <f t="shared" si="2"/>
        <v>70.019279155638344</v>
      </c>
      <c r="AO27" s="19">
        <f>16177.8</f>
        <v>16177.8</v>
      </c>
      <c r="AP27" s="19">
        <v>2268.1</v>
      </c>
      <c r="AQ27" s="19">
        <f>(AP27/AO27)*100</f>
        <v>14.01982964309115</v>
      </c>
      <c r="AR27" s="19">
        <v>0</v>
      </c>
      <c r="AS27" s="19">
        <v>0</v>
      </c>
      <c r="AT27" s="19" t="s">
        <v>56</v>
      </c>
      <c r="AU27" s="18">
        <v>445.4</v>
      </c>
      <c r="AV27" s="19">
        <f>445.4</f>
        <v>445.4</v>
      </c>
      <c r="AW27" s="19">
        <f t="shared" si="48"/>
        <v>100</v>
      </c>
      <c r="AX27" s="19">
        <v>5522.8</v>
      </c>
      <c r="AY27" s="19">
        <v>1366.9</v>
      </c>
      <c r="AZ27" s="19">
        <f t="shared" si="38"/>
        <v>24.750126747302094</v>
      </c>
      <c r="BA27" s="18">
        <v>0</v>
      </c>
      <c r="BB27" s="19">
        <v>0</v>
      </c>
      <c r="BC27" s="19" t="s">
        <v>56</v>
      </c>
      <c r="BD27" s="18">
        <v>0</v>
      </c>
      <c r="BE27" s="19">
        <v>0</v>
      </c>
      <c r="BF27" s="19" t="s">
        <v>56</v>
      </c>
      <c r="BG27" s="18">
        <f>44735.21/1000</f>
        <v>44.735210000000002</v>
      </c>
      <c r="BH27" s="19">
        <f>44.7</f>
        <v>44.7</v>
      </c>
      <c r="BI27" s="19">
        <f t="shared" si="3"/>
        <v>99.921292422680025</v>
      </c>
      <c r="BJ27" s="18">
        <f>100000/1000</f>
        <v>100</v>
      </c>
      <c r="BK27" s="19">
        <v>100</v>
      </c>
      <c r="BL27" s="19">
        <f>(BK27/BJ27)*100</f>
        <v>100</v>
      </c>
      <c r="BM27" s="18">
        <v>0</v>
      </c>
      <c r="BN27" s="19">
        <v>0</v>
      </c>
      <c r="BO27" s="19" t="s">
        <v>56</v>
      </c>
      <c r="BP27" s="18">
        <v>0</v>
      </c>
      <c r="BQ27" s="19">
        <v>0</v>
      </c>
      <c r="BR27" s="19" t="s">
        <v>56</v>
      </c>
      <c r="BS27" s="18">
        <v>0</v>
      </c>
      <c r="BT27" s="19">
        <v>0</v>
      </c>
      <c r="BU27" s="19" t="s">
        <v>56</v>
      </c>
      <c r="BV27" s="18">
        <v>0</v>
      </c>
      <c r="BW27" s="19">
        <v>0</v>
      </c>
      <c r="BX27" s="19" t="s">
        <v>56</v>
      </c>
      <c r="BY27" s="19">
        <v>2407.8000000000002</v>
      </c>
      <c r="BZ27" s="19">
        <v>2266.6999999999998</v>
      </c>
      <c r="CA27" s="19">
        <f t="shared" si="50"/>
        <v>94.139878727469039</v>
      </c>
      <c r="CB27" s="18">
        <f>944.1</f>
        <v>944.1</v>
      </c>
      <c r="CC27" s="18">
        <f>944.1</f>
        <v>944.1</v>
      </c>
      <c r="CD27" s="34">
        <v>100</v>
      </c>
      <c r="CE27" s="18">
        <v>5370</v>
      </c>
      <c r="CF27" s="18">
        <v>5362.9</v>
      </c>
      <c r="CG27" s="34">
        <f t="shared" si="22"/>
        <v>99.867783985102406</v>
      </c>
      <c r="CH27" s="34">
        <v>0</v>
      </c>
      <c r="CI27" s="34">
        <v>0</v>
      </c>
      <c r="CJ27" s="34" t="s">
        <v>56</v>
      </c>
      <c r="CK27" s="18">
        <v>2500</v>
      </c>
      <c r="CL27" s="18">
        <v>0</v>
      </c>
      <c r="CM27" s="34">
        <v>0</v>
      </c>
      <c r="CN27" s="18">
        <v>4956.7</v>
      </c>
      <c r="CO27" s="34">
        <v>4956.7</v>
      </c>
      <c r="CP27" s="34">
        <f t="shared" si="4"/>
        <v>100</v>
      </c>
      <c r="CQ27" s="34">
        <v>185.3</v>
      </c>
      <c r="CR27" s="34">
        <v>0</v>
      </c>
      <c r="CS27" s="34">
        <v>0</v>
      </c>
      <c r="CT27" s="34">
        <v>72.7</v>
      </c>
      <c r="CU27" s="34">
        <v>0</v>
      </c>
      <c r="CV27" s="34">
        <v>0</v>
      </c>
      <c r="CW27" s="34">
        <v>11866.8</v>
      </c>
      <c r="CX27" s="34">
        <v>2539.3000000000002</v>
      </c>
      <c r="CY27" s="34">
        <f t="shared" si="23"/>
        <v>21.398355074662085</v>
      </c>
      <c r="CZ27" s="34">
        <v>0</v>
      </c>
      <c r="DA27" s="34">
        <v>0</v>
      </c>
      <c r="DB27" s="34" t="s">
        <v>56</v>
      </c>
      <c r="DC27" s="34">
        <v>0</v>
      </c>
      <c r="DD27" s="34">
        <v>0</v>
      </c>
      <c r="DE27" s="35" t="s">
        <v>56</v>
      </c>
      <c r="DF27" s="34">
        <v>0</v>
      </c>
      <c r="DG27" s="34">
        <v>0</v>
      </c>
      <c r="DH27" s="34" t="s">
        <v>56</v>
      </c>
      <c r="DI27" s="34">
        <v>0</v>
      </c>
      <c r="DJ27" s="34">
        <v>0</v>
      </c>
      <c r="DK27" s="34" t="s">
        <v>56</v>
      </c>
      <c r="DL27" s="34">
        <v>41299.4</v>
      </c>
      <c r="DM27" s="34">
        <v>31864.9</v>
      </c>
      <c r="DN27" s="34">
        <f t="shared" si="24"/>
        <v>77.15584245775969</v>
      </c>
      <c r="DO27" s="34">
        <v>0</v>
      </c>
      <c r="DP27" s="34">
        <v>0</v>
      </c>
      <c r="DQ27" s="34" t="s">
        <v>56</v>
      </c>
      <c r="DR27" s="34">
        <v>0</v>
      </c>
      <c r="DS27" s="34">
        <v>0</v>
      </c>
      <c r="DT27" s="34" t="s">
        <v>56</v>
      </c>
      <c r="DU27" s="34">
        <v>3990.4</v>
      </c>
      <c r="DV27" s="34">
        <v>0</v>
      </c>
      <c r="DW27" s="34">
        <f>(DV27/DU27)*100</f>
        <v>0</v>
      </c>
      <c r="DX27" s="34">
        <v>0</v>
      </c>
      <c r="DY27" s="34">
        <v>0</v>
      </c>
      <c r="DZ27" s="34" t="s">
        <v>56</v>
      </c>
      <c r="EA27" s="18">
        <v>0</v>
      </c>
      <c r="EB27" s="19">
        <v>0</v>
      </c>
      <c r="EC27" s="34" t="s">
        <v>56</v>
      </c>
      <c r="ED27" s="18">
        <v>0</v>
      </c>
      <c r="EE27" s="19">
        <v>0</v>
      </c>
      <c r="EF27" s="34" t="s">
        <v>56</v>
      </c>
      <c r="EG27" s="13">
        <f t="shared" si="5"/>
        <v>269041.60000000003</v>
      </c>
      <c r="EH27" s="13">
        <f t="shared" si="6"/>
        <v>202226.30000000005</v>
      </c>
      <c r="EI27" s="14">
        <f t="shared" si="40"/>
        <v>75.165439099380933</v>
      </c>
      <c r="EJ27" s="36">
        <v>1963.3</v>
      </c>
      <c r="EK27" s="36">
        <v>1495</v>
      </c>
      <c r="EL27" s="19">
        <f t="shared" si="7"/>
        <v>76.147303010237863</v>
      </c>
      <c r="EM27" s="36">
        <v>114.2</v>
      </c>
      <c r="EN27" s="19">
        <v>0</v>
      </c>
      <c r="EO27" s="19">
        <f>EN27/EM27%</f>
        <v>0</v>
      </c>
      <c r="EP27" s="36">
        <v>0</v>
      </c>
      <c r="EQ27" s="19">
        <v>0</v>
      </c>
      <c r="ER27" s="19" t="s">
        <v>56</v>
      </c>
      <c r="ES27" s="36">
        <v>75351.3</v>
      </c>
      <c r="ET27" s="19">
        <v>54811.3</v>
      </c>
      <c r="EU27" s="19">
        <v>72.741014421781713</v>
      </c>
      <c r="EV27" s="34">
        <v>162174.39999999999</v>
      </c>
      <c r="EW27" s="34">
        <v>128818.8</v>
      </c>
      <c r="EX27" s="35">
        <v>79.432265511696059</v>
      </c>
      <c r="EY27" s="36">
        <v>7581.2</v>
      </c>
      <c r="EZ27" s="34">
        <v>4071.2</v>
      </c>
      <c r="FA27" s="34">
        <f t="shared" si="25"/>
        <v>53.701261014087478</v>
      </c>
      <c r="FB27" s="36">
        <v>1499.4</v>
      </c>
      <c r="FC27" s="19">
        <v>0</v>
      </c>
      <c r="FD27" s="19">
        <f t="shared" si="11"/>
        <v>0</v>
      </c>
      <c r="FE27" s="36">
        <v>209.5</v>
      </c>
      <c r="FF27" s="19">
        <v>0</v>
      </c>
      <c r="FG27" s="19">
        <f>FF27/FE27%</f>
        <v>0</v>
      </c>
      <c r="FH27" s="36">
        <v>0</v>
      </c>
      <c r="FI27" s="19">
        <v>0</v>
      </c>
      <c r="FJ27" s="19" t="s">
        <v>56</v>
      </c>
      <c r="FK27" s="36">
        <v>0</v>
      </c>
      <c r="FL27" s="19">
        <v>0</v>
      </c>
      <c r="FM27" s="19" t="s">
        <v>56</v>
      </c>
      <c r="FN27" s="36">
        <v>227.5</v>
      </c>
      <c r="FO27" s="19">
        <v>171</v>
      </c>
      <c r="FP27" s="19">
        <f t="shared" si="13"/>
        <v>75.164835164835168</v>
      </c>
      <c r="FQ27" s="36">
        <v>1.6</v>
      </c>
      <c r="FR27" s="19">
        <v>1.6</v>
      </c>
      <c r="FS27" s="19">
        <f t="shared" si="14"/>
        <v>100</v>
      </c>
      <c r="FT27" s="36">
        <v>95.5</v>
      </c>
      <c r="FU27" s="19">
        <v>53.4</v>
      </c>
      <c r="FV27" s="19">
        <f t="shared" si="41"/>
        <v>55.916230366492151</v>
      </c>
      <c r="FW27" s="36">
        <v>0</v>
      </c>
      <c r="FX27" s="19">
        <v>0</v>
      </c>
      <c r="FY27" s="19" t="s">
        <v>56</v>
      </c>
      <c r="FZ27" s="36">
        <v>593.79999999999995</v>
      </c>
      <c r="GA27" s="19">
        <v>364.6</v>
      </c>
      <c r="GB27" s="19">
        <f t="shared" si="15"/>
        <v>61.401145166722806</v>
      </c>
      <c r="GC27" s="36">
        <v>209.9</v>
      </c>
      <c r="GD27" s="19">
        <v>142</v>
      </c>
      <c r="GE27" s="19">
        <f t="shared" si="16"/>
        <v>67.651262505955216</v>
      </c>
      <c r="GF27" s="36">
        <v>0</v>
      </c>
      <c r="GG27" s="19">
        <v>0</v>
      </c>
      <c r="GH27" s="19" t="s">
        <v>56</v>
      </c>
      <c r="GI27" s="37">
        <v>0.9</v>
      </c>
      <c r="GJ27" s="19">
        <v>0</v>
      </c>
      <c r="GK27" s="19">
        <v>0</v>
      </c>
      <c r="GL27" s="37">
        <v>2183.6999999999998</v>
      </c>
      <c r="GM27" s="19">
        <v>1483.2</v>
      </c>
      <c r="GN27" s="19">
        <f t="shared" si="17"/>
        <v>67.921417777167193</v>
      </c>
      <c r="GO27" s="36">
        <v>0</v>
      </c>
      <c r="GP27" s="36">
        <v>0</v>
      </c>
      <c r="GQ27" s="19" t="s">
        <v>56</v>
      </c>
      <c r="GR27" s="36">
        <v>40.200000000000003</v>
      </c>
      <c r="GS27" s="19">
        <v>30.2</v>
      </c>
      <c r="GT27" s="19">
        <f t="shared" ref="GT27:GT38" si="56">GS27/GR27%</f>
        <v>75.124378109452735</v>
      </c>
      <c r="GU27" s="36">
        <v>925.5</v>
      </c>
      <c r="GV27" s="19">
        <v>316.39999999999998</v>
      </c>
      <c r="GW27" s="19">
        <f>GV27/GU27%</f>
        <v>34.186925985953536</v>
      </c>
      <c r="GX27" s="36">
        <v>0</v>
      </c>
      <c r="GY27" s="19">
        <v>0</v>
      </c>
      <c r="GZ27" s="19" t="s">
        <v>56</v>
      </c>
      <c r="HA27" s="36">
        <v>275.3</v>
      </c>
      <c r="HB27" s="19">
        <v>0</v>
      </c>
      <c r="HC27" s="19">
        <v>0</v>
      </c>
      <c r="HD27" s="19">
        <v>13066.4</v>
      </c>
      <c r="HE27" s="19">
        <v>8215.2000000000007</v>
      </c>
      <c r="HF27" s="38">
        <f t="shared" si="26"/>
        <v>62.872711687993643</v>
      </c>
      <c r="HG27" s="36">
        <v>2528</v>
      </c>
      <c r="HH27" s="19">
        <v>2252.4</v>
      </c>
      <c r="HI27" s="19">
        <f t="shared" si="27"/>
        <v>89.098101265822791</v>
      </c>
      <c r="HJ27" s="17">
        <f t="shared" si="28"/>
        <v>25890.6</v>
      </c>
      <c r="HK27" s="17">
        <f t="shared" si="29"/>
        <v>15520.999999999998</v>
      </c>
      <c r="HL27" s="16">
        <f t="shared" si="30"/>
        <v>59.948398260372485</v>
      </c>
      <c r="HM27" s="34">
        <v>5937.1</v>
      </c>
      <c r="HN27" s="34">
        <v>1484.3</v>
      </c>
      <c r="HO27" s="35">
        <f t="shared" si="42"/>
        <v>25.000421080999143</v>
      </c>
      <c r="HP27" s="35">
        <v>0</v>
      </c>
      <c r="HQ27" s="35">
        <v>0</v>
      </c>
      <c r="HR27" s="35" t="s">
        <v>56</v>
      </c>
      <c r="HS27" s="35">
        <v>5353</v>
      </c>
      <c r="HT27" s="35">
        <v>5352.9</v>
      </c>
      <c r="HU27" s="35">
        <f t="shared" si="43"/>
        <v>99.998131888660552</v>
      </c>
      <c r="HV27" s="35">
        <v>5351.7</v>
      </c>
      <c r="HW27" s="35">
        <v>439.5</v>
      </c>
      <c r="HX27" s="35">
        <f t="shared" si="44"/>
        <v>8.2123437412411011</v>
      </c>
      <c r="HY27" s="34">
        <v>0</v>
      </c>
      <c r="HZ27" s="34">
        <v>0</v>
      </c>
      <c r="IA27" s="34" t="s">
        <v>56</v>
      </c>
      <c r="IB27" s="34">
        <v>149</v>
      </c>
      <c r="IC27" s="34">
        <v>149</v>
      </c>
      <c r="ID27" s="35">
        <f t="shared" si="31"/>
        <v>100</v>
      </c>
      <c r="IE27" s="34">
        <v>0</v>
      </c>
      <c r="IF27" s="34">
        <v>0</v>
      </c>
      <c r="IG27" s="35" t="s">
        <v>56</v>
      </c>
      <c r="IH27" s="18">
        <v>5581.4</v>
      </c>
      <c r="II27" s="19">
        <v>4576.8999999999996</v>
      </c>
      <c r="IJ27" s="19">
        <f t="shared" si="32"/>
        <v>82.002723331063891</v>
      </c>
      <c r="IK27" s="18">
        <v>0</v>
      </c>
      <c r="IL27" s="18">
        <v>0</v>
      </c>
      <c r="IM27" s="18" t="s">
        <v>56</v>
      </c>
      <c r="IN27" s="19">
        <v>0</v>
      </c>
      <c r="IO27" s="19">
        <v>0</v>
      </c>
      <c r="IP27" s="19" t="s">
        <v>56</v>
      </c>
      <c r="IQ27" s="19">
        <v>0</v>
      </c>
      <c r="IR27" s="19">
        <v>0</v>
      </c>
      <c r="IS27" s="21" t="s">
        <v>56</v>
      </c>
      <c r="IT27" s="19">
        <v>2970</v>
      </c>
      <c r="IU27" s="19">
        <v>2970</v>
      </c>
      <c r="IV27" s="21">
        <f>(IU27/IT27)*100</f>
        <v>100</v>
      </c>
      <c r="IW27" s="19">
        <v>0</v>
      </c>
      <c r="IX27" s="19">
        <v>0</v>
      </c>
      <c r="IY27" s="19" t="s">
        <v>56</v>
      </c>
      <c r="IZ27" s="19">
        <v>0</v>
      </c>
      <c r="JA27" s="19">
        <v>0</v>
      </c>
      <c r="JB27" s="21" t="s">
        <v>56</v>
      </c>
      <c r="JC27" s="19">
        <v>0</v>
      </c>
      <c r="JD27" s="19">
        <v>0</v>
      </c>
      <c r="JE27" s="19" t="s">
        <v>56</v>
      </c>
      <c r="JF27" s="19">
        <v>30</v>
      </c>
      <c r="JG27" s="19">
        <v>30</v>
      </c>
      <c r="JH27" s="25">
        <f>(JG27/JF27)*100</f>
        <v>100</v>
      </c>
      <c r="JI27" s="23">
        <v>0</v>
      </c>
      <c r="JJ27" s="19">
        <v>0</v>
      </c>
      <c r="JK27" s="25" t="s">
        <v>56</v>
      </c>
      <c r="JL27" s="19">
        <v>518.4</v>
      </c>
      <c r="JM27" s="19">
        <v>518.4</v>
      </c>
      <c r="JN27" s="21">
        <v>100</v>
      </c>
      <c r="JO27" s="19">
        <v>0</v>
      </c>
      <c r="JP27" s="19">
        <v>0</v>
      </c>
      <c r="JQ27" s="19" t="s">
        <v>56</v>
      </c>
      <c r="JR27" s="19">
        <v>0</v>
      </c>
      <c r="JS27" s="19">
        <v>0</v>
      </c>
      <c r="JT27" s="19" t="s">
        <v>56</v>
      </c>
      <c r="JU27" s="19">
        <v>0</v>
      </c>
      <c r="JV27" s="19">
        <v>0</v>
      </c>
      <c r="JW27" s="21" t="s">
        <v>56</v>
      </c>
      <c r="JX27" s="21">
        <v>0</v>
      </c>
      <c r="JY27" s="21">
        <v>0</v>
      </c>
      <c r="JZ27" s="21" t="s">
        <v>56</v>
      </c>
      <c r="KA27" s="21">
        <v>0</v>
      </c>
      <c r="KB27" s="21">
        <v>0</v>
      </c>
      <c r="KC27" s="21" t="s">
        <v>56</v>
      </c>
      <c r="KD27" s="14">
        <f t="shared" si="45"/>
        <v>513526.53521</v>
      </c>
      <c r="KE27" s="14">
        <f t="shared" si="46"/>
        <v>375446.10000000003</v>
      </c>
      <c r="KF27" s="14">
        <f t="shared" si="47"/>
        <v>73.111333934567995</v>
      </c>
      <c r="KG27" s="7"/>
      <c r="KH27" s="9"/>
      <c r="KJ27" s="9"/>
    </row>
    <row r="28" spans="1:296" ht="14.25" customHeight="1" x14ac:dyDescent="0.2">
      <c r="A28" s="27" t="s">
        <v>31</v>
      </c>
      <c r="B28" s="13">
        <f t="shared" si="20"/>
        <v>105767</v>
      </c>
      <c r="C28" s="13">
        <f t="shared" si="33"/>
        <v>105767</v>
      </c>
      <c r="D28" s="14">
        <f t="shared" si="34"/>
        <v>100</v>
      </c>
      <c r="E28" s="18">
        <v>105767</v>
      </c>
      <c r="F28" s="19">
        <v>105767</v>
      </c>
      <c r="G28" s="19">
        <f t="shared" si="0"/>
        <v>100</v>
      </c>
      <c r="H28" s="18">
        <v>0</v>
      </c>
      <c r="I28" s="19">
        <v>0</v>
      </c>
      <c r="J28" s="19" t="s">
        <v>56</v>
      </c>
      <c r="K28" s="19">
        <v>0</v>
      </c>
      <c r="L28" s="19">
        <v>0</v>
      </c>
      <c r="M28" s="19" t="s">
        <v>56</v>
      </c>
      <c r="N28" s="13">
        <f t="shared" si="35"/>
        <v>104936.4</v>
      </c>
      <c r="O28" s="13">
        <f t="shared" si="36"/>
        <v>46709.7</v>
      </c>
      <c r="P28" s="14">
        <f t="shared" si="21"/>
        <v>44.512390362162222</v>
      </c>
      <c r="Q28" s="19">
        <v>32507.5</v>
      </c>
      <c r="R28" s="19">
        <v>0</v>
      </c>
      <c r="S28" s="19">
        <f t="shared" si="37"/>
        <v>0</v>
      </c>
      <c r="T28" s="18">
        <v>0</v>
      </c>
      <c r="U28" s="19">
        <v>0</v>
      </c>
      <c r="V28" s="19" t="s">
        <v>56</v>
      </c>
      <c r="W28" s="18">
        <v>11993.6</v>
      </c>
      <c r="X28" s="19">
        <v>11993.6</v>
      </c>
      <c r="Y28" s="19">
        <f t="shared" si="1"/>
        <v>100</v>
      </c>
      <c r="Z28" s="18">
        <v>0</v>
      </c>
      <c r="AA28" s="19">
        <v>0</v>
      </c>
      <c r="AB28" s="19" t="s">
        <v>56</v>
      </c>
      <c r="AC28" s="18">
        <v>0</v>
      </c>
      <c r="AD28" s="19">
        <v>0</v>
      </c>
      <c r="AE28" s="19" t="s">
        <v>56</v>
      </c>
      <c r="AF28" s="18">
        <v>0</v>
      </c>
      <c r="AG28" s="19">
        <v>0</v>
      </c>
      <c r="AH28" s="19" t="s">
        <v>56</v>
      </c>
      <c r="AI28" s="18">
        <v>0</v>
      </c>
      <c r="AJ28" s="18">
        <v>0</v>
      </c>
      <c r="AK28" s="19" t="s">
        <v>56</v>
      </c>
      <c r="AL28" s="19">
        <v>3358.6</v>
      </c>
      <c r="AM28" s="19">
        <v>337.4</v>
      </c>
      <c r="AN28" s="19">
        <f t="shared" si="2"/>
        <v>10.045852438516048</v>
      </c>
      <c r="AO28" s="19">
        <v>0</v>
      </c>
      <c r="AP28" s="19">
        <v>0</v>
      </c>
      <c r="AQ28" s="19" t="s">
        <v>56</v>
      </c>
      <c r="AR28" s="19">
        <v>0</v>
      </c>
      <c r="AS28" s="19">
        <v>0</v>
      </c>
      <c r="AT28" s="19" t="s">
        <v>56</v>
      </c>
      <c r="AU28" s="18">
        <v>0</v>
      </c>
      <c r="AV28" s="19">
        <v>0</v>
      </c>
      <c r="AW28" s="19" t="s">
        <v>56</v>
      </c>
      <c r="AX28" s="19">
        <v>5771</v>
      </c>
      <c r="AY28" s="19">
        <v>1203.0999999999999</v>
      </c>
      <c r="AZ28" s="19">
        <f t="shared" si="38"/>
        <v>20.847340149020965</v>
      </c>
      <c r="BA28" s="18">
        <v>0</v>
      </c>
      <c r="BB28" s="19">
        <v>0</v>
      </c>
      <c r="BC28" s="19" t="s">
        <v>56</v>
      </c>
      <c r="BD28" s="18">
        <v>0</v>
      </c>
      <c r="BE28" s="19">
        <v>0</v>
      </c>
      <c r="BF28" s="19" t="s">
        <v>56</v>
      </c>
      <c r="BG28" s="18">
        <v>0</v>
      </c>
      <c r="BH28" s="19">
        <v>0</v>
      </c>
      <c r="BI28" s="19" t="s">
        <v>56</v>
      </c>
      <c r="BJ28" s="18">
        <f>200000/1000</f>
        <v>200</v>
      </c>
      <c r="BK28" s="19">
        <v>200</v>
      </c>
      <c r="BL28" s="19">
        <f>(BK28/BJ28)*100</f>
        <v>100</v>
      </c>
      <c r="BM28" s="18">
        <v>0</v>
      </c>
      <c r="BN28" s="19">
        <v>0</v>
      </c>
      <c r="BO28" s="19" t="s">
        <v>56</v>
      </c>
      <c r="BP28" s="18">
        <v>0</v>
      </c>
      <c r="BQ28" s="19">
        <v>0</v>
      </c>
      <c r="BR28" s="19" t="s">
        <v>56</v>
      </c>
      <c r="BS28" s="18">
        <v>0</v>
      </c>
      <c r="BT28" s="19">
        <v>0</v>
      </c>
      <c r="BU28" s="19" t="s">
        <v>56</v>
      </c>
      <c r="BV28" s="18">
        <v>0</v>
      </c>
      <c r="BW28" s="19">
        <v>0</v>
      </c>
      <c r="BX28" s="19" t="s">
        <v>56</v>
      </c>
      <c r="BY28" s="19">
        <v>1227.3</v>
      </c>
      <c r="BZ28" s="19">
        <v>950</v>
      </c>
      <c r="CA28" s="19">
        <f t="shared" si="50"/>
        <v>77.40568728102339</v>
      </c>
      <c r="CB28" s="18">
        <v>0</v>
      </c>
      <c r="CC28" s="18">
        <v>0</v>
      </c>
      <c r="CD28" s="34" t="s">
        <v>56</v>
      </c>
      <c r="CE28" s="18">
        <v>1226.2</v>
      </c>
      <c r="CF28" s="18">
        <v>1226.2</v>
      </c>
      <c r="CG28" s="34">
        <f t="shared" si="22"/>
        <v>100</v>
      </c>
      <c r="CH28" s="34">
        <v>0</v>
      </c>
      <c r="CI28" s="34">
        <v>0</v>
      </c>
      <c r="CJ28" s="34" t="s">
        <v>56</v>
      </c>
      <c r="CK28" s="18">
        <v>1400</v>
      </c>
      <c r="CL28" s="18">
        <v>0</v>
      </c>
      <c r="CM28" s="34">
        <v>0</v>
      </c>
      <c r="CN28" s="18">
        <v>0</v>
      </c>
      <c r="CO28" s="34">
        <v>0</v>
      </c>
      <c r="CP28" s="34" t="s">
        <v>56</v>
      </c>
      <c r="CQ28" s="34">
        <v>210</v>
      </c>
      <c r="CR28" s="34">
        <v>0</v>
      </c>
      <c r="CS28" s="34">
        <v>0</v>
      </c>
      <c r="CT28" s="34">
        <v>104.9</v>
      </c>
      <c r="CU28" s="34">
        <v>104.9</v>
      </c>
      <c r="CV28" s="34">
        <v>100</v>
      </c>
      <c r="CW28" s="34">
        <v>4763.8</v>
      </c>
      <c r="CX28" s="34">
        <v>0</v>
      </c>
      <c r="CY28" s="34">
        <f t="shared" si="23"/>
        <v>0</v>
      </c>
      <c r="CZ28" s="34">
        <v>0</v>
      </c>
      <c r="DA28" s="34">
        <v>0</v>
      </c>
      <c r="DB28" s="34" t="s">
        <v>56</v>
      </c>
      <c r="DC28" s="34">
        <v>0</v>
      </c>
      <c r="DD28" s="34">
        <v>0</v>
      </c>
      <c r="DE28" s="35" t="s">
        <v>56</v>
      </c>
      <c r="DF28" s="34">
        <v>0</v>
      </c>
      <c r="DG28" s="34">
        <v>0</v>
      </c>
      <c r="DH28" s="34" t="s">
        <v>56</v>
      </c>
      <c r="DI28" s="34">
        <v>0</v>
      </c>
      <c r="DJ28" s="34">
        <v>0</v>
      </c>
      <c r="DK28" s="34" t="s">
        <v>56</v>
      </c>
      <c r="DL28" s="34">
        <v>42173.5</v>
      </c>
      <c r="DM28" s="34">
        <v>30694.5</v>
      </c>
      <c r="DN28" s="34">
        <f t="shared" si="24"/>
        <v>72.781486004244371</v>
      </c>
      <c r="DO28" s="34">
        <v>0</v>
      </c>
      <c r="DP28" s="34">
        <v>0</v>
      </c>
      <c r="DQ28" s="34" t="s">
        <v>56</v>
      </c>
      <c r="DR28" s="34">
        <v>0</v>
      </c>
      <c r="DS28" s="34">
        <v>0</v>
      </c>
      <c r="DT28" s="34" t="s">
        <v>56</v>
      </c>
      <c r="DU28" s="34">
        <v>0</v>
      </c>
      <c r="DV28" s="34">
        <v>0</v>
      </c>
      <c r="DW28" s="34" t="s">
        <v>56</v>
      </c>
      <c r="DX28" s="34">
        <v>0</v>
      </c>
      <c r="DY28" s="34">
        <v>0</v>
      </c>
      <c r="DZ28" s="34" t="s">
        <v>56</v>
      </c>
      <c r="EA28" s="18">
        <v>0</v>
      </c>
      <c r="EB28" s="19">
        <v>0</v>
      </c>
      <c r="EC28" s="34" t="s">
        <v>56</v>
      </c>
      <c r="ED28" s="18">
        <v>0</v>
      </c>
      <c r="EE28" s="19">
        <v>0</v>
      </c>
      <c r="EF28" s="34" t="s">
        <v>56</v>
      </c>
      <c r="EG28" s="13">
        <f t="shared" si="5"/>
        <v>361131.3</v>
      </c>
      <c r="EH28" s="13">
        <f t="shared" si="6"/>
        <v>217600.3</v>
      </c>
      <c r="EI28" s="14">
        <f t="shared" si="40"/>
        <v>60.255175887551147</v>
      </c>
      <c r="EJ28" s="36">
        <v>1963.3</v>
      </c>
      <c r="EK28" s="36">
        <v>1456.6</v>
      </c>
      <c r="EL28" s="19">
        <f t="shared" si="7"/>
        <v>74.19141241786788</v>
      </c>
      <c r="EM28" s="36">
        <v>114.2</v>
      </c>
      <c r="EN28" s="19">
        <v>114</v>
      </c>
      <c r="EO28" s="19">
        <f>EN28/EM28%</f>
        <v>99.8248686514886</v>
      </c>
      <c r="EP28" s="36">
        <v>0</v>
      </c>
      <c r="EQ28" s="19">
        <v>0</v>
      </c>
      <c r="ER28" s="19" t="s">
        <v>56</v>
      </c>
      <c r="ES28" s="36">
        <v>133587</v>
      </c>
      <c r="ET28" s="19">
        <v>42293.8</v>
      </c>
      <c r="EU28" s="19">
        <v>31.660116628115016</v>
      </c>
      <c r="EV28" s="34">
        <v>197309.6</v>
      </c>
      <c r="EW28" s="34">
        <v>155401.9</v>
      </c>
      <c r="EX28" s="35">
        <v>78.760435376687184</v>
      </c>
      <c r="EY28" s="36">
        <v>7234</v>
      </c>
      <c r="EZ28" s="34">
        <v>4080.2</v>
      </c>
      <c r="FA28" s="34">
        <f t="shared" si="25"/>
        <v>56.403096488802873</v>
      </c>
      <c r="FB28" s="36">
        <v>2608.3000000000002</v>
      </c>
      <c r="FC28" s="19">
        <v>1470.6</v>
      </c>
      <c r="FD28" s="19">
        <f t="shared" si="11"/>
        <v>56.381551201932282</v>
      </c>
      <c r="FE28" s="36">
        <v>250.5</v>
      </c>
      <c r="FF28" s="19">
        <v>250.5</v>
      </c>
      <c r="FG28" s="19">
        <f>FF28/FE28%</f>
        <v>100</v>
      </c>
      <c r="FH28" s="36">
        <v>0</v>
      </c>
      <c r="FI28" s="19">
        <v>0</v>
      </c>
      <c r="FJ28" s="19" t="s">
        <v>56</v>
      </c>
      <c r="FK28" s="36">
        <v>0</v>
      </c>
      <c r="FL28" s="19">
        <v>0</v>
      </c>
      <c r="FM28" s="19" t="s">
        <v>56</v>
      </c>
      <c r="FN28" s="36">
        <v>227.5</v>
      </c>
      <c r="FO28" s="19">
        <v>171</v>
      </c>
      <c r="FP28" s="19">
        <f t="shared" si="13"/>
        <v>75.164835164835168</v>
      </c>
      <c r="FQ28" s="36">
        <v>4.4000000000000004</v>
      </c>
      <c r="FR28" s="19">
        <v>4.4000000000000004</v>
      </c>
      <c r="FS28" s="19">
        <f t="shared" si="14"/>
        <v>100</v>
      </c>
      <c r="FT28" s="36">
        <v>95.5</v>
      </c>
      <c r="FU28" s="19">
        <v>39.9</v>
      </c>
      <c r="FV28" s="19">
        <f t="shared" si="41"/>
        <v>41.780104712041883</v>
      </c>
      <c r="FW28" s="36">
        <v>0</v>
      </c>
      <c r="FX28" s="19">
        <v>0</v>
      </c>
      <c r="FY28" s="19" t="s">
        <v>56</v>
      </c>
      <c r="FZ28" s="36">
        <v>591</v>
      </c>
      <c r="GA28" s="19">
        <v>463.8</v>
      </c>
      <c r="GB28" s="19">
        <f t="shared" si="15"/>
        <v>78.477157360406096</v>
      </c>
      <c r="GC28" s="36">
        <v>419.8</v>
      </c>
      <c r="GD28" s="19">
        <v>360.1</v>
      </c>
      <c r="GE28" s="19">
        <f t="shared" si="16"/>
        <v>85.778942353501662</v>
      </c>
      <c r="GF28" s="36">
        <v>0</v>
      </c>
      <c r="GG28" s="19">
        <v>0</v>
      </c>
      <c r="GH28" s="19" t="s">
        <v>56</v>
      </c>
      <c r="GI28" s="37">
        <v>0</v>
      </c>
      <c r="GJ28" s="19">
        <v>0</v>
      </c>
      <c r="GK28" s="19" t="s">
        <v>56</v>
      </c>
      <c r="GL28" s="37">
        <v>1718.7</v>
      </c>
      <c r="GM28" s="19">
        <v>1252.9000000000001</v>
      </c>
      <c r="GN28" s="19">
        <f t="shared" si="17"/>
        <v>72.89812067260138</v>
      </c>
      <c r="GO28" s="36">
        <v>0</v>
      </c>
      <c r="GP28" s="36">
        <v>0</v>
      </c>
      <c r="GQ28" s="19" t="s">
        <v>56</v>
      </c>
      <c r="GR28" s="36">
        <v>0</v>
      </c>
      <c r="GS28" s="19">
        <v>0</v>
      </c>
      <c r="GT28" s="19" t="s">
        <v>56</v>
      </c>
      <c r="GU28" s="36">
        <v>663.8</v>
      </c>
      <c r="GV28" s="19">
        <v>370.1</v>
      </c>
      <c r="GW28" s="19">
        <f>GV28/GU28%</f>
        <v>55.754745405242545</v>
      </c>
      <c r="GX28" s="36">
        <v>0</v>
      </c>
      <c r="GY28" s="19">
        <v>0</v>
      </c>
      <c r="GZ28" s="19" t="s">
        <v>56</v>
      </c>
      <c r="HA28" s="36">
        <v>281.89999999999998</v>
      </c>
      <c r="HB28" s="19">
        <v>0</v>
      </c>
      <c r="HC28" s="19">
        <v>0</v>
      </c>
      <c r="HD28" s="19">
        <v>11165.8</v>
      </c>
      <c r="HE28" s="19">
        <v>7698.8</v>
      </c>
      <c r="HF28" s="38">
        <f t="shared" si="26"/>
        <v>68.949828941947743</v>
      </c>
      <c r="HG28" s="36">
        <v>2896</v>
      </c>
      <c r="HH28" s="19">
        <v>2171.6999999999998</v>
      </c>
      <c r="HI28" s="19">
        <f t="shared" si="27"/>
        <v>74.989640883977899</v>
      </c>
      <c r="HJ28" s="17">
        <f t="shared" si="28"/>
        <v>33855.9</v>
      </c>
      <c r="HK28" s="17">
        <f t="shared" si="29"/>
        <v>1328.5</v>
      </c>
      <c r="HL28" s="16">
        <f t="shared" si="30"/>
        <v>3.9239837074187953</v>
      </c>
      <c r="HM28" s="34">
        <v>7460.5</v>
      </c>
      <c r="HN28" s="34">
        <v>0</v>
      </c>
      <c r="HO28" s="35">
        <f t="shared" si="42"/>
        <v>0</v>
      </c>
      <c r="HP28" s="35">
        <v>0</v>
      </c>
      <c r="HQ28" s="35">
        <v>0</v>
      </c>
      <c r="HR28" s="35" t="s">
        <v>56</v>
      </c>
      <c r="HS28" s="35">
        <v>12874.9</v>
      </c>
      <c r="HT28" s="35">
        <v>146.19999999999999</v>
      </c>
      <c r="HU28" s="35">
        <f t="shared" si="43"/>
        <v>1.1355428003324297</v>
      </c>
      <c r="HV28" s="35">
        <v>5841.8</v>
      </c>
      <c r="HW28" s="35">
        <v>0</v>
      </c>
      <c r="HX28" s="35">
        <f t="shared" si="44"/>
        <v>0</v>
      </c>
      <c r="HY28" s="34">
        <v>0</v>
      </c>
      <c r="HZ28" s="34">
        <v>0</v>
      </c>
      <c r="IA28" s="34" t="s">
        <v>56</v>
      </c>
      <c r="IB28" s="34">
        <v>149</v>
      </c>
      <c r="IC28" s="34">
        <v>149</v>
      </c>
      <c r="ID28" s="35">
        <f t="shared" si="31"/>
        <v>100</v>
      </c>
      <c r="IE28" s="34">
        <v>0</v>
      </c>
      <c r="IF28" s="34">
        <v>0</v>
      </c>
      <c r="IG28" s="35" t="s">
        <v>56</v>
      </c>
      <c r="IH28" s="18">
        <v>6406.2</v>
      </c>
      <c r="II28" s="19">
        <v>0</v>
      </c>
      <c r="IJ28" s="19">
        <f t="shared" si="32"/>
        <v>0</v>
      </c>
      <c r="IK28" s="18">
        <v>0</v>
      </c>
      <c r="IL28" s="18">
        <v>0</v>
      </c>
      <c r="IM28" s="18" t="s">
        <v>56</v>
      </c>
      <c r="IN28" s="19">
        <v>0</v>
      </c>
      <c r="IO28" s="19">
        <v>0</v>
      </c>
      <c r="IP28" s="19" t="s">
        <v>56</v>
      </c>
      <c r="IQ28" s="19">
        <v>0</v>
      </c>
      <c r="IR28" s="19">
        <v>0</v>
      </c>
      <c r="IS28" s="21" t="s">
        <v>56</v>
      </c>
      <c r="IT28" s="19">
        <v>0</v>
      </c>
      <c r="IU28" s="19">
        <v>0</v>
      </c>
      <c r="IV28" s="21" t="s">
        <v>56</v>
      </c>
      <c r="IW28" s="19">
        <v>0</v>
      </c>
      <c r="IX28" s="19">
        <v>0</v>
      </c>
      <c r="IY28" s="19" t="s">
        <v>56</v>
      </c>
      <c r="IZ28" s="19">
        <v>0</v>
      </c>
      <c r="JA28" s="19">
        <v>0</v>
      </c>
      <c r="JB28" s="21" t="s">
        <v>56</v>
      </c>
      <c r="JC28" s="19">
        <v>0</v>
      </c>
      <c r="JD28" s="19">
        <v>0</v>
      </c>
      <c r="JE28" s="19" t="s">
        <v>56</v>
      </c>
      <c r="JF28" s="19">
        <v>0</v>
      </c>
      <c r="JG28" s="19">
        <v>0</v>
      </c>
      <c r="JH28" s="25" t="s">
        <v>56</v>
      </c>
      <c r="JI28" s="23">
        <v>0</v>
      </c>
      <c r="JJ28" s="19">
        <v>0</v>
      </c>
      <c r="JK28" s="25" t="s">
        <v>56</v>
      </c>
      <c r="JL28" s="19">
        <v>1123.5</v>
      </c>
      <c r="JM28" s="19">
        <f>1118.7-85.4</f>
        <v>1033.3</v>
      </c>
      <c r="JN28" s="21">
        <f>(JM28/JL28)*100</f>
        <v>91.971517578994209</v>
      </c>
      <c r="JO28" s="19">
        <v>0</v>
      </c>
      <c r="JP28" s="19">
        <v>0</v>
      </c>
      <c r="JQ28" s="19" t="s">
        <v>56</v>
      </c>
      <c r="JR28" s="19">
        <v>0</v>
      </c>
      <c r="JS28" s="19">
        <v>0</v>
      </c>
      <c r="JT28" s="19" t="s">
        <v>56</v>
      </c>
      <c r="JU28" s="19">
        <v>0</v>
      </c>
      <c r="JV28" s="19">
        <v>0</v>
      </c>
      <c r="JW28" s="21" t="s">
        <v>56</v>
      </c>
      <c r="JX28" s="21">
        <v>0</v>
      </c>
      <c r="JY28" s="21">
        <v>0</v>
      </c>
      <c r="JZ28" s="21" t="s">
        <v>56</v>
      </c>
      <c r="KA28" s="21">
        <v>0</v>
      </c>
      <c r="KB28" s="21">
        <v>0</v>
      </c>
      <c r="KC28" s="21" t="s">
        <v>56</v>
      </c>
      <c r="KD28" s="14">
        <f t="shared" si="45"/>
        <v>605690.6</v>
      </c>
      <c r="KE28" s="14">
        <f t="shared" si="46"/>
        <v>371405.5</v>
      </c>
      <c r="KF28" s="14">
        <f t="shared" si="47"/>
        <v>61.31934357244441</v>
      </c>
      <c r="KG28" s="7"/>
      <c r="KH28" s="9"/>
      <c r="KJ28" s="9"/>
    </row>
    <row r="29" spans="1:296" x14ac:dyDescent="0.2">
      <c r="A29" s="27" t="s">
        <v>32</v>
      </c>
      <c r="B29" s="13">
        <f t="shared" si="20"/>
        <v>165871</v>
      </c>
      <c r="C29" s="13">
        <f t="shared" si="33"/>
        <v>138510.20000000001</v>
      </c>
      <c r="D29" s="14">
        <f t="shared" si="34"/>
        <v>83.504771780480013</v>
      </c>
      <c r="E29" s="18">
        <v>165871</v>
      </c>
      <c r="F29" s="19">
        <v>138510.20000000001</v>
      </c>
      <c r="G29" s="19">
        <f t="shared" si="0"/>
        <v>83.504771780480013</v>
      </c>
      <c r="H29" s="18">
        <v>0</v>
      </c>
      <c r="I29" s="19">
        <v>0</v>
      </c>
      <c r="J29" s="19" t="s">
        <v>56</v>
      </c>
      <c r="K29" s="19">
        <v>0</v>
      </c>
      <c r="L29" s="19">
        <v>0</v>
      </c>
      <c r="M29" s="19" t="s">
        <v>56</v>
      </c>
      <c r="N29" s="13">
        <f t="shared" si="35"/>
        <v>161913.93802999999</v>
      </c>
      <c r="O29" s="13">
        <f t="shared" si="36"/>
        <v>41763.699999999997</v>
      </c>
      <c r="P29" s="14">
        <f t="shared" si="21"/>
        <v>25.793764581441948</v>
      </c>
      <c r="Q29" s="19">
        <v>14222</v>
      </c>
      <c r="R29" s="19">
        <v>0</v>
      </c>
      <c r="S29" s="19">
        <f t="shared" si="37"/>
        <v>0</v>
      </c>
      <c r="T29" s="18">
        <v>0</v>
      </c>
      <c r="U29" s="19">
        <v>0</v>
      </c>
      <c r="V29" s="19" t="s">
        <v>56</v>
      </c>
      <c r="W29" s="18">
        <v>2800</v>
      </c>
      <c r="X29" s="19">
        <v>2800</v>
      </c>
      <c r="Y29" s="19">
        <f t="shared" si="1"/>
        <v>100</v>
      </c>
      <c r="Z29" s="18">
        <v>0</v>
      </c>
      <c r="AA29" s="19">
        <v>0</v>
      </c>
      <c r="AB29" s="19" t="s">
        <v>56</v>
      </c>
      <c r="AC29" s="18">
        <v>0</v>
      </c>
      <c r="AD29" s="19">
        <v>0</v>
      </c>
      <c r="AE29" s="19" t="s">
        <v>56</v>
      </c>
      <c r="AF29" s="18">
        <v>0</v>
      </c>
      <c r="AG29" s="19">
        <v>0</v>
      </c>
      <c r="AH29" s="19" t="s">
        <v>56</v>
      </c>
      <c r="AI29" s="18">
        <v>0</v>
      </c>
      <c r="AJ29" s="18">
        <v>0</v>
      </c>
      <c r="AK29" s="19" t="s">
        <v>56</v>
      </c>
      <c r="AL29" s="19">
        <v>13655.9</v>
      </c>
      <c r="AM29" s="19">
        <v>3159.7</v>
      </c>
      <c r="AN29" s="19">
        <f t="shared" si="2"/>
        <v>23.137984314472131</v>
      </c>
      <c r="AO29" s="19">
        <v>0</v>
      </c>
      <c r="AP29" s="19">
        <v>0</v>
      </c>
      <c r="AQ29" s="19" t="s">
        <v>56</v>
      </c>
      <c r="AR29" s="19">
        <v>0</v>
      </c>
      <c r="AS29" s="19">
        <v>0</v>
      </c>
      <c r="AT29" s="19" t="s">
        <v>56</v>
      </c>
      <c r="AU29" s="18">
        <v>1782.9</v>
      </c>
      <c r="AV29" s="19">
        <f>1782.9</f>
        <v>1782.9</v>
      </c>
      <c r="AW29" s="19">
        <f t="shared" si="48"/>
        <v>100</v>
      </c>
      <c r="AX29" s="19">
        <v>7098.3</v>
      </c>
      <c r="AY29" s="19">
        <v>1774.4</v>
      </c>
      <c r="AZ29" s="19">
        <f t="shared" si="38"/>
        <v>24.997534620965585</v>
      </c>
      <c r="BA29" s="18">
        <v>0</v>
      </c>
      <c r="BB29" s="19">
        <v>0</v>
      </c>
      <c r="BC29" s="19" t="s">
        <v>56</v>
      </c>
      <c r="BD29" s="18">
        <v>0</v>
      </c>
      <c r="BE29" s="19">
        <v>0</v>
      </c>
      <c r="BF29" s="19" t="s">
        <v>56</v>
      </c>
      <c r="BG29" s="18">
        <f>111838.03/1000</f>
        <v>111.83803</v>
      </c>
      <c r="BH29" s="19">
        <f>111.8</f>
        <v>111.8</v>
      </c>
      <c r="BI29" s="19">
        <f t="shared" si="3"/>
        <v>99.965995466837157</v>
      </c>
      <c r="BJ29" s="18">
        <v>0</v>
      </c>
      <c r="BK29" s="19">
        <v>0</v>
      </c>
      <c r="BL29" s="19" t="s">
        <v>56</v>
      </c>
      <c r="BM29" s="18">
        <v>0</v>
      </c>
      <c r="BN29" s="19">
        <v>0</v>
      </c>
      <c r="BO29" s="19" t="s">
        <v>56</v>
      </c>
      <c r="BP29" s="18">
        <v>0</v>
      </c>
      <c r="BQ29" s="19">
        <v>0</v>
      </c>
      <c r="BR29" s="19" t="s">
        <v>56</v>
      </c>
      <c r="BS29" s="18">
        <v>0</v>
      </c>
      <c r="BT29" s="19">
        <v>0</v>
      </c>
      <c r="BU29" s="19" t="s">
        <v>56</v>
      </c>
      <c r="BV29" s="18">
        <v>0</v>
      </c>
      <c r="BW29" s="19">
        <v>0</v>
      </c>
      <c r="BX29" s="19" t="s">
        <v>56</v>
      </c>
      <c r="BY29" s="19">
        <v>1397.7</v>
      </c>
      <c r="BZ29" s="19">
        <v>848.1</v>
      </c>
      <c r="CA29" s="19">
        <f t="shared" si="50"/>
        <v>60.678257136724625</v>
      </c>
      <c r="CB29" s="18">
        <f>875.3</f>
        <v>875.3</v>
      </c>
      <c r="CC29" s="18">
        <f>875.3</f>
        <v>875.3</v>
      </c>
      <c r="CD29" s="34">
        <v>100</v>
      </c>
      <c r="CE29" s="18">
        <v>1142.4000000000001</v>
      </c>
      <c r="CF29" s="18">
        <v>360.2</v>
      </c>
      <c r="CG29" s="34">
        <f t="shared" si="22"/>
        <v>31.530112044817926</v>
      </c>
      <c r="CH29" s="34">
        <v>0</v>
      </c>
      <c r="CI29" s="34">
        <v>0</v>
      </c>
      <c r="CJ29" s="34" t="s">
        <v>56</v>
      </c>
      <c r="CK29" s="18">
        <v>2000</v>
      </c>
      <c r="CL29" s="18">
        <v>0</v>
      </c>
      <c r="CM29" s="34">
        <v>0</v>
      </c>
      <c r="CN29" s="18">
        <v>5962.1</v>
      </c>
      <c r="CO29" s="34">
        <f>7250.3-1288.2</f>
        <v>5962.1</v>
      </c>
      <c r="CP29" s="34">
        <f t="shared" si="4"/>
        <v>100</v>
      </c>
      <c r="CQ29" s="34">
        <v>0</v>
      </c>
      <c r="CR29" s="34">
        <v>0</v>
      </c>
      <c r="CS29" s="34" t="s">
        <v>56</v>
      </c>
      <c r="CT29" s="34">
        <v>145.5</v>
      </c>
      <c r="CU29" s="34">
        <v>0</v>
      </c>
      <c r="CV29" s="34">
        <v>0</v>
      </c>
      <c r="CW29" s="34">
        <v>7876.3</v>
      </c>
      <c r="CX29" s="34">
        <v>6941.7</v>
      </c>
      <c r="CY29" s="34">
        <f t="shared" si="23"/>
        <v>88.134022320124927</v>
      </c>
      <c r="CZ29" s="34">
        <v>2035.7</v>
      </c>
      <c r="DA29" s="34">
        <v>0</v>
      </c>
      <c r="DB29" s="34">
        <f t="shared" si="49"/>
        <v>0</v>
      </c>
      <c r="DC29" s="34">
        <v>20485.7</v>
      </c>
      <c r="DD29" s="34">
        <v>0</v>
      </c>
      <c r="DE29" s="35">
        <f>(DD29/DC29)*100</f>
        <v>0</v>
      </c>
      <c r="DF29" s="34">
        <v>30799.8</v>
      </c>
      <c r="DG29" s="34">
        <v>1659</v>
      </c>
      <c r="DH29" s="34">
        <f>DG29/DF29%</f>
        <v>5.3863986129780068</v>
      </c>
      <c r="DI29" s="34">
        <v>0</v>
      </c>
      <c r="DJ29" s="34">
        <v>0</v>
      </c>
      <c r="DK29" s="34" t="s">
        <v>56</v>
      </c>
      <c r="DL29" s="34">
        <v>33437.199999999997</v>
      </c>
      <c r="DM29" s="34">
        <v>15388.5</v>
      </c>
      <c r="DN29" s="34">
        <f t="shared" si="24"/>
        <v>46.022095151507905</v>
      </c>
      <c r="DO29" s="34">
        <v>100</v>
      </c>
      <c r="DP29" s="34">
        <v>100</v>
      </c>
      <c r="DQ29" s="34">
        <f t="shared" si="39"/>
        <v>100</v>
      </c>
      <c r="DR29" s="34">
        <v>0</v>
      </c>
      <c r="DS29" s="34">
        <v>0</v>
      </c>
      <c r="DT29" s="34" t="s">
        <v>56</v>
      </c>
      <c r="DU29" s="34">
        <v>3985.3</v>
      </c>
      <c r="DV29" s="34">
        <v>0</v>
      </c>
      <c r="DW29" s="34">
        <f>(DV29/DU29)*100</f>
        <v>0</v>
      </c>
      <c r="DX29" s="34">
        <v>0</v>
      </c>
      <c r="DY29" s="34">
        <v>0</v>
      </c>
      <c r="DZ29" s="34" t="s">
        <v>56</v>
      </c>
      <c r="EA29" s="18">
        <v>12000</v>
      </c>
      <c r="EB29" s="19">
        <v>0</v>
      </c>
      <c r="EC29" s="34">
        <v>0</v>
      </c>
      <c r="ED29" s="18">
        <v>0</v>
      </c>
      <c r="EE29" s="19">
        <v>0</v>
      </c>
      <c r="EF29" s="34" t="s">
        <v>56</v>
      </c>
      <c r="EG29" s="13">
        <f t="shared" si="5"/>
        <v>341185.31499999994</v>
      </c>
      <c r="EH29" s="13">
        <f t="shared" si="6"/>
        <v>252083.69999999998</v>
      </c>
      <c r="EI29" s="14">
        <f t="shared" si="40"/>
        <v>73.884686391030641</v>
      </c>
      <c r="EJ29" s="36">
        <v>2567.4</v>
      </c>
      <c r="EK29" s="36">
        <v>1967.2</v>
      </c>
      <c r="EL29" s="19">
        <f t="shared" si="7"/>
        <v>76.622263768793331</v>
      </c>
      <c r="EM29" s="36">
        <v>114.2</v>
      </c>
      <c r="EN29" s="19">
        <v>0</v>
      </c>
      <c r="EO29" s="19">
        <f>EN29/EM29%</f>
        <v>0</v>
      </c>
      <c r="EP29" s="36">
        <f>115/1000</f>
        <v>0.115</v>
      </c>
      <c r="EQ29" s="19">
        <v>0</v>
      </c>
      <c r="ER29" s="19">
        <f t="shared" si="10"/>
        <v>0</v>
      </c>
      <c r="ES29" s="36">
        <v>95004.5</v>
      </c>
      <c r="ET29" s="19">
        <v>65828.899999999994</v>
      </c>
      <c r="EU29" s="19">
        <v>69.290296775415896</v>
      </c>
      <c r="EV29" s="34">
        <v>212265.4</v>
      </c>
      <c r="EW29" s="34">
        <v>165451.20000000001</v>
      </c>
      <c r="EX29" s="35">
        <v>77.945440001055289</v>
      </c>
      <c r="EY29" s="36">
        <v>8186.1</v>
      </c>
      <c r="EZ29" s="34">
        <v>4533.1000000000004</v>
      </c>
      <c r="FA29" s="34">
        <f t="shared" si="25"/>
        <v>55.375575670954426</v>
      </c>
      <c r="FB29" s="36">
        <v>1687.4</v>
      </c>
      <c r="FC29" s="19">
        <v>328.6</v>
      </c>
      <c r="FD29" s="19">
        <f t="shared" si="11"/>
        <v>19.473746592390658</v>
      </c>
      <c r="FE29" s="36">
        <v>171.3</v>
      </c>
      <c r="FF29" s="19">
        <v>0</v>
      </c>
      <c r="FG29" s="19">
        <f>FF29/FE29%</f>
        <v>0</v>
      </c>
      <c r="FH29" s="36">
        <v>217.5</v>
      </c>
      <c r="FI29" s="19">
        <f>44.9</f>
        <v>44.9</v>
      </c>
      <c r="FJ29" s="19">
        <f>FI29/FH29%</f>
        <v>20.643678160919542</v>
      </c>
      <c r="FK29" s="36">
        <v>694.6</v>
      </c>
      <c r="FL29" s="19">
        <v>368.5</v>
      </c>
      <c r="FM29" s="19">
        <f t="shared" si="12"/>
        <v>53.052116325942983</v>
      </c>
      <c r="FN29" s="36">
        <v>245</v>
      </c>
      <c r="FO29" s="19">
        <v>183.6</v>
      </c>
      <c r="FP29" s="19">
        <f t="shared" si="13"/>
        <v>74.938775510204067</v>
      </c>
      <c r="FQ29" s="36">
        <v>0.8</v>
      </c>
      <c r="FR29" s="19">
        <v>0.8</v>
      </c>
      <c r="FS29" s="19">
        <f t="shared" si="14"/>
        <v>100</v>
      </c>
      <c r="FT29" s="36">
        <v>95.5</v>
      </c>
      <c r="FU29" s="19">
        <v>53.4</v>
      </c>
      <c r="FV29" s="19">
        <f t="shared" si="41"/>
        <v>55.916230366492151</v>
      </c>
      <c r="FW29" s="36">
        <v>0</v>
      </c>
      <c r="FX29" s="19">
        <v>0</v>
      </c>
      <c r="FY29" s="19" t="s">
        <v>56</v>
      </c>
      <c r="FZ29" s="36">
        <v>622.29999999999995</v>
      </c>
      <c r="GA29" s="19">
        <v>338.4</v>
      </c>
      <c r="GB29" s="19">
        <f t="shared" si="15"/>
        <v>54.378916921099147</v>
      </c>
      <c r="GC29" s="36">
        <v>419.8</v>
      </c>
      <c r="GD29" s="19">
        <v>347.7</v>
      </c>
      <c r="GE29" s="19">
        <f t="shared" si="16"/>
        <v>82.825154835636013</v>
      </c>
      <c r="GF29" s="36">
        <v>0</v>
      </c>
      <c r="GG29" s="19">
        <v>0</v>
      </c>
      <c r="GH29" s="19" t="s">
        <v>56</v>
      </c>
      <c r="GI29" s="37">
        <v>0</v>
      </c>
      <c r="GJ29" s="19">
        <v>0</v>
      </c>
      <c r="GK29" s="19" t="s">
        <v>56</v>
      </c>
      <c r="GL29" s="37">
        <v>1932.4</v>
      </c>
      <c r="GM29" s="19">
        <v>1153.3</v>
      </c>
      <c r="GN29" s="19">
        <f t="shared" si="17"/>
        <v>59.682260401573167</v>
      </c>
      <c r="GO29" s="36">
        <v>0</v>
      </c>
      <c r="GP29" s="36">
        <v>0</v>
      </c>
      <c r="GQ29" s="19" t="s">
        <v>56</v>
      </c>
      <c r="GR29" s="36">
        <v>179.4</v>
      </c>
      <c r="GS29" s="19">
        <v>135.69999999999999</v>
      </c>
      <c r="GT29" s="19">
        <f t="shared" si="56"/>
        <v>75.641025641025635</v>
      </c>
      <c r="GU29" s="36">
        <v>1622</v>
      </c>
      <c r="GV29" s="19">
        <v>344</v>
      </c>
      <c r="GW29" s="19">
        <f>GV29/GU29%</f>
        <v>21.208384710234281</v>
      </c>
      <c r="GX29" s="36">
        <v>0</v>
      </c>
      <c r="GY29" s="19">
        <v>0</v>
      </c>
      <c r="GZ29" s="19" t="s">
        <v>56</v>
      </c>
      <c r="HA29" s="36">
        <v>364.1</v>
      </c>
      <c r="HB29" s="19">
        <v>0</v>
      </c>
      <c r="HC29" s="19">
        <v>0</v>
      </c>
      <c r="HD29" s="19">
        <v>11616.5</v>
      </c>
      <c r="HE29" s="19">
        <v>8109</v>
      </c>
      <c r="HF29" s="38">
        <f t="shared" si="26"/>
        <v>69.805879567856067</v>
      </c>
      <c r="HG29" s="36">
        <v>3179</v>
      </c>
      <c r="HH29" s="19">
        <v>2895.4</v>
      </c>
      <c r="HI29" s="19">
        <f t="shared" si="27"/>
        <v>91.078955646429691</v>
      </c>
      <c r="HJ29" s="17">
        <f t="shared" si="28"/>
        <v>38237.200000000004</v>
      </c>
      <c r="HK29" s="17">
        <f t="shared" si="29"/>
        <v>20879.599999999999</v>
      </c>
      <c r="HL29" s="16">
        <f t="shared" si="30"/>
        <v>54.605462743087877</v>
      </c>
      <c r="HM29" s="34">
        <v>8749.4</v>
      </c>
      <c r="HN29" s="34">
        <v>2187.4</v>
      </c>
      <c r="HO29" s="35">
        <f t="shared" si="42"/>
        <v>25.000571467757794</v>
      </c>
      <c r="HP29" s="35">
        <v>0</v>
      </c>
      <c r="HQ29" s="35">
        <v>0</v>
      </c>
      <c r="HR29" s="35" t="s">
        <v>56</v>
      </c>
      <c r="HS29" s="35">
        <v>8100</v>
      </c>
      <c r="HT29" s="35">
        <v>2980</v>
      </c>
      <c r="HU29" s="35">
        <f t="shared" si="43"/>
        <v>36.790123456790127</v>
      </c>
      <c r="HV29" s="35">
        <v>5675.6</v>
      </c>
      <c r="HW29" s="35">
        <v>0</v>
      </c>
      <c r="HX29" s="35">
        <f t="shared" si="44"/>
        <v>0</v>
      </c>
      <c r="HY29" s="34">
        <v>0</v>
      </c>
      <c r="HZ29" s="34">
        <v>0</v>
      </c>
      <c r="IA29" s="34" t="s">
        <v>56</v>
      </c>
      <c r="IB29" s="34">
        <v>124</v>
      </c>
      <c r="IC29" s="34">
        <v>124</v>
      </c>
      <c r="ID29" s="35">
        <f t="shared" si="31"/>
        <v>100</v>
      </c>
      <c r="IE29" s="34">
        <v>0</v>
      </c>
      <c r="IF29" s="34">
        <v>0</v>
      </c>
      <c r="IG29" s="35" t="s">
        <v>56</v>
      </c>
      <c r="IH29" s="18">
        <v>7003.4</v>
      </c>
      <c r="II29" s="19">
        <v>7003.4</v>
      </c>
      <c r="IJ29" s="19">
        <f t="shared" si="32"/>
        <v>100</v>
      </c>
      <c r="IK29" s="18">
        <v>0</v>
      </c>
      <c r="IL29" s="18">
        <v>0</v>
      </c>
      <c r="IM29" s="18" t="s">
        <v>56</v>
      </c>
      <c r="IN29" s="19">
        <v>0</v>
      </c>
      <c r="IO29" s="19">
        <v>0</v>
      </c>
      <c r="IP29" s="19" t="s">
        <v>56</v>
      </c>
      <c r="IQ29" s="19">
        <v>0</v>
      </c>
      <c r="IR29" s="19">
        <v>0</v>
      </c>
      <c r="IS29" s="21" t="s">
        <v>56</v>
      </c>
      <c r="IT29" s="19">
        <v>7488.8</v>
      </c>
      <c r="IU29" s="19">
        <v>7488.8</v>
      </c>
      <c r="IV29" s="21">
        <f>(IU29/IT29)*100</f>
        <v>100</v>
      </c>
      <c r="IW29" s="19">
        <v>0</v>
      </c>
      <c r="IX29" s="19">
        <v>0</v>
      </c>
      <c r="IY29" s="19" t="s">
        <v>56</v>
      </c>
      <c r="IZ29" s="19">
        <v>0</v>
      </c>
      <c r="JA29" s="19">
        <v>0</v>
      </c>
      <c r="JB29" s="21" t="s">
        <v>56</v>
      </c>
      <c r="JC29" s="19">
        <v>0</v>
      </c>
      <c r="JD29" s="19">
        <v>0</v>
      </c>
      <c r="JE29" s="19" t="s">
        <v>56</v>
      </c>
      <c r="JF29" s="19">
        <v>75.599999999999994</v>
      </c>
      <c r="JG29" s="19">
        <v>75.599999999999994</v>
      </c>
      <c r="JH29" s="25">
        <f>(JG29/JF29)*100</f>
        <v>100</v>
      </c>
      <c r="JI29" s="23">
        <v>0</v>
      </c>
      <c r="JJ29" s="19">
        <v>0</v>
      </c>
      <c r="JK29" s="25" t="s">
        <v>56</v>
      </c>
      <c r="JL29" s="19">
        <v>0</v>
      </c>
      <c r="JM29" s="19">
        <v>0</v>
      </c>
      <c r="JN29" s="21" t="s">
        <v>56</v>
      </c>
      <c r="JO29" s="19">
        <v>1020.4</v>
      </c>
      <c r="JP29" s="19">
        <v>1020.4</v>
      </c>
      <c r="JQ29" s="19">
        <v>100</v>
      </c>
      <c r="JR29" s="19">
        <v>0</v>
      </c>
      <c r="JS29" s="19">
        <v>0</v>
      </c>
      <c r="JT29" s="19" t="s">
        <v>56</v>
      </c>
      <c r="JU29" s="19">
        <v>0</v>
      </c>
      <c r="JV29" s="19">
        <v>0</v>
      </c>
      <c r="JW29" s="21" t="s">
        <v>56</v>
      </c>
      <c r="JX29" s="21">
        <v>0</v>
      </c>
      <c r="JY29" s="21">
        <v>0</v>
      </c>
      <c r="JZ29" s="21" t="s">
        <v>56</v>
      </c>
      <c r="KA29" s="21">
        <v>0</v>
      </c>
      <c r="KB29" s="21">
        <v>0</v>
      </c>
      <c r="KC29" s="21" t="s">
        <v>56</v>
      </c>
      <c r="KD29" s="14">
        <f t="shared" si="45"/>
        <v>707207.45302999986</v>
      </c>
      <c r="KE29" s="14">
        <f t="shared" si="46"/>
        <v>453237.19999999995</v>
      </c>
      <c r="KF29" s="14">
        <f t="shared" si="47"/>
        <v>64.08829517535834</v>
      </c>
      <c r="KG29" s="7"/>
      <c r="KH29" s="9"/>
      <c r="KJ29" s="9"/>
    </row>
    <row r="30" spans="1:296" ht="13.5" customHeight="1" x14ac:dyDescent="0.2">
      <c r="A30" s="27" t="s">
        <v>33</v>
      </c>
      <c r="B30" s="13">
        <f t="shared" si="20"/>
        <v>36312</v>
      </c>
      <c r="C30" s="13">
        <f t="shared" si="33"/>
        <v>25463.5</v>
      </c>
      <c r="D30" s="14">
        <f t="shared" si="34"/>
        <v>70.124201365939626</v>
      </c>
      <c r="E30" s="18">
        <v>36312</v>
      </c>
      <c r="F30" s="19">
        <v>25463.5</v>
      </c>
      <c r="G30" s="19">
        <f t="shared" si="0"/>
        <v>70.124201365939626</v>
      </c>
      <c r="H30" s="18">
        <v>0</v>
      </c>
      <c r="I30" s="19">
        <v>0</v>
      </c>
      <c r="J30" s="19" t="s">
        <v>56</v>
      </c>
      <c r="K30" s="19">
        <v>0</v>
      </c>
      <c r="L30" s="19">
        <v>0</v>
      </c>
      <c r="M30" s="19" t="s">
        <v>56</v>
      </c>
      <c r="N30" s="13">
        <f t="shared" si="35"/>
        <v>40276.175459999999</v>
      </c>
      <c r="O30" s="13">
        <f t="shared" si="36"/>
        <v>22171.899999999998</v>
      </c>
      <c r="P30" s="14">
        <f t="shared" si="21"/>
        <v>55.049665830411001</v>
      </c>
      <c r="Q30" s="19">
        <v>4063.4</v>
      </c>
      <c r="R30" s="19">
        <v>0</v>
      </c>
      <c r="S30" s="19">
        <f t="shared" si="37"/>
        <v>0</v>
      </c>
      <c r="T30" s="18">
        <v>0</v>
      </c>
      <c r="U30" s="19">
        <v>0</v>
      </c>
      <c r="V30" s="19" t="s">
        <v>56</v>
      </c>
      <c r="W30" s="18">
        <v>0</v>
      </c>
      <c r="X30" s="19">
        <v>0</v>
      </c>
      <c r="Y30" s="19" t="s">
        <v>56</v>
      </c>
      <c r="Z30" s="18">
        <v>0</v>
      </c>
      <c r="AA30" s="19">
        <v>0</v>
      </c>
      <c r="AB30" s="19" t="s">
        <v>56</v>
      </c>
      <c r="AC30" s="18">
        <v>0</v>
      </c>
      <c r="AD30" s="19">
        <v>0</v>
      </c>
      <c r="AE30" s="19" t="s">
        <v>56</v>
      </c>
      <c r="AF30" s="18">
        <v>0</v>
      </c>
      <c r="AG30" s="19">
        <v>0</v>
      </c>
      <c r="AH30" s="19" t="s">
        <v>56</v>
      </c>
      <c r="AI30" s="18">
        <v>0</v>
      </c>
      <c r="AJ30" s="18">
        <v>0</v>
      </c>
      <c r="AK30" s="19" t="s">
        <v>56</v>
      </c>
      <c r="AL30" s="19">
        <v>584.29999999999995</v>
      </c>
      <c r="AM30" s="19">
        <v>400.6</v>
      </c>
      <c r="AN30" s="19">
        <f t="shared" si="2"/>
        <v>68.560670888242342</v>
      </c>
      <c r="AO30" s="19">
        <v>0</v>
      </c>
      <c r="AP30" s="19">
        <v>0</v>
      </c>
      <c r="AQ30" s="19" t="s">
        <v>56</v>
      </c>
      <c r="AR30" s="19">
        <v>0</v>
      </c>
      <c r="AS30" s="19">
        <v>0</v>
      </c>
      <c r="AT30" s="19" t="s">
        <v>56</v>
      </c>
      <c r="AU30" s="18">
        <v>445.4</v>
      </c>
      <c r="AV30" s="19">
        <f>445.4</f>
        <v>445.4</v>
      </c>
      <c r="AW30" s="19">
        <f t="shared" si="48"/>
        <v>100</v>
      </c>
      <c r="AX30" s="19">
        <v>375.1</v>
      </c>
      <c r="AY30" s="19">
        <v>93.8</v>
      </c>
      <c r="AZ30" s="19">
        <f t="shared" si="38"/>
        <v>25.006664889362835</v>
      </c>
      <c r="BA30" s="18">
        <v>0</v>
      </c>
      <c r="BB30" s="19">
        <v>0</v>
      </c>
      <c r="BC30" s="19" t="s">
        <v>56</v>
      </c>
      <c r="BD30" s="18">
        <v>0</v>
      </c>
      <c r="BE30" s="19">
        <v>0</v>
      </c>
      <c r="BF30" s="19" t="s">
        <v>56</v>
      </c>
      <c r="BG30" s="18">
        <v>0</v>
      </c>
      <c r="BH30" s="19">
        <v>0</v>
      </c>
      <c r="BI30" s="19" t="s">
        <v>56</v>
      </c>
      <c r="BJ30" s="18">
        <v>0</v>
      </c>
      <c r="BK30" s="19">
        <v>0</v>
      </c>
      <c r="BL30" s="19" t="s">
        <v>56</v>
      </c>
      <c r="BM30" s="18">
        <v>0</v>
      </c>
      <c r="BN30" s="19">
        <v>0</v>
      </c>
      <c r="BO30" s="19" t="s">
        <v>56</v>
      </c>
      <c r="BP30" s="18">
        <f>375475.46/1000</f>
        <v>375.47546</v>
      </c>
      <c r="BQ30" s="19">
        <v>0</v>
      </c>
      <c r="BR30" s="19">
        <v>0</v>
      </c>
      <c r="BS30" s="18">
        <v>0</v>
      </c>
      <c r="BT30" s="19">
        <v>0</v>
      </c>
      <c r="BU30" s="19" t="s">
        <v>56</v>
      </c>
      <c r="BV30" s="18">
        <v>0</v>
      </c>
      <c r="BW30" s="19">
        <v>0</v>
      </c>
      <c r="BX30" s="19" t="s">
        <v>56</v>
      </c>
      <c r="BY30" s="19">
        <v>0</v>
      </c>
      <c r="BZ30" s="19">
        <v>0</v>
      </c>
      <c r="CA30" s="19" t="s">
        <v>56</v>
      </c>
      <c r="CB30" s="18">
        <v>0</v>
      </c>
      <c r="CC30" s="18">
        <v>0</v>
      </c>
      <c r="CD30" s="34" t="s">
        <v>56</v>
      </c>
      <c r="CE30" s="18">
        <v>0</v>
      </c>
      <c r="CF30" s="18">
        <v>0</v>
      </c>
      <c r="CG30" s="34" t="s">
        <v>56</v>
      </c>
      <c r="CH30" s="34">
        <v>0</v>
      </c>
      <c r="CI30" s="34">
        <v>0</v>
      </c>
      <c r="CJ30" s="34" t="s">
        <v>56</v>
      </c>
      <c r="CK30" s="18">
        <v>0</v>
      </c>
      <c r="CL30" s="18">
        <v>0</v>
      </c>
      <c r="CM30" s="34" t="s">
        <v>56</v>
      </c>
      <c r="CN30" s="18">
        <v>0</v>
      </c>
      <c r="CO30" s="34">
        <v>0</v>
      </c>
      <c r="CP30" s="34" t="s">
        <v>56</v>
      </c>
      <c r="CQ30" s="34">
        <v>0</v>
      </c>
      <c r="CR30" s="34">
        <v>0</v>
      </c>
      <c r="CS30" s="34" t="s">
        <v>56</v>
      </c>
      <c r="CT30" s="34">
        <v>0</v>
      </c>
      <c r="CU30" s="34">
        <v>0</v>
      </c>
      <c r="CV30" s="34" t="s">
        <v>56</v>
      </c>
      <c r="CW30" s="34">
        <v>0</v>
      </c>
      <c r="CX30" s="34">
        <v>0</v>
      </c>
      <c r="CY30" s="34" t="s">
        <v>56</v>
      </c>
      <c r="CZ30" s="34">
        <v>0</v>
      </c>
      <c r="DA30" s="34">
        <v>0</v>
      </c>
      <c r="DB30" s="34" t="s">
        <v>56</v>
      </c>
      <c r="DC30" s="34">
        <v>0</v>
      </c>
      <c r="DD30" s="34">
        <v>0</v>
      </c>
      <c r="DE30" s="35" t="s">
        <v>56</v>
      </c>
      <c r="DF30" s="34">
        <v>0</v>
      </c>
      <c r="DG30" s="34">
        <v>0</v>
      </c>
      <c r="DH30" s="34" t="s">
        <v>56</v>
      </c>
      <c r="DI30" s="34">
        <v>0</v>
      </c>
      <c r="DJ30" s="34">
        <v>0</v>
      </c>
      <c r="DK30" s="34" t="s">
        <v>56</v>
      </c>
      <c r="DL30" s="34">
        <v>34432.5</v>
      </c>
      <c r="DM30" s="34">
        <v>21232.1</v>
      </c>
      <c r="DN30" s="34">
        <f t="shared" si="24"/>
        <v>61.662963769694322</v>
      </c>
      <c r="DO30" s="34">
        <v>0</v>
      </c>
      <c r="DP30" s="34">
        <v>0</v>
      </c>
      <c r="DQ30" s="34" t="s">
        <v>56</v>
      </c>
      <c r="DR30" s="34">
        <v>0</v>
      </c>
      <c r="DS30" s="34">
        <v>0</v>
      </c>
      <c r="DT30" s="34" t="s">
        <v>56</v>
      </c>
      <c r="DU30" s="34">
        <v>0</v>
      </c>
      <c r="DV30" s="34">
        <v>0</v>
      </c>
      <c r="DW30" s="34" t="s">
        <v>56</v>
      </c>
      <c r="DX30" s="34">
        <v>0</v>
      </c>
      <c r="DY30" s="34">
        <v>0</v>
      </c>
      <c r="DZ30" s="34" t="s">
        <v>56</v>
      </c>
      <c r="EA30" s="18">
        <v>0</v>
      </c>
      <c r="EB30" s="19">
        <v>0</v>
      </c>
      <c r="EC30" s="34" t="s">
        <v>56</v>
      </c>
      <c r="ED30" s="18">
        <v>0</v>
      </c>
      <c r="EE30" s="19">
        <v>0</v>
      </c>
      <c r="EF30" s="34" t="s">
        <v>56</v>
      </c>
      <c r="EG30" s="13">
        <f t="shared" si="5"/>
        <v>30430.5</v>
      </c>
      <c r="EH30" s="13">
        <f t="shared" si="6"/>
        <v>20049.599999999991</v>
      </c>
      <c r="EI30" s="14">
        <f t="shared" si="40"/>
        <v>65.886528318627668</v>
      </c>
      <c r="EJ30" s="36">
        <v>175.9</v>
      </c>
      <c r="EK30" s="36">
        <v>138.19999999999999</v>
      </c>
      <c r="EL30" s="19">
        <f t="shared" si="7"/>
        <v>78.56736782262648</v>
      </c>
      <c r="EM30" s="36">
        <v>0</v>
      </c>
      <c r="EN30" s="19">
        <v>0</v>
      </c>
      <c r="EO30" s="19" t="s">
        <v>56</v>
      </c>
      <c r="EP30" s="36">
        <v>0</v>
      </c>
      <c r="EQ30" s="19">
        <v>0</v>
      </c>
      <c r="ER30" s="19" t="s">
        <v>56</v>
      </c>
      <c r="ES30" s="36">
        <v>12691.5</v>
      </c>
      <c r="ET30" s="19">
        <v>7321.6</v>
      </c>
      <c r="EU30" s="19">
        <v>57.689004451798446</v>
      </c>
      <c r="EV30" s="34">
        <v>14980.6</v>
      </c>
      <c r="EW30" s="34">
        <v>10906.3</v>
      </c>
      <c r="EX30" s="35">
        <v>72.802824986983154</v>
      </c>
      <c r="EY30" s="36">
        <v>673.1</v>
      </c>
      <c r="EZ30" s="34">
        <v>436.6</v>
      </c>
      <c r="FA30" s="34">
        <f t="shared" si="25"/>
        <v>64.864061803595305</v>
      </c>
      <c r="FB30" s="36">
        <v>123.1</v>
      </c>
      <c r="FC30" s="19">
        <v>122</v>
      </c>
      <c r="FD30" s="19">
        <f t="shared" si="11"/>
        <v>99.106417546710006</v>
      </c>
      <c r="FE30" s="36">
        <v>0</v>
      </c>
      <c r="FF30" s="19">
        <v>0</v>
      </c>
      <c r="FG30" s="19" t="s">
        <v>56</v>
      </c>
      <c r="FH30" s="36">
        <v>31.2</v>
      </c>
      <c r="FI30" s="19">
        <v>0</v>
      </c>
      <c r="FJ30" s="19">
        <f>FI30/FH30%</f>
        <v>0</v>
      </c>
      <c r="FK30" s="36">
        <v>0</v>
      </c>
      <c r="FL30" s="19">
        <v>0</v>
      </c>
      <c r="FM30" s="19" t="s">
        <v>56</v>
      </c>
      <c r="FN30" s="36">
        <v>35</v>
      </c>
      <c r="FO30" s="19">
        <v>26.1</v>
      </c>
      <c r="FP30" s="19">
        <f t="shared" si="13"/>
        <v>74.571428571428584</v>
      </c>
      <c r="FQ30" s="36">
        <v>0.3</v>
      </c>
      <c r="FR30" s="19">
        <v>0.3</v>
      </c>
      <c r="FS30" s="19">
        <f t="shared" si="14"/>
        <v>100</v>
      </c>
      <c r="FT30" s="36">
        <v>31.8</v>
      </c>
      <c r="FU30" s="19">
        <v>24.3</v>
      </c>
      <c r="FV30" s="19">
        <f t="shared" si="41"/>
        <v>76.415094339622641</v>
      </c>
      <c r="FW30" s="36">
        <v>0</v>
      </c>
      <c r="FX30" s="19">
        <v>0</v>
      </c>
      <c r="FY30" s="19" t="s">
        <v>56</v>
      </c>
      <c r="FZ30" s="36">
        <v>584</v>
      </c>
      <c r="GA30" s="19">
        <v>375.4</v>
      </c>
      <c r="GB30" s="19">
        <f t="shared" si="15"/>
        <v>64.280821917808211</v>
      </c>
      <c r="GC30" s="36">
        <v>137.4</v>
      </c>
      <c r="GD30" s="19">
        <v>109.1</v>
      </c>
      <c r="GE30" s="19">
        <f t="shared" si="16"/>
        <v>79.403202328966515</v>
      </c>
      <c r="GF30" s="36">
        <v>75.2</v>
      </c>
      <c r="GG30" s="19">
        <v>56.3</v>
      </c>
      <c r="GH30" s="19">
        <f>GG30/GF30%</f>
        <v>74.867021276595736</v>
      </c>
      <c r="GI30" s="37">
        <v>0</v>
      </c>
      <c r="GJ30" s="19">
        <v>0</v>
      </c>
      <c r="GK30" s="19" t="s">
        <v>56</v>
      </c>
      <c r="GL30" s="37">
        <v>314.39999999999998</v>
      </c>
      <c r="GM30" s="19">
        <v>198.6</v>
      </c>
      <c r="GN30" s="19">
        <f t="shared" si="17"/>
        <v>63.167938931297712</v>
      </c>
      <c r="GO30" s="36">
        <v>0</v>
      </c>
      <c r="GP30" s="36">
        <v>0</v>
      </c>
      <c r="GQ30" s="19" t="s">
        <v>56</v>
      </c>
      <c r="GR30" s="36">
        <v>0</v>
      </c>
      <c r="GS30" s="19">
        <v>0</v>
      </c>
      <c r="GT30" s="19" t="s">
        <v>56</v>
      </c>
      <c r="GU30" s="36">
        <v>146.19999999999999</v>
      </c>
      <c r="GV30" s="19">
        <v>50</v>
      </c>
      <c r="GW30" s="19">
        <f>GV30/GU30%</f>
        <v>34.19972640218878</v>
      </c>
      <c r="GX30" s="36">
        <v>0</v>
      </c>
      <c r="GY30" s="19">
        <v>0</v>
      </c>
      <c r="GZ30" s="19" t="s">
        <v>56</v>
      </c>
      <c r="HA30" s="36">
        <v>68.2</v>
      </c>
      <c r="HB30" s="19">
        <v>0</v>
      </c>
      <c r="HC30" s="19">
        <v>0</v>
      </c>
      <c r="HD30" s="19">
        <v>190.6</v>
      </c>
      <c r="HE30" s="19">
        <v>184.7</v>
      </c>
      <c r="HF30" s="38">
        <f t="shared" si="26"/>
        <v>96.904512067156347</v>
      </c>
      <c r="HG30" s="36">
        <v>172</v>
      </c>
      <c r="HH30" s="19">
        <v>100.1</v>
      </c>
      <c r="HI30" s="19">
        <f t="shared" si="27"/>
        <v>58.197674418604649</v>
      </c>
      <c r="HJ30" s="17">
        <f t="shared" si="28"/>
        <v>18243.800000000003</v>
      </c>
      <c r="HK30" s="17">
        <f t="shared" si="29"/>
        <v>2481.1999999999998</v>
      </c>
      <c r="HL30" s="16">
        <f t="shared" si="30"/>
        <v>13.600236792773432</v>
      </c>
      <c r="HM30" s="34">
        <v>562.5</v>
      </c>
      <c r="HN30" s="34">
        <v>140.6</v>
      </c>
      <c r="HO30" s="35">
        <f t="shared" si="42"/>
        <v>24.995555555555555</v>
      </c>
      <c r="HP30" s="35">
        <v>0</v>
      </c>
      <c r="HQ30" s="35">
        <v>0</v>
      </c>
      <c r="HR30" s="35" t="s">
        <v>56</v>
      </c>
      <c r="HS30" s="35">
        <v>11500</v>
      </c>
      <c r="HT30" s="35">
        <v>974.4</v>
      </c>
      <c r="HU30" s="35">
        <f t="shared" si="43"/>
        <v>8.4730434782608697</v>
      </c>
      <c r="HV30" s="35">
        <v>5608.9</v>
      </c>
      <c r="HW30" s="35">
        <v>793.8</v>
      </c>
      <c r="HX30" s="35">
        <f t="shared" si="44"/>
        <v>14.15250762181533</v>
      </c>
      <c r="HY30" s="34">
        <v>0</v>
      </c>
      <c r="HZ30" s="34">
        <v>0</v>
      </c>
      <c r="IA30" s="34" t="s">
        <v>56</v>
      </c>
      <c r="IB30" s="34">
        <v>134</v>
      </c>
      <c r="IC30" s="34">
        <v>134</v>
      </c>
      <c r="ID30" s="35">
        <f t="shared" si="31"/>
        <v>100</v>
      </c>
      <c r="IE30" s="34">
        <v>0</v>
      </c>
      <c r="IF30" s="34">
        <v>0</v>
      </c>
      <c r="IG30" s="35" t="s">
        <v>56</v>
      </c>
      <c r="IH30" s="18">
        <v>438.4</v>
      </c>
      <c r="II30" s="19">
        <v>438.4</v>
      </c>
      <c r="IJ30" s="19">
        <f t="shared" si="32"/>
        <v>100</v>
      </c>
      <c r="IK30" s="18">
        <v>0</v>
      </c>
      <c r="IL30" s="18">
        <v>0</v>
      </c>
      <c r="IM30" s="18" t="s">
        <v>56</v>
      </c>
      <c r="IN30" s="19">
        <v>0</v>
      </c>
      <c r="IO30" s="19">
        <v>0</v>
      </c>
      <c r="IP30" s="19" t="s">
        <v>56</v>
      </c>
      <c r="IQ30" s="19">
        <v>0</v>
      </c>
      <c r="IR30" s="19">
        <v>0</v>
      </c>
      <c r="IS30" s="21" t="s">
        <v>56</v>
      </c>
      <c r="IT30" s="19">
        <v>0</v>
      </c>
      <c r="IU30" s="19">
        <v>0</v>
      </c>
      <c r="IV30" s="21" t="s">
        <v>56</v>
      </c>
      <c r="IW30" s="19">
        <v>0</v>
      </c>
      <c r="IX30" s="19">
        <v>0</v>
      </c>
      <c r="IY30" s="19" t="s">
        <v>56</v>
      </c>
      <c r="IZ30" s="19">
        <v>0</v>
      </c>
      <c r="JA30" s="19">
        <v>0</v>
      </c>
      <c r="JB30" s="21" t="s">
        <v>56</v>
      </c>
      <c r="JC30" s="19">
        <v>0</v>
      </c>
      <c r="JD30" s="19">
        <v>0</v>
      </c>
      <c r="JE30" s="19" t="s">
        <v>56</v>
      </c>
      <c r="JF30" s="19">
        <v>0</v>
      </c>
      <c r="JG30" s="19">
        <v>0</v>
      </c>
      <c r="JH30" s="25" t="s">
        <v>56</v>
      </c>
      <c r="JI30" s="23">
        <v>0</v>
      </c>
      <c r="JJ30" s="19">
        <v>0</v>
      </c>
      <c r="JK30" s="25" t="s">
        <v>56</v>
      </c>
      <c r="JL30" s="19">
        <v>0</v>
      </c>
      <c r="JM30" s="19">
        <v>0</v>
      </c>
      <c r="JN30" s="21" t="s">
        <v>56</v>
      </c>
      <c r="JO30" s="19">
        <v>0</v>
      </c>
      <c r="JP30" s="19">
        <v>0</v>
      </c>
      <c r="JQ30" s="19" t="s">
        <v>56</v>
      </c>
      <c r="JR30" s="19">
        <v>0</v>
      </c>
      <c r="JS30" s="19">
        <v>0</v>
      </c>
      <c r="JT30" s="19" t="s">
        <v>56</v>
      </c>
      <c r="JU30" s="19">
        <v>0</v>
      </c>
      <c r="JV30" s="19">
        <v>0</v>
      </c>
      <c r="JW30" s="21" t="s">
        <v>56</v>
      </c>
      <c r="JX30" s="21">
        <v>0</v>
      </c>
      <c r="JY30" s="21">
        <v>0</v>
      </c>
      <c r="JZ30" s="21" t="s">
        <v>56</v>
      </c>
      <c r="KA30" s="21">
        <v>0</v>
      </c>
      <c r="KB30" s="21">
        <v>0</v>
      </c>
      <c r="KC30" s="21" t="s">
        <v>56</v>
      </c>
      <c r="KD30" s="14">
        <f t="shared" si="45"/>
        <v>125262.47546</v>
      </c>
      <c r="KE30" s="14">
        <f t="shared" si="46"/>
        <v>70166.199999999983</v>
      </c>
      <c r="KF30" s="14">
        <f t="shared" si="47"/>
        <v>56.015338785481788</v>
      </c>
      <c r="KG30" s="7"/>
      <c r="KH30" s="9"/>
      <c r="KJ30" s="9"/>
    </row>
    <row r="31" spans="1:296" x14ac:dyDescent="0.2">
      <c r="A31" s="27" t="s">
        <v>34</v>
      </c>
      <c r="B31" s="13">
        <f t="shared" si="20"/>
        <v>150306</v>
      </c>
      <c r="C31" s="13">
        <f t="shared" si="33"/>
        <v>110792.8</v>
      </c>
      <c r="D31" s="14">
        <f t="shared" si="34"/>
        <v>73.711495216425163</v>
      </c>
      <c r="E31" s="18">
        <v>150306</v>
      </c>
      <c r="F31" s="19">
        <v>110792.8</v>
      </c>
      <c r="G31" s="19">
        <f t="shared" si="0"/>
        <v>73.711495216425163</v>
      </c>
      <c r="H31" s="18">
        <v>0</v>
      </c>
      <c r="I31" s="19">
        <v>0</v>
      </c>
      <c r="J31" s="19" t="s">
        <v>56</v>
      </c>
      <c r="K31" s="19">
        <v>0</v>
      </c>
      <c r="L31" s="19">
        <v>0</v>
      </c>
      <c r="M31" s="19" t="s">
        <v>56</v>
      </c>
      <c r="N31" s="13">
        <f t="shared" si="35"/>
        <v>251788.74434999999</v>
      </c>
      <c r="O31" s="13">
        <f t="shared" si="36"/>
        <v>48287.4</v>
      </c>
      <c r="P31" s="14">
        <f t="shared" si="21"/>
        <v>19.177743677405175</v>
      </c>
      <c r="Q31" s="19">
        <v>14222</v>
      </c>
      <c r="R31" s="19">
        <v>0</v>
      </c>
      <c r="S31" s="19">
        <f t="shared" si="37"/>
        <v>0</v>
      </c>
      <c r="T31" s="18">
        <v>0</v>
      </c>
      <c r="U31" s="19">
        <v>0</v>
      </c>
      <c r="V31" s="19" t="s">
        <v>56</v>
      </c>
      <c r="W31" s="18">
        <v>0</v>
      </c>
      <c r="X31" s="19">
        <v>0</v>
      </c>
      <c r="Y31" s="19" t="s">
        <v>56</v>
      </c>
      <c r="Z31" s="18">
        <v>0</v>
      </c>
      <c r="AA31" s="19">
        <v>0</v>
      </c>
      <c r="AB31" s="19" t="s">
        <v>56</v>
      </c>
      <c r="AC31" s="18">
        <v>0</v>
      </c>
      <c r="AD31" s="19">
        <v>0</v>
      </c>
      <c r="AE31" s="19" t="s">
        <v>56</v>
      </c>
      <c r="AF31" s="18">
        <v>0</v>
      </c>
      <c r="AG31" s="19">
        <v>0</v>
      </c>
      <c r="AH31" s="19" t="s">
        <v>56</v>
      </c>
      <c r="AI31" s="18">
        <v>0</v>
      </c>
      <c r="AJ31" s="18">
        <v>0</v>
      </c>
      <c r="AK31" s="19" t="s">
        <v>56</v>
      </c>
      <c r="AL31" s="19">
        <v>7143.6</v>
      </c>
      <c r="AM31" s="19">
        <v>3007.9</v>
      </c>
      <c r="AN31" s="19">
        <f t="shared" si="2"/>
        <v>42.10622095302088</v>
      </c>
      <c r="AO31" s="19">
        <v>0</v>
      </c>
      <c r="AP31" s="19">
        <v>0</v>
      </c>
      <c r="AQ31" s="19" t="s">
        <v>56</v>
      </c>
      <c r="AR31" s="19">
        <v>0</v>
      </c>
      <c r="AS31" s="19">
        <v>0</v>
      </c>
      <c r="AT31" s="19" t="s">
        <v>56</v>
      </c>
      <c r="AU31" s="18">
        <v>668.1</v>
      </c>
      <c r="AV31" s="19">
        <v>668.1</v>
      </c>
      <c r="AW31" s="19">
        <f t="shared" si="48"/>
        <v>100</v>
      </c>
      <c r="AX31" s="19">
        <v>3387.6</v>
      </c>
      <c r="AY31" s="19">
        <v>846.9</v>
      </c>
      <c r="AZ31" s="19">
        <f t="shared" si="38"/>
        <v>25</v>
      </c>
      <c r="BA31" s="18">
        <v>0</v>
      </c>
      <c r="BB31" s="19">
        <v>0</v>
      </c>
      <c r="BC31" s="19" t="s">
        <v>56</v>
      </c>
      <c r="BD31" s="18">
        <v>0</v>
      </c>
      <c r="BE31" s="19">
        <v>0</v>
      </c>
      <c r="BF31" s="19" t="s">
        <v>56</v>
      </c>
      <c r="BG31" s="18">
        <f>89470.42/1000</f>
        <v>89.470420000000004</v>
      </c>
      <c r="BH31" s="19">
        <v>89.5</v>
      </c>
      <c r="BI31" s="19">
        <f t="shared" si="3"/>
        <v>100.03306120615059</v>
      </c>
      <c r="BJ31" s="18">
        <v>0</v>
      </c>
      <c r="BK31" s="19">
        <v>0</v>
      </c>
      <c r="BL31" s="19" t="s">
        <v>56</v>
      </c>
      <c r="BM31" s="18">
        <v>0</v>
      </c>
      <c r="BN31" s="19">
        <v>0</v>
      </c>
      <c r="BO31" s="19" t="s">
        <v>56</v>
      </c>
      <c r="BP31" s="18">
        <f>501473.93/1000</f>
        <v>501.47393</v>
      </c>
      <c r="BQ31" s="19">
        <v>0</v>
      </c>
      <c r="BR31" s="19">
        <f>BQ31/BP31%</f>
        <v>0</v>
      </c>
      <c r="BS31" s="18">
        <v>0</v>
      </c>
      <c r="BT31" s="19">
        <v>0</v>
      </c>
      <c r="BU31" s="19" t="s">
        <v>56</v>
      </c>
      <c r="BV31" s="18">
        <v>0</v>
      </c>
      <c r="BW31" s="19">
        <v>0</v>
      </c>
      <c r="BX31" s="19" t="s">
        <v>56</v>
      </c>
      <c r="BY31" s="19">
        <v>1047.5</v>
      </c>
      <c r="BZ31" s="19">
        <v>667.2</v>
      </c>
      <c r="CA31" s="19">
        <f t="shared" si="50"/>
        <v>63.694510739856803</v>
      </c>
      <c r="CB31" s="18">
        <v>0</v>
      </c>
      <c r="CC31" s="18">
        <v>0</v>
      </c>
      <c r="CD31" s="34" t="s">
        <v>56</v>
      </c>
      <c r="CE31" s="18">
        <v>1020.3</v>
      </c>
      <c r="CF31" s="18">
        <v>0</v>
      </c>
      <c r="CG31" s="34" t="s">
        <v>56</v>
      </c>
      <c r="CH31" s="34">
        <v>0</v>
      </c>
      <c r="CI31" s="34">
        <v>0</v>
      </c>
      <c r="CJ31" s="34" t="s">
        <v>56</v>
      </c>
      <c r="CK31" s="18">
        <v>2000</v>
      </c>
      <c r="CL31" s="18">
        <v>0</v>
      </c>
      <c r="CM31" s="34">
        <v>0</v>
      </c>
      <c r="CN31" s="18">
        <v>0</v>
      </c>
      <c r="CO31" s="34">
        <v>0</v>
      </c>
      <c r="CP31" s="34" t="s">
        <v>56</v>
      </c>
      <c r="CQ31" s="34">
        <v>184</v>
      </c>
      <c r="CR31" s="34">
        <v>0</v>
      </c>
      <c r="CS31" s="34">
        <v>0</v>
      </c>
      <c r="CT31" s="34">
        <v>0</v>
      </c>
      <c r="CU31" s="34">
        <v>0</v>
      </c>
      <c r="CV31" s="34" t="s">
        <v>56</v>
      </c>
      <c r="CW31" s="34">
        <v>3583.1</v>
      </c>
      <c r="CX31" s="34">
        <v>0</v>
      </c>
      <c r="CY31" s="34">
        <f t="shared" si="23"/>
        <v>0</v>
      </c>
      <c r="CZ31" s="34">
        <v>0</v>
      </c>
      <c r="DA31" s="34">
        <v>0</v>
      </c>
      <c r="DB31" s="34" t="s">
        <v>56</v>
      </c>
      <c r="DC31" s="34">
        <v>13715.4</v>
      </c>
      <c r="DD31" s="34">
        <v>0</v>
      </c>
      <c r="DE31" s="35">
        <f>(DD31/DC31)*100</f>
        <v>0</v>
      </c>
      <c r="DF31" s="34">
        <v>28908</v>
      </c>
      <c r="DG31" s="34">
        <v>0</v>
      </c>
      <c r="DH31" s="34">
        <f>DG31/DF31%</f>
        <v>0</v>
      </c>
      <c r="DI31" s="34">
        <v>0</v>
      </c>
      <c r="DJ31" s="34">
        <v>0</v>
      </c>
      <c r="DK31" s="34" t="s">
        <v>56</v>
      </c>
      <c r="DL31" s="34">
        <v>19225.599999999999</v>
      </c>
      <c r="DM31" s="34">
        <v>2490.5</v>
      </c>
      <c r="DN31" s="34">
        <f t="shared" si="24"/>
        <v>12.954082057256992</v>
      </c>
      <c r="DO31" s="34">
        <v>0</v>
      </c>
      <c r="DP31" s="34">
        <v>0</v>
      </c>
      <c r="DQ31" s="34" t="s">
        <v>56</v>
      </c>
      <c r="DR31" s="34">
        <v>0</v>
      </c>
      <c r="DS31" s="34">
        <v>0</v>
      </c>
      <c r="DT31" s="34" t="s">
        <v>56</v>
      </c>
      <c r="DU31" s="34">
        <v>2486.3000000000002</v>
      </c>
      <c r="DV31" s="34">
        <v>0</v>
      </c>
      <c r="DW31" s="34">
        <f>(DV31/DU31)*100</f>
        <v>0</v>
      </c>
      <c r="DX31" s="34">
        <v>0</v>
      </c>
      <c r="DY31" s="34">
        <v>0</v>
      </c>
      <c r="DZ31" s="34" t="s">
        <v>56</v>
      </c>
      <c r="EA31" s="18">
        <v>153606.29999999999</v>
      </c>
      <c r="EB31" s="19">
        <v>40517.300000000003</v>
      </c>
      <c r="EC31" s="34">
        <f>EB31/EA31%</f>
        <v>26.377368636572854</v>
      </c>
      <c r="ED31" s="18">
        <v>0</v>
      </c>
      <c r="EE31" s="19">
        <v>0</v>
      </c>
      <c r="EF31" s="34" t="s">
        <v>56</v>
      </c>
      <c r="EG31" s="13">
        <f t="shared" si="5"/>
        <v>193352.80000000005</v>
      </c>
      <c r="EH31" s="13">
        <f t="shared" si="6"/>
        <v>141446.9</v>
      </c>
      <c r="EI31" s="14">
        <f t="shared" si="40"/>
        <v>73.154823721197701</v>
      </c>
      <c r="EJ31" s="36">
        <v>1406.9</v>
      </c>
      <c r="EK31" s="36">
        <v>998.8</v>
      </c>
      <c r="EL31" s="19">
        <f t="shared" si="7"/>
        <v>70.992963252541045</v>
      </c>
      <c r="EM31" s="36">
        <v>0</v>
      </c>
      <c r="EN31" s="19">
        <v>0</v>
      </c>
      <c r="EO31" s="19" t="s">
        <v>56</v>
      </c>
      <c r="EP31" s="36">
        <v>0</v>
      </c>
      <c r="EQ31" s="19">
        <v>0</v>
      </c>
      <c r="ER31" s="19" t="s">
        <v>56</v>
      </c>
      <c r="ES31" s="36">
        <v>56207.199999999997</v>
      </c>
      <c r="ET31" s="19">
        <v>36783</v>
      </c>
      <c r="EU31" s="19">
        <v>65.441793933873242</v>
      </c>
      <c r="EV31" s="34">
        <v>120767.4</v>
      </c>
      <c r="EW31" s="34">
        <v>94724.7</v>
      </c>
      <c r="EX31" s="35">
        <v>78.435653992716581</v>
      </c>
      <c r="EY31" s="36">
        <v>3965.8</v>
      </c>
      <c r="EZ31" s="34">
        <v>2078.3000000000002</v>
      </c>
      <c r="FA31" s="34">
        <f t="shared" si="25"/>
        <v>52.4055676030057</v>
      </c>
      <c r="FB31" s="36">
        <v>129</v>
      </c>
      <c r="FC31" s="19">
        <v>0</v>
      </c>
      <c r="FD31" s="19">
        <f t="shared" si="11"/>
        <v>0</v>
      </c>
      <c r="FE31" s="36">
        <v>0</v>
      </c>
      <c r="FF31" s="19">
        <v>0</v>
      </c>
      <c r="FG31" s="19" t="s">
        <v>56</v>
      </c>
      <c r="FH31" s="36">
        <v>82.7</v>
      </c>
      <c r="FI31" s="19">
        <v>20.7</v>
      </c>
      <c r="FJ31" s="19">
        <f>FI31/FH31%</f>
        <v>25.03022974607013</v>
      </c>
      <c r="FK31" s="36">
        <v>0</v>
      </c>
      <c r="FL31" s="19">
        <v>0</v>
      </c>
      <c r="FM31" s="19" t="s">
        <v>56</v>
      </c>
      <c r="FN31" s="36">
        <v>122.5</v>
      </c>
      <c r="FO31" s="19">
        <v>91.8</v>
      </c>
      <c r="FP31" s="19">
        <f t="shared" si="13"/>
        <v>74.938775510204067</v>
      </c>
      <c r="FQ31" s="36">
        <v>12.6</v>
      </c>
      <c r="FR31" s="19">
        <v>12.6</v>
      </c>
      <c r="FS31" s="19">
        <f t="shared" si="14"/>
        <v>100</v>
      </c>
      <c r="FT31" s="36">
        <v>63.6</v>
      </c>
      <c r="FU31" s="19">
        <v>37.299999999999997</v>
      </c>
      <c r="FV31" s="19">
        <f t="shared" si="41"/>
        <v>58.647798742138356</v>
      </c>
      <c r="FW31" s="36">
        <v>0</v>
      </c>
      <c r="FX31" s="19">
        <v>0</v>
      </c>
      <c r="FY31" s="19" t="s">
        <v>56</v>
      </c>
      <c r="FZ31" s="36">
        <v>635.1</v>
      </c>
      <c r="GA31" s="19">
        <v>424.4</v>
      </c>
      <c r="GB31" s="19">
        <f t="shared" si="15"/>
        <v>66.824122185482594</v>
      </c>
      <c r="GC31" s="36">
        <v>231.1</v>
      </c>
      <c r="GD31" s="19">
        <v>231.1</v>
      </c>
      <c r="GE31" s="19">
        <f t="shared" si="16"/>
        <v>100</v>
      </c>
      <c r="GF31" s="36">
        <v>603.1</v>
      </c>
      <c r="GG31" s="19">
        <v>452.3</v>
      </c>
      <c r="GH31" s="19">
        <f>GG31/GF31%</f>
        <v>74.995854750455976</v>
      </c>
      <c r="GI31" s="37">
        <v>0</v>
      </c>
      <c r="GJ31" s="19">
        <v>0</v>
      </c>
      <c r="GK31" s="19" t="s">
        <v>56</v>
      </c>
      <c r="GL31" s="37">
        <v>1640.8</v>
      </c>
      <c r="GM31" s="19">
        <v>1124.8</v>
      </c>
      <c r="GN31" s="19">
        <f t="shared" si="17"/>
        <v>68.551925889809837</v>
      </c>
      <c r="GO31" s="36">
        <v>0</v>
      </c>
      <c r="GP31" s="36">
        <v>0</v>
      </c>
      <c r="GQ31" s="19" t="s">
        <v>56</v>
      </c>
      <c r="GR31" s="36">
        <v>40.200000000000003</v>
      </c>
      <c r="GS31" s="19">
        <v>30.2</v>
      </c>
      <c r="GT31" s="19">
        <f t="shared" si="56"/>
        <v>75.124378109452735</v>
      </c>
      <c r="GU31" s="36">
        <v>667.6</v>
      </c>
      <c r="GV31" s="19">
        <v>188</v>
      </c>
      <c r="GW31" s="19">
        <f t="shared" ref="GW31:GW37" si="57">GV31/GU31%</f>
        <v>28.160575194727382</v>
      </c>
      <c r="GX31" s="36">
        <v>0</v>
      </c>
      <c r="GY31" s="19">
        <v>0</v>
      </c>
      <c r="GZ31" s="19" t="s">
        <v>56</v>
      </c>
      <c r="HA31" s="36">
        <v>238.2</v>
      </c>
      <c r="HB31" s="19">
        <v>0</v>
      </c>
      <c r="HC31" s="19">
        <v>0</v>
      </c>
      <c r="HD31" s="19">
        <v>4876</v>
      </c>
      <c r="HE31" s="19">
        <v>3971.7</v>
      </c>
      <c r="HF31" s="38">
        <f t="shared" si="26"/>
        <v>81.454060705496303</v>
      </c>
      <c r="HG31" s="36">
        <v>1663</v>
      </c>
      <c r="HH31" s="19">
        <v>277.2</v>
      </c>
      <c r="HI31" s="19">
        <f t="shared" si="27"/>
        <v>16.668671076368007</v>
      </c>
      <c r="HJ31" s="17">
        <f t="shared" si="28"/>
        <v>23555.599999999999</v>
      </c>
      <c r="HK31" s="17">
        <f t="shared" si="29"/>
        <v>117</v>
      </c>
      <c r="HL31" s="16">
        <f t="shared" si="30"/>
        <v>0.49669717604306407</v>
      </c>
      <c r="HM31" s="34">
        <v>4593.5</v>
      </c>
      <c r="HN31" s="34">
        <v>0</v>
      </c>
      <c r="HO31" s="35">
        <f t="shared" si="42"/>
        <v>0</v>
      </c>
      <c r="HP31" s="35">
        <v>0</v>
      </c>
      <c r="HQ31" s="35">
        <v>0</v>
      </c>
      <c r="HR31" s="35" t="s">
        <v>56</v>
      </c>
      <c r="HS31" s="35">
        <v>11247.1</v>
      </c>
      <c r="HT31" s="35">
        <v>0</v>
      </c>
      <c r="HU31" s="35">
        <f t="shared" si="43"/>
        <v>0</v>
      </c>
      <c r="HV31" s="35">
        <v>3856.7</v>
      </c>
      <c r="HW31" s="35">
        <v>0</v>
      </c>
      <c r="HX31" s="35">
        <f t="shared" si="44"/>
        <v>0</v>
      </c>
      <c r="HY31" s="34">
        <v>0</v>
      </c>
      <c r="HZ31" s="34">
        <v>0</v>
      </c>
      <c r="IA31" s="34" t="s">
        <v>56</v>
      </c>
      <c r="IB31" s="34">
        <v>117</v>
      </c>
      <c r="IC31" s="34">
        <v>117</v>
      </c>
      <c r="ID31" s="35">
        <f t="shared" si="31"/>
        <v>100</v>
      </c>
      <c r="IE31" s="34">
        <v>0</v>
      </c>
      <c r="IF31" s="34">
        <v>0</v>
      </c>
      <c r="IG31" s="35" t="s">
        <v>56</v>
      </c>
      <c r="IH31" s="20">
        <v>3741.3</v>
      </c>
      <c r="II31" s="19">
        <v>0</v>
      </c>
      <c r="IJ31" s="19">
        <f t="shared" si="32"/>
        <v>0</v>
      </c>
      <c r="IK31" s="18">
        <v>0</v>
      </c>
      <c r="IL31" s="18">
        <v>0</v>
      </c>
      <c r="IM31" s="18" t="s">
        <v>56</v>
      </c>
      <c r="IN31" s="19">
        <v>0</v>
      </c>
      <c r="IO31" s="19">
        <v>0</v>
      </c>
      <c r="IP31" s="19" t="s">
        <v>56</v>
      </c>
      <c r="IQ31" s="19">
        <v>0</v>
      </c>
      <c r="IR31" s="19">
        <v>0</v>
      </c>
      <c r="IS31" s="21" t="s">
        <v>56</v>
      </c>
      <c r="IT31" s="19">
        <v>0</v>
      </c>
      <c r="IU31" s="19">
        <v>0</v>
      </c>
      <c r="IV31" s="21" t="s">
        <v>56</v>
      </c>
      <c r="IW31" s="19">
        <v>0</v>
      </c>
      <c r="IX31" s="19">
        <v>0</v>
      </c>
      <c r="IY31" s="19" t="s">
        <v>56</v>
      </c>
      <c r="IZ31" s="19">
        <v>0</v>
      </c>
      <c r="JA31" s="19">
        <v>0</v>
      </c>
      <c r="JB31" s="21" t="s">
        <v>56</v>
      </c>
      <c r="JC31" s="19">
        <v>0</v>
      </c>
      <c r="JD31" s="19">
        <v>0</v>
      </c>
      <c r="JE31" s="19" t="s">
        <v>56</v>
      </c>
      <c r="JF31" s="19">
        <v>0</v>
      </c>
      <c r="JG31" s="19">
        <v>0</v>
      </c>
      <c r="JH31" s="25" t="s">
        <v>56</v>
      </c>
      <c r="JI31" s="23">
        <v>0</v>
      </c>
      <c r="JJ31" s="19">
        <v>0</v>
      </c>
      <c r="JK31" s="25" t="s">
        <v>56</v>
      </c>
      <c r="JL31" s="19">
        <v>0</v>
      </c>
      <c r="JM31" s="19">
        <v>0</v>
      </c>
      <c r="JN31" s="21" t="s">
        <v>56</v>
      </c>
      <c r="JO31" s="19">
        <v>0</v>
      </c>
      <c r="JP31" s="19">
        <v>0</v>
      </c>
      <c r="JQ31" s="19" t="s">
        <v>56</v>
      </c>
      <c r="JR31" s="19">
        <v>0</v>
      </c>
      <c r="JS31" s="19">
        <v>0</v>
      </c>
      <c r="JT31" s="19" t="s">
        <v>56</v>
      </c>
      <c r="JU31" s="19">
        <v>0</v>
      </c>
      <c r="JV31" s="19">
        <v>0</v>
      </c>
      <c r="JW31" s="21" t="s">
        <v>56</v>
      </c>
      <c r="JX31" s="21">
        <v>0</v>
      </c>
      <c r="JY31" s="21">
        <v>0</v>
      </c>
      <c r="JZ31" s="21" t="s">
        <v>56</v>
      </c>
      <c r="KA31" s="21">
        <v>0</v>
      </c>
      <c r="KB31" s="21">
        <v>0</v>
      </c>
      <c r="KC31" s="21" t="s">
        <v>56</v>
      </c>
      <c r="KD31" s="14">
        <f t="shared" si="45"/>
        <v>619003.14435000008</v>
      </c>
      <c r="KE31" s="14">
        <f t="shared" si="46"/>
        <v>300644.09999999998</v>
      </c>
      <c r="KF31" s="14">
        <f t="shared" si="47"/>
        <v>48.569074768707182</v>
      </c>
      <c r="KG31" s="7"/>
      <c r="KH31" s="9"/>
      <c r="KJ31" s="9"/>
    </row>
    <row r="32" spans="1:296" x14ac:dyDescent="0.2">
      <c r="A32" s="27" t="s">
        <v>35</v>
      </c>
      <c r="B32" s="13">
        <f t="shared" si="20"/>
        <v>114842</v>
      </c>
      <c r="C32" s="13">
        <f t="shared" si="33"/>
        <v>114842</v>
      </c>
      <c r="D32" s="14">
        <f t="shared" si="34"/>
        <v>100</v>
      </c>
      <c r="E32" s="18">
        <v>114842</v>
      </c>
      <c r="F32" s="19">
        <v>114842</v>
      </c>
      <c r="G32" s="19">
        <f t="shared" si="0"/>
        <v>100</v>
      </c>
      <c r="H32" s="18">
        <v>0</v>
      </c>
      <c r="I32" s="19">
        <v>0</v>
      </c>
      <c r="J32" s="19" t="s">
        <v>56</v>
      </c>
      <c r="K32" s="19">
        <v>0</v>
      </c>
      <c r="L32" s="19">
        <v>0</v>
      </c>
      <c r="M32" s="19" t="s">
        <v>56</v>
      </c>
      <c r="N32" s="13">
        <f t="shared" si="35"/>
        <v>125077.09999999998</v>
      </c>
      <c r="O32" s="13">
        <f t="shared" si="36"/>
        <v>19606.3</v>
      </c>
      <c r="P32" s="14">
        <f t="shared" si="21"/>
        <v>15.675371430901421</v>
      </c>
      <c r="Q32" s="19">
        <v>17977.8</v>
      </c>
      <c r="R32" s="19">
        <v>997.9</v>
      </c>
      <c r="S32" s="19">
        <f t="shared" si="37"/>
        <v>5.5507347951362238</v>
      </c>
      <c r="T32" s="18">
        <v>0</v>
      </c>
      <c r="U32" s="19">
        <v>0</v>
      </c>
      <c r="V32" s="19" t="s">
        <v>56</v>
      </c>
      <c r="W32" s="18">
        <v>0</v>
      </c>
      <c r="X32" s="19">
        <v>0</v>
      </c>
      <c r="Y32" s="19" t="s">
        <v>56</v>
      </c>
      <c r="Z32" s="18">
        <v>0</v>
      </c>
      <c r="AA32" s="19">
        <v>0</v>
      </c>
      <c r="AB32" s="19" t="s">
        <v>56</v>
      </c>
      <c r="AC32" s="18">
        <v>0</v>
      </c>
      <c r="AD32" s="19">
        <v>0</v>
      </c>
      <c r="AE32" s="19" t="s">
        <v>56</v>
      </c>
      <c r="AF32" s="18">
        <v>0</v>
      </c>
      <c r="AG32" s="19">
        <v>0</v>
      </c>
      <c r="AH32" s="19" t="s">
        <v>56</v>
      </c>
      <c r="AI32" s="18">
        <v>0</v>
      </c>
      <c r="AJ32" s="18">
        <v>0</v>
      </c>
      <c r="AK32" s="19" t="s">
        <v>56</v>
      </c>
      <c r="AL32" s="19">
        <v>9785.4</v>
      </c>
      <c r="AM32" s="19">
        <v>1581.7</v>
      </c>
      <c r="AN32" s="19">
        <f t="shared" si="2"/>
        <v>16.163876796043084</v>
      </c>
      <c r="AO32" s="19">
        <v>0</v>
      </c>
      <c r="AP32" s="19">
        <v>0</v>
      </c>
      <c r="AQ32" s="19" t="s">
        <v>56</v>
      </c>
      <c r="AR32" s="19">
        <v>0</v>
      </c>
      <c r="AS32" s="19">
        <v>0</v>
      </c>
      <c r="AT32" s="19" t="s">
        <v>56</v>
      </c>
      <c r="AU32" s="18">
        <v>445.4</v>
      </c>
      <c r="AV32" s="19">
        <f>445.4</f>
        <v>445.4</v>
      </c>
      <c r="AW32" s="19">
        <f t="shared" si="48"/>
        <v>100</v>
      </c>
      <c r="AX32" s="19">
        <v>5984.5</v>
      </c>
      <c r="AY32" s="19">
        <v>1481.2</v>
      </c>
      <c r="AZ32" s="19">
        <f t="shared" si="38"/>
        <v>24.750605731472973</v>
      </c>
      <c r="BA32" s="18">
        <v>0</v>
      </c>
      <c r="BB32" s="19">
        <v>0</v>
      </c>
      <c r="BC32" s="19" t="s">
        <v>56</v>
      </c>
      <c r="BD32" s="18">
        <v>0</v>
      </c>
      <c r="BE32" s="19">
        <v>0</v>
      </c>
      <c r="BF32" s="19" t="s">
        <v>56</v>
      </c>
      <c r="BG32" s="18">
        <v>0</v>
      </c>
      <c r="BH32" s="19">
        <v>0</v>
      </c>
      <c r="BI32" s="19" t="s">
        <v>56</v>
      </c>
      <c r="BJ32" s="18">
        <f>150000/1000</f>
        <v>150</v>
      </c>
      <c r="BK32" s="19">
        <v>150</v>
      </c>
      <c r="BL32" s="19">
        <f>(BK32/BJ32)*100</f>
        <v>100</v>
      </c>
      <c r="BM32" s="18">
        <v>0</v>
      </c>
      <c r="BN32" s="19">
        <v>0</v>
      </c>
      <c r="BO32" s="19" t="s">
        <v>56</v>
      </c>
      <c r="BP32" s="18">
        <v>0</v>
      </c>
      <c r="BQ32" s="19">
        <v>0</v>
      </c>
      <c r="BR32" s="19" t="s">
        <v>56</v>
      </c>
      <c r="BS32" s="18">
        <v>0</v>
      </c>
      <c r="BT32" s="19">
        <v>0</v>
      </c>
      <c r="BU32" s="19" t="s">
        <v>56</v>
      </c>
      <c r="BV32" s="18">
        <v>0</v>
      </c>
      <c r="BW32" s="19">
        <v>0</v>
      </c>
      <c r="BX32" s="19" t="s">
        <v>56</v>
      </c>
      <c r="BY32" s="19">
        <v>609.6</v>
      </c>
      <c r="BZ32" s="19">
        <v>435.3</v>
      </c>
      <c r="CA32" s="19">
        <f t="shared" si="50"/>
        <v>71.407480314960623</v>
      </c>
      <c r="CB32" s="18">
        <v>0</v>
      </c>
      <c r="CC32" s="18">
        <v>0</v>
      </c>
      <c r="CD32" s="34" t="s">
        <v>56</v>
      </c>
      <c r="CE32" s="18">
        <v>1000</v>
      </c>
      <c r="CF32" s="18">
        <v>812.1</v>
      </c>
      <c r="CG32" s="34">
        <f t="shared" si="22"/>
        <v>81.210000000000008</v>
      </c>
      <c r="CH32" s="34">
        <v>0</v>
      </c>
      <c r="CI32" s="34">
        <v>0</v>
      </c>
      <c r="CJ32" s="34" t="s">
        <v>56</v>
      </c>
      <c r="CK32" s="18">
        <v>10459.4</v>
      </c>
      <c r="CL32" s="18">
        <v>0</v>
      </c>
      <c r="CM32" s="34">
        <v>0</v>
      </c>
      <c r="CN32" s="18">
        <v>0</v>
      </c>
      <c r="CO32" s="34">
        <v>0</v>
      </c>
      <c r="CP32" s="34" t="s">
        <v>56</v>
      </c>
      <c r="CQ32" s="34">
        <v>197.5</v>
      </c>
      <c r="CR32" s="34">
        <v>0</v>
      </c>
      <c r="CS32" s="34">
        <v>0</v>
      </c>
      <c r="CT32" s="34">
        <v>145.5</v>
      </c>
      <c r="CU32" s="34">
        <v>145.5</v>
      </c>
      <c r="CV32" s="34">
        <v>100</v>
      </c>
      <c r="CW32" s="34">
        <v>10114.299999999999</v>
      </c>
      <c r="CX32" s="34">
        <v>1020.7</v>
      </c>
      <c r="CY32" s="34">
        <f t="shared" si="23"/>
        <v>10.091652412920322</v>
      </c>
      <c r="CZ32" s="34">
        <v>2035.7</v>
      </c>
      <c r="DA32" s="34">
        <v>1858.6</v>
      </c>
      <c r="DB32" s="34">
        <f t="shared" si="49"/>
        <v>91.300289826595275</v>
      </c>
      <c r="DC32" s="34">
        <v>13976</v>
      </c>
      <c r="DD32" s="34">
        <v>974.9</v>
      </c>
      <c r="DE32" s="35">
        <f>(DD32/DC32)*100</f>
        <v>6.9755294791070401</v>
      </c>
      <c r="DF32" s="34">
        <v>29003.599999999999</v>
      </c>
      <c r="DG32" s="34">
        <v>0</v>
      </c>
      <c r="DH32" s="34">
        <f>DG32/DF32%</f>
        <v>0</v>
      </c>
      <c r="DI32" s="34">
        <v>0</v>
      </c>
      <c r="DJ32" s="34">
        <v>0</v>
      </c>
      <c r="DK32" s="34" t="s">
        <v>56</v>
      </c>
      <c r="DL32" s="34">
        <v>18452.5</v>
      </c>
      <c r="DM32" s="34">
        <v>5511.3</v>
      </c>
      <c r="DN32" s="34">
        <f t="shared" si="24"/>
        <v>29.867497629047556</v>
      </c>
      <c r="DO32" s="34">
        <v>300</v>
      </c>
      <c r="DP32" s="34">
        <v>300</v>
      </c>
      <c r="DQ32" s="34">
        <f t="shared" si="39"/>
        <v>100</v>
      </c>
      <c r="DR32" s="34">
        <v>0</v>
      </c>
      <c r="DS32" s="34">
        <v>0</v>
      </c>
      <c r="DT32" s="34" t="s">
        <v>56</v>
      </c>
      <c r="DU32" s="34">
        <v>4439.8999999999996</v>
      </c>
      <c r="DV32" s="34">
        <v>3891.7</v>
      </c>
      <c r="DW32" s="34">
        <f>(DV32/DU32)*100</f>
        <v>87.652875064753715</v>
      </c>
      <c r="DX32" s="34">
        <v>0</v>
      </c>
      <c r="DY32" s="34">
        <v>0</v>
      </c>
      <c r="DZ32" s="34" t="s">
        <v>56</v>
      </c>
      <c r="EA32" s="18">
        <v>0</v>
      </c>
      <c r="EB32" s="19">
        <v>0</v>
      </c>
      <c r="EC32" s="34" t="s">
        <v>56</v>
      </c>
      <c r="ED32" s="18">
        <v>0</v>
      </c>
      <c r="EE32" s="19">
        <v>0</v>
      </c>
      <c r="EF32" s="34" t="s">
        <v>56</v>
      </c>
      <c r="EG32" s="13">
        <f t="shared" si="5"/>
        <v>265359.7</v>
      </c>
      <c r="EH32" s="13">
        <f t="shared" si="6"/>
        <v>203110.39999999999</v>
      </c>
      <c r="EI32" s="14">
        <f t="shared" si="40"/>
        <v>76.541539653534414</v>
      </c>
      <c r="EJ32" s="36">
        <v>2104</v>
      </c>
      <c r="EK32" s="36">
        <v>1461.1</v>
      </c>
      <c r="EL32" s="19">
        <f t="shared" si="7"/>
        <v>69.443916349809882</v>
      </c>
      <c r="EM32" s="36">
        <v>0</v>
      </c>
      <c r="EN32" s="19">
        <v>0</v>
      </c>
      <c r="EO32" s="19" t="s">
        <v>56</v>
      </c>
      <c r="EP32" s="36">
        <v>0</v>
      </c>
      <c r="EQ32" s="19">
        <v>0</v>
      </c>
      <c r="ER32" s="19" t="s">
        <v>56</v>
      </c>
      <c r="ES32" s="36">
        <v>63484.2</v>
      </c>
      <c r="ET32" s="19">
        <v>41689.800000000003</v>
      </c>
      <c r="EU32" s="19">
        <v>65.669568176018601</v>
      </c>
      <c r="EV32" s="34">
        <v>170876.5</v>
      </c>
      <c r="EW32" s="34">
        <v>139680.79999999999</v>
      </c>
      <c r="EX32" s="35">
        <v>81.743715490427292</v>
      </c>
      <c r="EY32" s="36">
        <v>8880.5</v>
      </c>
      <c r="EZ32" s="34">
        <v>4344</v>
      </c>
      <c r="FA32" s="34">
        <f t="shared" si="25"/>
        <v>48.916164630369906</v>
      </c>
      <c r="FB32" s="36">
        <v>2361.8000000000002</v>
      </c>
      <c r="FC32" s="19">
        <v>2361.8000000000002</v>
      </c>
      <c r="FD32" s="19">
        <f t="shared" si="11"/>
        <v>100</v>
      </c>
      <c r="FE32" s="36">
        <v>0</v>
      </c>
      <c r="FF32" s="19">
        <v>0</v>
      </c>
      <c r="FG32" s="19" t="s">
        <v>56</v>
      </c>
      <c r="FH32" s="36">
        <v>0</v>
      </c>
      <c r="FI32" s="19">
        <v>0</v>
      </c>
      <c r="FJ32" s="19" t="s">
        <v>56</v>
      </c>
      <c r="FK32" s="36">
        <v>0</v>
      </c>
      <c r="FL32" s="19">
        <v>0</v>
      </c>
      <c r="FM32" s="19" t="s">
        <v>56</v>
      </c>
      <c r="FN32" s="36">
        <v>175</v>
      </c>
      <c r="FO32" s="19">
        <v>131.4</v>
      </c>
      <c r="FP32" s="19">
        <f t="shared" si="13"/>
        <v>75.085714285714289</v>
      </c>
      <c r="FQ32" s="36">
        <v>7.2</v>
      </c>
      <c r="FR32" s="19">
        <v>3.4</v>
      </c>
      <c r="FS32" s="19">
        <f t="shared" si="14"/>
        <v>47.222222222222214</v>
      </c>
      <c r="FT32" s="36">
        <v>95.5</v>
      </c>
      <c r="FU32" s="19">
        <v>53.4</v>
      </c>
      <c r="FV32" s="19">
        <f t="shared" si="41"/>
        <v>55.916230366492151</v>
      </c>
      <c r="FW32" s="36">
        <v>0</v>
      </c>
      <c r="FX32" s="19">
        <v>0</v>
      </c>
      <c r="FY32" s="19" t="s">
        <v>56</v>
      </c>
      <c r="FZ32" s="36">
        <v>577.79999999999995</v>
      </c>
      <c r="GA32" s="19">
        <v>464.1</v>
      </c>
      <c r="GB32" s="19">
        <f t="shared" si="15"/>
        <v>80.321910695742474</v>
      </c>
      <c r="GC32" s="36">
        <v>209.9</v>
      </c>
      <c r="GD32" s="19">
        <v>182.5</v>
      </c>
      <c r="GE32" s="19">
        <f t="shared" si="16"/>
        <v>86.946164840400186</v>
      </c>
      <c r="GF32" s="36">
        <v>0</v>
      </c>
      <c r="GG32" s="19">
        <v>0</v>
      </c>
      <c r="GH32" s="19" t="s">
        <v>56</v>
      </c>
      <c r="GI32" s="37">
        <v>0</v>
      </c>
      <c r="GJ32" s="19">
        <v>0</v>
      </c>
      <c r="GK32" s="19" t="s">
        <v>56</v>
      </c>
      <c r="GL32" s="37">
        <v>1328.4</v>
      </c>
      <c r="GM32" s="19">
        <v>955.7</v>
      </c>
      <c r="GN32" s="19">
        <f t="shared" si="17"/>
        <v>71.943691659138807</v>
      </c>
      <c r="GO32" s="36">
        <v>0</v>
      </c>
      <c r="GP32" s="36">
        <v>0</v>
      </c>
      <c r="GQ32" s="19" t="s">
        <v>56</v>
      </c>
      <c r="GR32" s="36">
        <v>40.200000000000003</v>
      </c>
      <c r="GS32" s="19">
        <v>30.2</v>
      </c>
      <c r="GT32" s="19">
        <f t="shared" si="56"/>
        <v>75.124378109452735</v>
      </c>
      <c r="GU32" s="36">
        <v>908.7</v>
      </c>
      <c r="GV32" s="19">
        <v>308.60000000000002</v>
      </c>
      <c r="GW32" s="19">
        <f t="shared" si="57"/>
        <v>33.96060305931551</v>
      </c>
      <c r="GX32" s="36">
        <v>0</v>
      </c>
      <c r="GY32" s="19">
        <v>0</v>
      </c>
      <c r="GZ32" s="19" t="s">
        <v>56</v>
      </c>
      <c r="HA32" s="36">
        <v>305.60000000000002</v>
      </c>
      <c r="HB32" s="19">
        <v>0</v>
      </c>
      <c r="HC32" s="19">
        <v>0</v>
      </c>
      <c r="HD32" s="19">
        <v>11313.4</v>
      </c>
      <c r="HE32" s="19">
        <v>9424.9</v>
      </c>
      <c r="HF32" s="38">
        <f t="shared" si="26"/>
        <v>83.307405377693712</v>
      </c>
      <c r="HG32" s="36">
        <v>2691</v>
      </c>
      <c r="HH32" s="19">
        <v>2018.7</v>
      </c>
      <c r="HI32" s="19">
        <f t="shared" si="27"/>
        <v>75.016722408026766</v>
      </c>
      <c r="HJ32" s="17">
        <f t="shared" si="28"/>
        <v>25548.000000000004</v>
      </c>
      <c r="HK32" s="17">
        <f t="shared" si="29"/>
        <v>10413.9</v>
      </c>
      <c r="HL32" s="16">
        <f t="shared" si="30"/>
        <v>40.762094880225455</v>
      </c>
      <c r="HM32" s="34">
        <v>6288.7</v>
      </c>
      <c r="HN32" s="34">
        <v>882.5</v>
      </c>
      <c r="HO32" s="35">
        <f t="shared" si="42"/>
        <v>14.033107001447039</v>
      </c>
      <c r="HP32" s="35">
        <v>0</v>
      </c>
      <c r="HQ32" s="35">
        <v>0</v>
      </c>
      <c r="HR32" s="35" t="s">
        <v>56</v>
      </c>
      <c r="HS32" s="35">
        <v>7200</v>
      </c>
      <c r="HT32" s="35">
        <v>965</v>
      </c>
      <c r="HU32" s="35">
        <f t="shared" si="43"/>
        <v>13.402777777777777</v>
      </c>
      <c r="HV32" s="35">
        <v>6127.6</v>
      </c>
      <c r="HW32" s="35">
        <v>2634.7</v>
      </c>
      <c r="HX32" s="35">
        <f t="shared" si="44"/>
        <v>42.997258306677978</v>
      </c>
      <c r="HY32" s="34">
        <v>0</v>
      </c>
      <c r="HZ32" s="34">
        <v>0</v>
      </c>
      <c r="IA32" s="34" t="s">
        <v>56</v>
      </c>
      <c r="IB32" s="34">
        <v>134</v>
      </c>
      <c r="IC32" s="34">
        <v>134</v>
      </c>
      <c r="ID32" s="35">
        <f t="shared" si="31"/>
        <v>100</v>
      </c>
      <c r="IE32" s="34">
        <v>0</v>
      </c>
      <c r="IF32" s="34">
        <v>0</v>
      </c>
      <c r="IG32" s="35" t="s">
        <v>56</v>
      </c>
      <c r="IH32" s="18">
        <v>5797.7</v>
      </c>
      <c r="II32" s="19">
        <v>5797.7</v>
      </c>
      <c r="IJ32" s="19">
        <f t="shared" si="32"/>
        <v>100</v>
      </c>
      <c r="IK32" s="18">
        <v>0</v>
      </c>
      <c r="IL32" s="18">
        <v>0</v>
      </c>
      <c r="IM32" s="18" t="s">
        <v>56</v>
      </c>
      <c r="IN32" s="19">
        <v>0</v>
      </c>
      <c r="IO32" s="19">
        <v>0</v>
      </c>
      <c r="IP32" s="19" t="s">
        <v>56</v>
      </c>
      <c r="IQ32" s="19">
        <v>0</v>
      </c>
      <c r="IR32" s="19">
        <v>0</v>
      </c>
      <c r="IS32" s="21" t="s">
        <v>56</v>
      </c>
      <c r="IT32" s="19">
        <v>0</v>
      </c>
      <c r="IU32" s="19">
        <v>0</v>
      </c>
      <c r="IV32" s="21" t="s">
        <v>56</v>
      </c>
      <c r="IW32" s="19">
        <v>0</v>
      </c>
      <c r="IX32" s="19">
        <v>0</v>
      </c>
      <c r="IY32" s="19" t="s">
        <v>56</v>
      </c>
      <c r="IZ32" s="19">
        <v>0</v>
      </c>
      <c r="JA32" s="19">
        <v>0</v>
      </c>
      <c r="JB32" s="21" t="s">
        <v>56</v>
      </c>
      <c r="JC32" s="19">
        <v>0</v>
      </c>
      <c r="JD32" s="19">
        <v>0</v>
      </c>
      <c r="JE32" s="19" t="s">
        <v>56</v>
      </c>
      <c r="JF32" s="19">
        <v>0</v>
      </c>
      <c r="JG32" s="19">
        <v>0</v>
      </c>
      <c r="JH32" s="25" t="s">
        <v>56</v>
      </c>
      <c r="JI32" s="23">
        <v>0</v>
      </c>
      <c r="JJ32" s="19">
        <v>0</v>
      </c>
      <c r="JK32" s="25" t="s">
        <v>56</v>
      </c>
      <c r="JL32" s="19">
        <v>0</v>
      </c>
      <c r="JM32" s="19">
        <v>0</v>
      </c>
      <c r="JN32" s="21" t="s">
        <v>56</v>
      </c>
      <c r="JO32" s="19">
        <v>0</v>
      </c>
      <c r="JP32" s="19">
        <v>0</v>
      </c>
      <c r="JQ32" s="19" t="s">
        <v>56</v>
      </c>
      <c r="JR32" s="19">
        <v>0</v>
      </c>
      <c r="JS32" s="19">
        <v>0</v>
      </c>
      <c r="JT32" s="19" t="s">
        <v>56</v>
      </c>
      <c r="JU32" s="19">
        <v>0</v>
      </c>
      <c r="JV32" s="19">
        <v>0</v>
      </c>
      <c r="JW32" s="21" t="s">
        <v>56</v>
      </c>
      <c r="JX32" s="21">
        <v>0</v>
      </c>
      <c r="JY32" s="21">
        <v>0</v>
      </c>
      <c r="JZ32" s="21" t="s">
        <v>56</v>
      </c>
      <c r="KA32" s="21">
        <v>0</v>
      </c>
      <c r="KB32" s="21">
        <v>0</v>
      </c>
      <c r="KC32" s="21" t="s">
        <v>56</v>
      </c>
      <c r="KD32" s="14">
        <f t="shared" si="45"/>
        <v>530826.80000000005</v>
      </c>
      <c r="KE32" s="14">
        <f t="shared" si="46"/>
        <v>347972.6</v>
      </c>
      <c r="KF32" s="14">
        <f t="shared" si="47"/>
        <v>65.552944953043053</v>
      </c>
      <c r="KG32" s="7"/>
      <c r="KH32" s="9"/>
      <c r="KJ32" s="9"/>
    </row>
    <row r="33" spans="1:296" x14ac:dyDescent="0.2">
      <c r="A33" s="27" t="s">
        <v>36</v>
      </c>
      <c r="B33" s="13">
        <f t="shared" si="20"/>
        <v>123965</v>
      </c>
      <c r="C33" s="13">
        <f t="shared" si="33"/>
        <v>121017.9</v>
      </c>
      <c r="D33" s="14">
        <f t="shared" si="34"/>
        <v>97.622635421288265</v>
      </c>
      <c r="E33" s="18">
        <v>123965</v>
      </c>
      <c r="F33" s="19">
        <v>121017.9</v>
      </c>
      <c r="G33" s="19">
        <f t="shared" si="0"/>
        <v>97.622635421288251</v>
      </c>
      <c r="H33" s="18">
        <v>0</v>
      </c>
      <c r="I33" s="19">
        <v>0</v>
      </c>
      <c r="J33" s="19" t="s">
        <v>56</v>
      </c>
      <c r="K33" s="19">
        <v>0</v>
      </c>
      <c r="L33" s="19">
        <v>0</v>
      </c>
      <c r="M33" s="19" t="s">
        <v>56</v>
      </c>
      <c r="N33" s="13">
        <f t="shared" si="35"/>
        <v>160823.80000000002</v>
      </c>
      <c r="O33" s="13">
        <f t="shared" si="36"/>
        <v>36401.799999999996</v>
      </c>
      <c r="P33" s="14">
        <f t="shared" si="21"/>
        <v>22.634585179556751</v>
      </c>
      <c r="Q33" s="19">
        <v>59540.9</v>
      </c>
      <c r="R33" s="19">
        <v>12882.5</v>
      </c>
      <c r="S33" s="19">
        <f t="shared" si="37"/>
        <v>21.636387760346249</v>
      </c>
      <c r="T33" s="18">
        <v>0</v>
      </c>
      <c r="U33" s="19">
        <v>0</v>
      </c>
      <c r="V33" s="19" t="s">
        <v>56</v>
      </c>
      <c r="W33" s="18">
        <v>0</v>
      </c>
      <c r="X33" s="19">
        <v>0</v>
      </c>
      <c r="Y33" s="19" t="s">
        <v>56</v>
      </c>
      <c r="Z33" s="18">
        <v>0</v>
      </c>
      <c r="AA33" s="19">
        <v>0</v>
      </c>
      <c r="AB33" s="19" t="s">
        <v>56</v>
      </c>
      <c r="AC33" s="18">
        <v>0</v>
      </c>
      <c r="AD33" s="19">
        <v>0</v>
      </c>
      <c r="AE33" s="19" t="s">
        <v>56</v>
      </c>
      <c r="AF33" s="18">
        <v>0</v>
      </c>
      <c r="AG33" s="19">
        <v>0</v>
      </c>
      <c r="AH33" s="19" t="s">
        <v>56</v>
      </c>
      <c r="AI33" s="18">
        <v>0</v>
      </c>
      <c r="AJ33" s="18">
        <v>0</v>
      </c>
      <c r="AK33" s="19" t="s">
        <v>56</v>
      </c>
      <c r="AL33" s="19">
        <v>3545.9</v>
      </c>
      <c r="AM33" s="19">
        <v>657.4</v>
      </c>
      <c r="AN33" s="19">
        <f t="shared" si="2"/>
        <v>18.539721932372597</v>
      </c>
      <c r="AO33" s="19">
        <v>0</v>
      </c>
      <c r="AP33" s="19">
        <v>0</v>
      </c>
      <c r="AQ33" s="19" t="s">
        <v>56</v>
      </c>
      <c r="AR33" s="19">
        <v>0</v>
      </c>
      <c r="AS33" s="19">
        <v>0</v>
      </c>
      <c r="AT33" s="19" t="s">
        <v>56</v>
      </c>
      <c r="AU33" s="18">
        <v>445.4</v>
      </c>
      <c r="AV33" s="19">
        <f>445.4</f>
        <v>445.4</v>
      </c>
      <c r="AW33" s="19">
        <f t="shared" si="48"/>
        <v>100</v>
      </c>
      <c r="AX33" s="19">
        <v>9770.2000000000007</v>
      </c>
      <c r="AY33" s="19">
        <v>2442.5</v>
      </c>
      <c r="AZ33" s="19">
        <f t="shared" si="38"/>
        <v>24.999488239749439</v>
      </c>
      <c r="BA33" s="18">
        <v>0</v>
      </c>
      <c r="BB33" s="19">
        <v>0</v>
      </c>
      <c r="BC33" s="19" t="s">
        <v>56</v>
      </c>
      <c r="BD33" s="18">
        <v>0</v>
      </c>
      <c r="BE33" s="19">
        <v>0</v>
      </c>
      <c r="BF33" s="19" t="s">
        <v>56</v>
      </c>
      <c r="BG33" s="18">
        <v>0</v>
      </c>
      <c r="BH33" s="19">
        <v>0</v>
      </c>
      <c r="BI33" s="19" t="s">
        <v>56</v>
      </c>
      <c r="BJ33" s="18">
        <v>0</v>
      </c>
      <c r="BK33" s="19">
        <v>0</v>
      </c>
      <c r="BL33" s="19" t="s">
        <v>56</v>
      </c>
      <c r="BM33" s="18">
        <v>0</v>
      </c>
      <c r="BN33" s="19">
        <v>0</v>
      </c>
      <c r="BO33" s="19" t="s">
        <v>56</v>
      </c>
      <c r="BP33" s="18">
        <v>0</v>
      </c>
      <c r="BQ33" s="19">
        <v>0</v>
      </c>
      <c r="BR33" s="19" t="s">
        <v>56</v>
      </c>
      <c r="BS33" s="18">
        <v>0</v>
      </c>
      <c r="BT33" s="19">
        <v>0</v>
      </c>
      <c r="BU33" s="19" t="s">
        <v>56</v>
      </c>
      <c r="BV33" s="18">
        <v>0</v>
      </c>
      <c r="BW33" s="19">
        <v>0</v>
      </c>
      <c r="BX33" s="19" t="s">
        <v>56</v>
      </c>
      <c r="BY33" s="19">
        <v>152.80000000000001</v>
      </c>
      <c r="BZ33" s="19">
        <v>72</v>
      </c>
      <c r="CA33" s="19">
        <f t="shared" si="50"/>
        <v>47.120418848167532</v>
      </c>
      <c r="CB33" s="18">
        <f>610.5</f>
        <v>610.5</v>
      </c>
      <c r="CC33" s="18">
        <f>610.5</f>
        <v>610.5</v>
      </c>
      <c r="CD33" s="34">
        <v>100</v>
      </c>
      <c r="CE33" s="18">
        <v>985.2</v>
      </c>
      <c r="CF33" s="18">
        <v>724.1</v>
      </c>
      <c r="CG33" s="34">
        <f t="shared" si="22"/>
        <v>73.497766950872929</v>
      </c>
      <c r="CH33" s="34">
        <v>0</v>
      </c>
      <c r="CI33" s="34">
        <v>0</v>
      </c>
      <c r="CJ33" s="34" t="s">
        <v>56</v>
      </c>
      <c r="CK33" s="18">
        <v>10965.3</v>
      </c>
      <c r="CL33" s="18">
        <v>0</v>
      </c>
      <c r="CM33" s="34">
        <v>0</v>
      </c>
      <c r="CN33" s="18">
        <v>2119.6</v>
      </c>
      <c r="CO33" s="34">
        <v>2119.6</v>
      </c>
      <c r="CP33" s="34">
        <f t="shared" si="4"/>
        <v>100</v>
      </c>
      <c r="CQ33" s="34">
        <v>249.6</v>
      </c>
      <c r="CR33" s="34">
        <v>0</v>
      </c>
      <c r="CS33" s="34">
        <v>0</v>
      </c>
      <c r="CT33" s="34">
        <v>181</v>
      </c>
      <c r="CU33" s="34">
        <v>181</v>
      </c>
      <c r="CV33" s="34">
        <v>100</v>
      </c>
      <c r="CW33" s="34">
        <v>17158.2</v>
      </c>
      <c r="CX33" s="34">
        <v>5207.3</v>
      </c>
      <c r="CY33" s="34">
        <f t="shared" si="23"/>
        <v>30.348754531361099</v>
      </c>
      <c r="CZ33" s="34">
        <v>2035.7</v>
      </c>
      <c r="DA33" s="34">
        <v>0</v>
      </c>
      <c r="DB33" s="34">
        <f t="shared" si="49"/>
        <v>0</v>
      </c>
      <c r="DC33" s="34">
        <v>0</v>
      </c>
      <c r="DD33" s="34">
        <v>0</v>
      </c>
      <c r="DE33" s="35" t="s">
        <v>56</v>
      </c>
      <c r="DF33" s="34">
        <v>0</v>
      </c>
      <c r="DG33" s="34">
        <v>0</v>
      </c>
      <c r="DH33" s="34" t="s">
        <v>56</v>
      </c>
      <c r="DI33" s="34">
        <v>0</v>
      </c>
      <c r="DJ33" s="34">
        <v>0</v>
      </c>
      <c r="DK33" s="34" t="s">
        <v>56</v>
      </c>
      <c r="DL33" s="34">
        <v>44161.5</v>
      </c>
      <c r="DM33" s="34">
        <v>11059.5</v>
      </c>
      <c r="DN33" s="34">
        <f t="shared" si="24"/>
        <v>25.043306952888827</v>
      </c>
      <c r="DO33" s="34">
        <v>0</v>
      </c>
      <c r="DP33" s="34">
        <v>0</v>
      </c>
      <c r="DQ33" s="34" t="s">
        <v>56</v>
      </c>
      <c r="DR33" s="34">
        <v>0</v>
      </c>
      <c r="DS33" s="34">
        <v>0</v>
      </c>
      <c r="DT33" s="34" t="s">
        <v>56</v>
      </c>
      <c r="DU33" s="34">
        <v>0</v>
      </c>
      <c r="DV33" s="34">
        <v>0</v>
      </c>
      <c r="DW33" s="34" t="s">
        <v>56</v>
      </c>
      <c r="DX33" s="34">
        <v>0</v>
      </c>
      <c r="DY33" s="34">
        <v>0</v>
      </c>
      <c r="DZ33" s="34" t="s">
        <v>56</v>
      </c>
      <c r="EA33" s="18">
        <v>8902</v>
      </c>
      <c r="EB33" s="19">
        <v>0</v>
      </c>
      <c r="EC33" s="34">
        <f>EB33/EA33%</f>
        <v>0</v>
      </c>
      <c r="ED33" s="18">
        <v>0</v>
      </c>
      <c r="EE33" s="19">
        <v>0</v>
      </c>
      <c r="EF33" s="34" t="s">
        <v>56</v>
      </c>
      <c r="EG33" s="13">
        <f t="shared" si="5"/>
        <v>296599.10000000003</v>
      </c>
      <c r="EH33" s="13">
        <f t="shared" si="6"/>
        <v>220568.30000000005</v>
      </c>
      <c r="EI33" s="14">
        <f t="shared" si="40"/>
        <v>74.365802188880551</v>
      </c>
      <c r="EJ33" s="36">
        <v>3020.4</v>
      </c>
      <c r="EK33" s="36">
        <v>2060</v>
      </c>
      <c r="EL33" s="19">
        <f t="shared" si="7"/>
        <v>68.202887034829828</v>
      </c>
      <c r="EM33" s="36">
        <v>0</v>
      </c>
      <c r="EN33" s="19">
        <v>0</v>
      </c>
      <c r="EO33" s="19" t="s">
        <v>56</v>
      </c>
      <c r="EP33" s="36">
        <v>0</v>
      </c>
      <c r="EQ33" s="19">
        <v>0</v>
      </c>
      <c r="ER33" s="19" t="s">
        <v>56</v>
      </c>
      <c r="ES33" s="36">
        <v>70987.899999999994</v>
      </c>
      <c r="ET33" s="19">
        <v>48158.7</v>
      </c>
      <c r="EU33" s="19">
        <v>67.84071651647676</v>
      </c>
      <c r="EV33" s="34">
        <v>187125</v>
      </c>
      <c r="EW33" s="34">
        <v>147859.20000000001</v>
      </c>
      <c r="EX33" s="35">
        <v>79.016272545090189</v>
      </c>
      <c r="EY33" s="36">
        <v>8056.7</v>
      </c>
      <c r="EZ33" s="34">
        <v>3702.7</v>
      </c>
      <c r="FA33" s="34">
        <f t="shared" si="25"/>
        <v>45.958022515421952</v>
      </c>
      <c r="FB33" s="36">
        <v>1590.1</v>
      </c>
      <c r="FC33" s="19">
        <v>1210.9000000000001</v>
      </c>
      <c r="FD33" s="19">
        <f t="shared" si="11"/>
        <v>76.152443242563365</v>
      </c>
      <c r="FE33" s="36">
        <v>0</v>
      </c>
      <c r="FF33" s="19">
        <v>0</v>
      </c>
      <c r="FG33" s="19" t="s">
        <v>56</v>
      </c>
      <c r="FH33" s="36">
        <v>0</v>
      </c>
      <c r="FI33" s="19">
        <v>0</v>
      </c>
      <c r="FJ33" s="19" t="s">
        <v>56</v>
      </c>
      <c r="FK33" s="36">
        <v>0</v>
      </c>
      <c r="FL33" s="19">
        <v>0</v>
      </c>
      <c r="FM33" s="19" t="s">
        <v>56</v>
      </c>
      <c r="FN33" s="36">
        <v>210</v>
      </c>
      <c r="FO33" s="19">
        <v>157.5</v>
      </c>
      <c r="FP33" s="19">
        <f t="shared" si="13"/>
        <v>75</v>
      </c>
      <c r="FQ33" s="36">
        <v>8.1999999999999993</v>
      </c>
      <c r="FR33" s="19">
        <v>0</v>
      </c>
      <c r="FS33" s="19">
        <f t="shared" si="14"/>
        <v>0</v>
      </c>
      <c r="FT33" s="36">
        <v>95.5</v>
      </c>
      <c r="FU33" s="19">
        <v>42.6</v>
      </c>
      <c r="FV33" s="19">
        <f t="shared" si="41"/>
        <v>44.607329842931939</v>
      </c>
      <c r="FW33" s="36">
        <v>0</v>
      </c>
      <c r="FX33" s="19">
        <v>0</v>
      </c>
      <c r="FY33" s="19" t="s">
        <v>56</v>
      </c>
      <c r="FZ33" s="36">
        <v>579.9</v>
      </c>
      <c r="GA33" s="19">
        <v>407.5</v>
      </c>
      <c r="GB33" s="19">
        <f t="shared" si="15"/>
        <v>70.270736333850664</v>
      </c>
      <c r="GC33" s="36">
        <v>419.8</v>
      </c>
      <c r="GD33" s="19">
        <v>413.8</v>
      </c>
      <c r="GE33" s="19">
        <f t="shared" si="16"/>
        <v>98.570747975226297</v>
      </c>
      <c r="GF33" s="36">
        <v>0</v>
      </c>
      <c r="GG33" s="19">
        <v>0</v>
      </c>
      <c r="GH33" s="19" t="s">
        <v>56</v>
      </c>
      <c r="GI33" s="37">
        <v>0</v>
      </c>
      <c r="GJ33" s="19">
        <v>0</v>
      </c>
      <c r="GK33" s="19" t="s">
        <v>56</v>
      </c>
      <c r="GL33" s="37">
        <v>2053.1999999999998</v>
      </c>
      <c r="GM33" s="19">
        <v>1460.6</v>
      </c>
      <c r="GN33" s="19">
        <f t="shared" si="17"/>
        <v>71.13773621663745</v>
      </c>
      <c r="GO33" s="36">
        <v>0</v>
      </c>
      <c r="GP33" s="36">
        <v>0</v>
      </c>
      <c r="GQ33" s="19" t="s">
        <v>56</v>
      </c>
      <c r="GR33" s="36">
        <v>0</v>
      </c>
      <c r="GS33" s="19">
        <v>0</v>
      </c>
      <c r="GT33" s="19" t="s">
        <v>56</v>
      </c>
      <c r="GU33" s="36">
        <v>495.7</v>
      </c>
      <c r="GV33" s="19">
        <v>177.7</v>
      </c>
      <c r="GW33" s="19">
        <f t="shared" si="57"/>
        <v>35.848295339923339</v>
      </c>
      <c r="GX33" s="36">
        <v>0</v>
      </c>
      <c r="GY33" s="19">
        <v>0</v>
      </c>
      <c r="GZ33" s="19" t="s">
        <v>56</v>
      </c>
      <c r="HA33" s="36">
        <v>399.8</v>
      </c>
      <c r="HB33" s="19">
        <v>0</v>
      </c>
      <c r="HC33" s="19">
        <v>0</v>
      </c>
      <c r="HD33" s="19">
        <v>17422.900000000001</v>
      </c>
      <c r="HE33" s="19">
        <v>11645.4</v>
      </c>
      <c r="HF33" s="38">
        <f t="shared" si="26"/>
        <v>66.839619121960169</v>
      </c>
      <c r="HG33" s="36">
        <v>4134</v>
      </c>
      <c r="HH33" s="19">
        <v>3271.7</v>
      </c>
      <c r="HI33" s="19">
        <f t="shared" si="27"/>
        <v>79.14126753749396</v>
      </c>
      <c r="HJ33" s="17">
        <f t="shared" si="28"/>
        <v>50558.3</v>
      </c>
      <c r="HK33" s="17">
        <f t="shared" si="29"/>
        <v>7884</v>
      </c>
      <c r="HL33" s="16">
        <f t="shared" si="30"/>
        <v>15.593878749878851</v>
      </c>
      <c r="HM33" s="34">
        <v>7968.2</v>
      </c>
      <c r="HN33" s="34">
        <v>0</v>
      </c>
      <c r="HO33" s="35">
        <f t="shared" si="42"/>
        <v>0</v>
      </c>
      <c r="HP33" s="35">
        <v>0</v>
      </c>
      <c r="HQ33" s="35">
        <v>0</v>
      </c>
      <c r="HR33" s="35" t="s">
        <v>56</v>
      </c>
      <c r="HS33" s="35">
        <v>7310</v>
      </c>
      <c r="HT33" s="35">
        <v>0</v>
      </c>
      <c r="HU33" s="35">
        <f t="shared" si="43"/>
        <v>0</v>
      </c>
      <c r="HV33" s="35">
        <v>0</v>
      </c>
      <c r="HW33" s="35">
        <v>0</v>
      </c>
      <c r="HX33" s="35" t="s">
        <v>56</v>
      </c>
      <c r="HY33" s="34">
        <v>0</v>
      </c>
      <c r="HZ33" s="34">
        <v>0</v>
      </c>
      <c r="IA33" s="34" t="s">
        <v>56</v>
      </c>
      <c r="IB33" s="34">
        <v>134</v>
      </c>
      <c r="IC33" s="34">
        <v>134</v>
      </c>
      <c r="ID33" s="35">
        <f t="shared" si="31"/>
        <v>100</v>
      </c>
      <c r="IE33" s="34">
        <v>0</v>
      </c>
      <c r="IF33" s="34">
        <v>0</v>
      </c>
      <c r="IG33" s="35" t="s">
        <v>56</v>
      </c>
      <c r="IH33" s="20">
        <v>9135.7999999999993</v>
      </c>
      <c r="II33" s="19">
        <v>0</v>
      </c>
      <c r="IJ33" s="19">
        <f t="shared" si="32"/>
        <v>0</v>
      </c>
      <c r="IK33" s="18">
        <v>0</v>
      </c>
      <c r="IL33" s="18">
        <v>0</v>
      </c>
      <c r="IM33" s="18" t="s">
        <v>56</v>
      </c>
      <c r="IN33" s="19">
        <v>0</v>
      </c>
      <c r="IO33" s="19">
        <v>0</v>
      </c>
      <c r="IP33" s="19" t="s">
        <v>56</v>
      </c>
      <c r="IQ33" s="19">
        <v>17577.5</v>
      </c>
      <c r="IR33" s="19">
        <v>7672.5</v>
      </c>
      <c r="IS33" s="21">
        <f t="shared" si="53"/>
        <v>43.649551984070541</v>
      </c>
      <c r="IT33" s="19">
        <v>0</v>
      </c>
      <c r="IU33" s="19">
        <v>0</v>
      </c>
      <c r="IV33" s="21" t="s">
        <v>56</v>
      </c>
      <c r="IW33" s="19">
        <v>0</v>
      </c>
      <c r="IX33" s="19">
        <v>0</v>
      </c>
      <c r="IY33" s="19" t="s">
        <v>56</v>
      </c>
      <c r="IZ33" s="19">
        <v>0</v>
      </c>
      <c r="JA33" s="19">
        <v>0</v>
      </c>
      <c r="JB33" s="21" t="s">
        <v>56</v>
      </c>
      <c r="JC33" s="19">
        <v>8432.7999999999993</v>
      </c>
      <c r="JD33" s="19">
        <v>77.5</v>
      </c>
      <c r="JE33" s="19">
        <f>(JD33/JC33)*100</f>
        <v>0.91903045251873638</v>
      </c>
      <c r="JF33" s="19">
        <v>0</v>
      </c>
      <c r="JG33" s="19">
        <v>0</v>
      </c>
      <c r="JH33" s="25" t="s">
        <v>56</v>
      </c>
      <c r="JI33" s="23">
        <v>0</v>
      </c>
      <c r="JJ33" s="19">
        <v>0</v>
      </c>
      <c r="JK33" s="25" t="s">
        <v>56</v>
      </c>
      <c r="JL33" s="19">
        <v>0</v>
      </c>
      <c r="JM33" s="19">
        <v>0</v>
      </c>
      <c r="JN33" s="21" t="s">
        <v>56</v>
      </c>
      <c r="JO33" s="19">
        <v>0</v>
      </c>
      <c r="JP33" s="19">
        <v>0</v>
      </c>
      <c r="JQ33" s="19" t="s">
        <v>56</v>
      </c>
      <c r="JR33" s="19">
        <v>0</v>
      </c>
      <c r="JS33" s="19">
        <v>0</v>
      </c>
      <c r="JT33" s="19" t="s">
        <v>56</v>
      </c>
      <c r="JU33" s="19">
        <v>0</v>
      </c>
      <c r="JV33" s="19">
        <v>0</v>
      </c>
      <c r="JW33" s="21" t="s">
        <v>56</v>
      </c>
      <c r="JX33" s="21">
        <v>0</v>
      </c>
      <c r="JY33" s="21">
        <v>0</v>
      </c>
      <c r="JZ33" s="21" t="s">
        <v>56</v>
      </c>
      <c r="KA33" s="21">
        <v>0</v>
      </c>
      <c r="KB33" s="21">
        <v>0</v>
      </c>
      <c r="KC33" s="21" t="s">
        <v>56</v>
      </c>
      <c r="KD33" s="14">
        <f t="shared" si="45"/>
        <v>631946.20000000019</v>
      </c>
      <c r="KE33" s="14">
        <f t="shared" si="46"/>
        <v>385872</v>
      </c>
      <c r="KF33" s="14">
        <f t="shared" si="47"/>
        <v>61.060894107757882</v>
      </c>
      <c r="KG33" s="7"/>
      <c r="KH33" s="9"/>
      <c r="KJ33" s="9"/>
    </row>
    <row r="34" spans="1:296" x14ac:dyDescent="0.2">
      <c r="A34" s="27" t="s">
        <v>37</v>
      </c>
      <c r="B34" s="13">
        <f t="shared" si="20"/>
        <v>193094</v>
      </c>
      <c r="C34" s="13">
        <f t="shared" si="33"/>
        <v>124473.8</v>
      </c>
      <c r="D34" s="14">
        <f t="shared" si="34"/>
        <v>64.462800501310241</v>
      </c>
      <c r="E34" s="18">
        <v>193094</v>
      </c>
      <c r="F34" s="19">
        <v>124473.8</v>
      </c>
      <c r="G34" s="19">
        <f t="shared" si="0"/>
        <v>64.462800501310241</v>
      </c>
      <c r="H34" s="18">
        <v>0</v>
      </c>
      <c r="I34" s="19">
        <v>0</v>
      </c>
      <c r="J34" s="19" t="s">
        <v>56</v>
      </c>
      <c r="K34" s="19">
        <v>0</v>
      </c>
      <c r="L34" s="19">
        <v>0</v>
      </c>
      <c r="M34" s="19" t="s">
        <v>56</v>
      </c>
      <c r="N34" s="13">
        <f t="shared" si="35"/>
        <v>185197.19422999999</v>
      </c>
      <c r="O34" s="13">
        <f t="shared" si="36"/>
        <v>91694.7</v>
      </c>
      <c r="P34" s="14">
        <f t="shared" si="21"/>
        <v>49.511927208855319</v>
      </c>
      <c r="Q34" s="19">
        <v>22348.9</v>
      </c>
      <c r="R34" s="19">
        <v>3950.2</v>
      </c>
      <c r="S34" s="19">
        <f t="shared" si="37"/>
        <v>17.675142848193868</v>
      </c>
      <c r="T34" s="18">
        <v>0</v>
      </c>
      <c r="U34" s="19">
        <v>0</v>
      </c>
      <c r="V34" s="19" t="s">
        <v>56</v>
      </c>
      <c r="W34" s="18">
        <v>7742.3</v>
      </c>
      <c r="X34" s="19">
        <v>7742.3</v>
      </c>
      <c r="Y34" s="19">
        <f t="shared" si="1"/>
        <v>100</v>
      </c>
      <c r="Z34" s="18">
        <f>1020.2</f>
        <v>1020.2</v>
      </c>
      <c r="AA34" s="19">
        <v>1020.2</v>
      </c>
      <c r="AB34" s="19">
        <f>(AA34/Z34)*100</f>
        <v>100</v>
      </c>
      <c r="AC34" s="18">
        <v>0</v>
      </c>
      <c r="AD34" s="19">
        <v>0</v>
      </c>
      <c r="AE34" s="19" t="s">
        <v>56</v>
      </c>
      <c r="AF34" s="18">
        <v>0</v>
      </c>
      <c r="AG34" s="19">
        <v>0</v>
      </c>
      <c r="AH34" s="19" t="s">
        <v>56</v>
      </c>
      <c r="AI34" s="18">
        <v>0</v>
      </c>
      <c r="AJ34" s="18">
        <v>0</v>
      </c>
      <c r="AK34" s="19" t="s">
        <v>56</v>
      </c>
      <c r="AL34" s="19">
        <v>10002.200000000001</v>
      </c>
      <c r="AM34" s="19">
        <v>5295</v>
      </c>
      <c r="AN34" s="19">
        <f t="shared" si="2"/>
        <v>52.938353562216307</v>
      </c>
      <c r="AO34" s="19">
        <f>13576</f>
        <v>13576</v>
      </c>
      <c r="AP34" s="19">
        <v>6788</v>
      </c>
      <c r="AQ34" s="19">
        <f>(AP34/AO34)*100</f>
        <v>50</v>
      </c>
      <c r="AR34" s="19">
        <f>374240/1000</f>
        <v>374.24</v>
      </c>
      <c r="AS34" s="19">
        <v>370.5</v>
      </c>
      <c r="AT34" s="19">
        <f>(AS34/AR34)*100</f>
        <v>99.000641299700717</v>
      </c>
      <c r="AU34" s="18">
        <v>445.4</v>
      </c>
      <c r="AV34" s="19">
        <f>445.4</f>
        <v>445.4</v>
      </c>
      <c r="AW34" s="19">
        <f t="shared" si="48"/>
        <v>100</v>
      </c>
      <c r="AX34" s="19">
        <v>11842</v>
      </c>
      <c r="AY34" s="19">
        <v>2960.5</v>
      </c>
      <c r="AZ34" s="19">
        <f t="shared" si="38"/>
        <v>25</v>
      </c>
      <c r="BA34" s="18">
        <v>0</v>
      </c>
      <c r="BB34" s="19">
        <v>0</v>
      </c>
      <c r="BC34" s="19" t="s">
        <v>56</v>
      </c>
      <c r="BD34" s="18">
        <v>0</v>
      </c>
      <c r="BE34" s="19">
        <v>0</v>
      </c>
      <c r="BF34" s="19" t="s">
        <v>56</v>
      </c>
      <c r="BG34" s="18">
        <f>100654.23/1000</f>
        <v>100.65423</v>
      </c>
      <c r="BH34" s="19">
        <f>100.7</f>
        <v>100.7</v>
      </c>
      <c r="BI34" s="19">
        <f t="shared" si="3"/>
        <v>100.04547250522904</v>
      </c>
      <c r="BJ34" s="18">
        <v>0</v>
      </c>
      <c r="BK34" s="19">
        <v>0</v>
      </c>
      <c r="BL34" s="19" t="s">
        <v>56</v>
      </c>
      <c r="BM34" s="18">
        <v>0</v>
      </c>
      <c r="BN34" s="19">
        <v>0</v>
      </c>
      <c r="BO34" s="19" t="s">
        <v>56</v>
      </c>
      <c r="BP34" s="18">
        <v>0</v>
      </c>
      <c r="BQ34" s="19">
        <v>0</v>
      </c>
      <c r="BR34" s="19" t="s">
        <v>56</v>
      </c>
      <c r="BS34" s="18">
        <v>0</v>
      </c>
      <c r="BT34" s="19">
        <v>0</v>
      </c>
      <c r="BU34" s="19" t="s">
        <v>56</v>
      </c>
      <c r="BV34" s="18">
        <v>0</v>
      </c>
      <c r="BW34" s="19">
        <v>0</v>
      </c>
      <c r="BX34" s="19" t="s">
        <v>56</v>
      </c>
      <c r="BY34" s="19">
        <v>3335.4</v>
      </c>
      <c r="BZ34" s="19">
        <v>3141.1</v>
      </c>
      <c r="CA34" s="19">
        <f t="shared" si="50"/>
        <v>94.174611740720749</v>
      </c>
      <c r="CB34" s="18">
        <v>0</v>
      </c>
      <c r="CC34" s="18">
        <v>0</v>
      </c>
      <c r="CD34" s="34" t="s">
        <v>56</v>
      </c>
      <c r="CE34" s="18">
        <v>1817.8</v>
      </c>
      <c r="CF34" s="18">
        <v>1169.5</v>
      </c>
      <c r="CG34" s="34">
        <f t="shared" si="22"/>
        <v>64.336010562218064</v>
      </c>
      <c r="CH34" s="34">
        <v>0</v>
      </c>
      <c r="CI34" s="34">
        <v>0</v>
      </c>
      <c r="CJ34" s="34" t="s">
        <v>56</v>
      </c>
      <c r="CK34" s="18">
        <v>2500</v>
      </c>
      <c r="CL34" s="18">
        <v>0</v>
      </c>
      <c r="CM34" s="34">
        <v>0</v>
      </c>
      <c r="CN34" s="18">
        <v>5565.5</v>
      </c>
      <c r="CO34" s="34">
        <f>1570.8+4417.8+610.5-422.9-610.7</f>
        <v>5565.5000000000009</v>
      </c>
      <c r="CP34" s="34">
        <f t="shared" si="4"/>
        <v>100.00000000000001</v>
      </c>
      <c r="CQ34" s="34">
        <v>285.5</v>
      </c>
      <c r="CR34" s="34">
        <v>0</v>
      </c>
      <c r="CS34" s="34">
        <v>0</v>
      </c>
      <c r="CT34" s="34">
        <v>0</v>
      </c>
      <c r="CU34" s="34">
        <v>0</v>
      </c>
      <c r="CV34" s="34" t="s">
        <v>56</v>
      </c>
      <c r="CW34" s="34">
        <v>13624.5</v>
      </c>
      <c r="CX34" s="34">
        <v>5863.2</v>
      </c>
      <c r="CY34" s="34">
        <f t="shared" si="23"/>
        <v>43.034239788616098</v>
      </c>
      <c r="CZ34" s="34">
        <v>2035.7</v>
      </c>
      <c r="DA34" s="34">
        <v>313.89999999999998</v>
      </c>
      <c r="DB34" s="34">
        <f t="shared" si="49"/>
        <v>15.419757331630397</v>
      </c>
      <c r="DC34" s="34">
        <v>11546.5</v>
      </c>
      <c r="DD34" s="34">
        <v>0</v>
      </c>
      <c r="DE34" s="35">
        <f>(DD34/DC34)*100</f>
        <v>0</v>
      </c>
      <c r="DF34" s="34">
        <v>12867.3</v>
      </c>
      <c r="DG34" s="34">
        <v>0</v>
      </c>
      <c r="DH34" s="34">
        <f>DG34/DF34%</f>
        <v>0</v>
      </c>
      <c r="DI34" s="34">
        <v>0</v>
      </c>
      <c r="DJ34" s="34">
        <v>0</v>
      </c>
      <c r="DK34" s="34" t="s">
        <v>56</v>
      </c>
      <c r="DL34" s="34">
        <v>52601.1</v>
      </c>
      <c r="DM34" s="34">
        <v>37008.199999999997</v>
      </c>
      <c r="DN34" s="34">
        <f t="shared" si="24"/>
        <v>70.356323346850161</v>
      </c>
      <c r="DO34" s="34">
        <v>0</v>
      </c>
      <c r="DP34" s="34">
        <v>0</v>
      </c>
      <c r="DQ34" s="34" t="s">
        <v>56</v>
      </c>
      <c r="DR34" s="34">
        <v>0</v>
      </c>
      <c r="DS34" s="34">
        <v>0</v>
      </c>
      <c r="DT34" s="34" t="s">
        <v>56</v>
      </c>
      <c r="DU34" s="34">
        <v>6566</v>
      </c>
      <c r="DV34" s="34">
        <v>5274.1</v>
      </c>
      <c r="DW34" s="34">
        <f>(DV34/DU34)*100</f>
        <v>80.324398416082857</v>
      </c>
      <c r="DX34" s="34">
        <v>0</v>
      </c>
      <c r="DY34" s="34">
        <v>0</v>
      </c>
      <c r="DZ34" s="34" t="s">
        <v>56</v>
      </c>
      <c r="EA34" s="18">
        <v>5000</v>
      </c>
      <c r="EB34" s="19">
        <v>4686.3999999999996</v>
      </c>
      <c r="EC34" s="34">
        <f>EB34/EA34%</f>
        <v>93.727999999999994</v>
      </c>
      <c r="ED34" s="18">
        <v>0</v>
      </c>
      <c r="EE34" s="19">
        <v>0</v>
      </c>
      <c r="EF34" s="34" t="s">
        <v>56</v>
      </c>
      <c r="EG34" s="13">
        <f t="shared" si="5"/>
        <v>454816.13699999993</v>
      </c>
      <c r="EH34" s="13">
        <f t="shared" si="6"/>
        <v>319397.80000000005</v>
      </c>
      <c r="EI34" s="14">
        <f t="shared" si="40"/>
        <v>70.225696499418646</v>
      </c>
      <c r="EJ34" s="36">
        <v>3982.5</v>
      </c>
      <c r="EK34" s="36">
        <v>2001.7</v>
      </c>
      <c r="EL34" s="19">
        <f t="shared" si="7"/>
        <v>50.26239799121155</v>
      </c>
      <c r="EM34" s="36">
        <v>0</v>
      </c>
      <c r="EN34" s="19">
        <v>0</v>
      </c>
      <c r="EO34" s="19" t="s">
        <v>56</v>
      </c>
      <c r="EP34" s="36">
        <f>1337/1000</f>
        <v>1.337</v>
      </c>
      <c r="EQ34" s="19">
        <v>0</v>
      </c>
      <c r="ER34" s="19">
        <f t="shared" si="10"/>
        <v>0</v>
      </c>
      <c r="ES34" s="36">
        <v>130085.3</v>
      </c>
      <c r="ET34" s="19">
        <v>70191.8</v>
      </c>
      <c r="EU34" s="19">
        <v>53.958287369902671</v>
      </c>
      <c r="EV34" s="34">
        <v>276007.40000000002</v>
      </c>
      <c r="EW34" s="34">
        <v>221098.4</v>
      </c>
      <c r="EX34" s="35">
        <v>80.105968173317095</v>
      </c>
      <c r="EY34" s="36">
        <v>10023.799999999999</v>
      </c>
      <c r="EZ34" s="34">
        <v>4996.8999999999996</v>
      </c>
      <c r="FA34" s="34">
        <f t="shared" si="25"/>
        <v>49.850356152357385</v>
      </c>
      <c r="FB34" s="36">
        <v>1633.4</v>
      </c>
      <c r="FC34" s="19">
        <v>0</v>
      </c>
      <c r="FD34" s="19">
        <f t="shared" si="11"/>
        <v>0</v>
      </c>
      <c r="FE34" s="36">
        <v>0</v>
      </c>
      <c r="FF34" s="19">
        <v>0</v>
      </c>
      <c r="FG34" s="19" t="s">
        <v>56</v>
      </c>
      <c r="FH34" s="36">
        <v>0</v>
      </c>
      <c r="FI34" s="19">
        <v>0</v>
      </c>
      <c r="FJ34" s="19" t="s">
        <v>56</v>
      </c>
      <c r="FK34" s="36">
        <v>3021.5</v>
      </c>
      <c r="FL34" s="19">
        <v>1870.9</v>
      </c>
      <c r="FM34" s="19">
        <f t="shared" si="12"/>
        <v>61.919576369352974</v>
      </c>
      <c r="FN34" s="36">
        <v>315</v>
      </c>
      <c r="FO34" s="19">
        <v>236.7</v>
      </c>
      <c r="FP34" s="19">
        <f t="shared" si="13"/>
        <v>75.142857142857139</v>
      </c>
      <c r="FQ34" s="36">
        <v>3.3</v>
      </c>
      <c r="FR34" s="19">
        <v>0.8</v>
      </c>
      <c r="FS34" s="19">
        <f t="shared" si="14"/>
        <v>24.242424242424242</v>
      </c>
      <c r="FT34" s="36">
        <v>127.3</v>
      </c>
      <c r="FU34" s="19">
        <v>56</v>
      </c>
      <c r="FV34" s="19">
        <f t="shared" si="41"/>
        <v>43.990573448546741</v>
      </c>
      <c r="FW34" s="36">
        <v>1</v>
      </c>
      <c r="FX34" s="19">
        <v>0</v>
      </c>
      <c r="FY34" s="19">
        <f>FX34/FW34%</f>
        <v>0</v>
      </c>
      <c r="FZ34" s="36">
        <v>650.6</v>
      </c>
      <c r="GA34" s="19">
        <v>411.6</v>
      </c>
      <c r="GB34" s="19">
        <f t="shared" si="15"/>
        <v>63.264678758069479</v>
      </c>
      <c r="GC34" s="36">
        <v>467.6</v>
      </c>
      <c r="GD34" s="19">
        <v>393</v>
      </c>
      <c r="GE34" s="19">
        <f t="shared" si="16"/>
        <v>84.046193327630448</v>
      </c>
      <c r="GF34" s="36">
        <v>0</v>
      </c>
      <c r="GG34" s="19">
        <v>0</v>
      </c>
      <c r="GH34" s="19" t="s">
        <v>56</v>
      </c>
      <c r="GI34" s="37">
        <v>0</v>
      </c>
      <c r="GJ34" s="19">
        <v>0</v>
      </c>
      <c r="GK34" s="19" t="s">
        <v>56</v>
      </c>
      <c r="GL34" s="37">
        <v>2918</v>
      </c>
      <c r="GM34" s="19">
        <v>1923</v>
      </c>
      <c r="GN34" s="19">
        <f t="shared" si="17"/>
        <v>65.901302261823162</v>
      </c>
      <c r="GO34" s="36">
        <v>0</v>
      </c>
      <c r="GP34" s="36">
        <v>0</v>
      </c>
      <c r="GQ34" s="19" t="s">
        <v>56</v>
      </c>
      <c r="GR34" s="36">
        <v>260</v>
      </c>
      <c r="GS34" s="19">
        <v>195</v>
      </c>
      <c r="GT34" s="19">
        <f t="shared" si="56"/>
        <v>75</v>
      </c>
      <c r="GU34" s="36">
        <v>1433.4</v>
      </c>
      <c r="GV34" s="19">
        <v>225</v>
      </c>
      <c r="GW34" s="19">
        <f t="shared" si="57"/>
        <v>15.696944328170781</v>
      </c>
      <c r="GX34" s="36">
        <v>1196</v>
      </c>
      <c r="GY34" s="19">
        <v>0</v>
      </c>
      <c r="GZ34" s="19">
        <f>GY34/GX34%</f>
        <v>0</v>
      </c>
      <c r="HA34" s="36">
        <v>521.1</v>
      </c>
      <c r="HB34" s="19">
        <v>0</v>
      </c>
      <c r="HC34" s="19">
        <v>0</v>
      </c>
      <c r="HD34" s="19">
        <v>17391.599999999999</v>
      </c>
      <c r="HE34" s="19">
        <v>12215</v>
      </c>
      <c r="HF34" s="38">
        <f t="shared" si="26"/>
        <v>70.235056004047934</v>
      </c>
      <c r="HG34" s="36">
        <v>4776</v>
      </c>
      <c r="HH34" s="19">
        <v>3582</v>
      </c>
      <c r="HI34" s="19">
        <f t="shared" si="27"/>
        <v>75</v>
      </c>
      <c r="HJ34" s="17">
        <f t="shared" si="28"/>
        <v>47263.399999999994</v>
      </c>
      <c r="HK34" s="17">
        <f t="shared" si="29"/>
        <v>25568.3</v>
      </c>
      <c r="HL34" s="16">
        <f t="shared" si="30"/>
        <v>54.097462306985953</v>
      </c>
      <c r="HM34" s="34">
        <v>10390</v>
      </c>
      <c r="HN34" s="34">
        <v>2597.5</v>
      </c>
      <c r="HO34" s="35">
        <f t="shared" si="42"/>
        <v>25</v>
      </c>
      <c r="HP34" s="35">
        <v>0</v>
      </c>
      <c r="HQ34" s="35">
        <v>0</v>
      </c>
      <c r="HR34" s="35" t="s">
        <v>56</v>
      </c>
      <c r="HS34" s="35">
        <v>14500</v>
      </c>
      <c r="HT34" s="35">
        <v>14500</v>
      </c>
      <c r="HU34" s="35">
        <f t="shared" si="43"/>
        <v>100</v>
      </c>
      <c r="HV34" s="35">
        <v>11718.6</v>
      </c>
      <c r="HW34" s="35">
        <v>0</v>
      </c>
      <c r="HX34" s="35">
        <f t="shared" si="44"/>
        <v>0</v>
      </c>
      <c r="HY34" s="34">
        <v>0</v>
      </c>
      <c r="HZ34" s="34">
        <v>0</v>
      </c>
      <c r="IA34" s="34" t="s">
        <v>56</v>
      </c>
      <c r="IB34" s="34">
        <v>134</v>
      </c>
      <c r="IC34" s="34">
        <v>134</v>
      </c>
      <c r="ID34" s="35">
        <f t="shared" si="31"/>
        <v>100</v>
      </c>
      <c r="IE34" s="34">
        <v>0</v>
      </c>
      <c r="IF34" s="34">
        <v>0</v>
      </c>
      <c r="IG34" s="35" t="s">
        <v>56</v>
      </c>
      <c r="IH34" s="18">
        <v>10520.8</v>
      </c>
      <c r="II34" s="19">
        <v>8336.7999999999993</v>
      </c>
      <c r="IJ34" s="19">
        <f t="shared" si="32"/>
        <v>79.241122348110409</v>
      </c>
      <c r="IK34" s="18">
        <v>0</v>
      </c>
      <c r="IL34" s="18">
        <v>0</v>
      </c>
      <c r="IM34" s="18" t="s">
        <v>56</v>
      </c>
      <c r="IN34" s="19">
        <v>0</v>
      </c>
      <c r="IO34" s="19">
        <v>0</v>
      </c>
      <c r="IP34" s="19" t="s">
        <v>56</v>
      </c>
      <c r="IQ34" s="19">
        <v>0</v>
      </c>
      <c r="IR34" s="19">
        <v>0</v>
      </c>
      <c r="IS34" s="21" t="s">
        <v>56</v>
      </c>
      <c r="IT34" s="19">
        <v>0</v>
      </c>
      <c r="IU34" s="19">
        <v>0</v>
      </c>
      <c r="IV34" s="21" t="s">
        <v>56</v>
      </c>
      <c r="IW34" s="19">
        <v>0</v>
      </c>
      <c r="IX34" s="19">
        <v>0</v>
      </c>
      <c r="IY34" s="19" t="s">
        <v>56</v>
      </c>
      <c r="IZ34" s="19">
        <v>0</v>
      </c>
      <c r="JA34" s="19">
        <v>0</v>
      </c>
      <c r="JB34" s="21" t="s">
        <v>56</v>
      </c>
      <c r="JC34" s="19">
        <v>0</v>
      </c>
      <c r="JD34" s="19">
        <v>0</v>
      </c>
      <c r="JE34" s="19" t="s">
        <v>56</v>
      </c>
      <c r="JF34" s="19">
        <v>0</v>
      </c>
      <c r="JG34" s="19">
        <v>0</v>
      </c>
      <c r="JH34" s="25" t="s">
        <v>56</v>
      </c>
      <c r="JI34" s="23">
        <v>0</v>
      </c>
      <c r="JJ34" s="19">
        <v>0</v>
      </c>
      <c r="JK34" s="25" t="s">
        <v>56</v>
      </c>
      <c r="JL34" s="19">
        <v>0</v>
      </c>
      <c r="JM34" s="19">
        <v>0</v>
      </c>
      <c r="JN34" s="21" t="s">
        <v>56</v>
      </c>
      <c r="JO34" s="19">
        <v>0</v>
      </c>
      <c r="JP34" s="19">
        <v>0</v>
      </c>
      <c r="JQ34" s="19" t="s">
        <v>56</v>
      </c>
      <c r="JR34" s="19">
        <v>0</v>
      </c>
      <c r="JS34" s="19">
        <v>0</v>
      </c>
      <c r="JT34" s="19" t="s">
        <v>56</v>
      </c>
      <c r="JU34" s="19">
        <v>0</v>
      </c>
      <c r="JV34" s="19">
        <v>0</v>
      </c>
      <c r="JW34" s="21" t="s">
        <v>56</v>
      </c>
      <c r="JX34" s="21">
        <v>0</v>
      </c>
      <c r="JY34" s="21">
        <v>0</v>
      </c>
      <c r="JZ34" s="21" t="s">
        <v>56</v>
      </c>
      <c r="KA34" s="21">
        <v>0</v>
      </c>
      <c r="KB34" s="21">
        <v>0</v>
      </c>
      <c r="KC34" s="21" t="s">
        <v>56</v>
      </c>
      <c r="KD34" s="14">
        <f t="shared" si="45"/>
        <v>880370.73122999992</v>
      </c>
      <c r="KE34" s="14">
        <f t="shared" si="46"/>
        <v>561134.60000000009</v>
      </c>
      <c r="KF34" s="14">
        <f t="shared" si="47"/>
        <v>63.738443373284035</v>
      </c>
      <c r="KG34" s="7"/>
      <c r="KH34" s="9"/>
      <c r="KJ34" s="9"/>
    </row>
    <row r="35" spans="1:296" x14ac:dyDescent="0.2">
      <c r="A35" s="27" t="s">
        <v>38</v>
      </c>
      <c r="B35" s="13">
        <f t="shared" si="20"/>
        <v>212545.5</v>
      </c>
      <c r="C35" s="13">
        <f t="shared" si="33"/>
        <v>158257.9</v>
      </c>
      <c r="D35" s="14">
        <f t="shared" si="34"/>
        <v>74.458363032856482</v>
      </c>
      <c r="E35" s="18">
        <v>211824</v>
      </c>
      <c r="F35" s="19">
        <v>158257.9</v>
      </c>
      <c r="G35" s="19">
        <f t="shared" si="0"/>
        <v>74.711977868419069</v>
      </c>
      <c r="H35" s="18">
        <v>721.5</v>
      </c>
      <c r="I35" s="19">
        <v>0</v>
      </c>
      <c r="J35" s="19">
        <v>0</v>
      </c>
      <c r="K35" s="19">
        <v>0</v>
      </c>
      <c r="L35" s="19">
        <v>0</v>
      </c>
      <c r="M35" s="19" t="s">
        <v>56</v>
      </c>
      <c r="N35" s="13">
        <f t="shared" si="35"/>
        <v>387108.00422999996</v>
      </c>
      <c r="O35" s="13">
        <f t="shared" si="36"/>
        <v>180136.09999999998</v>
      </c>
      <c r="P35" s="14">
        <f t="shared" si="21"/>
        <v>46.53380917770231</v>
      </c>
      <c r="Q35" s="19">
        <v>37987.199999999997</v>
      </c>
      <c r="R35" s="19">
        <v>0</v>
      </c>
      <c r="S35" s="19">
        <f t="shared" si="37"/>
        <v>0</v>
      </c>
      <c r="T35" s="18">
        <v>0</v>
      </c>
      <c r="U35" s="19">
        <v>0</v>
      </c>
      <c r="V35" s="19" t="s">
        <v>56</v>
      </c>
      <c r="W35" s="18">
        <v>14577.3</v>
      </c>
      <c r="X35" s="19">
        <v>14577.3</v>
      </c>
      <c r="Y35" s="19">
        <f t="shared" si="1"/>
        <v>100</v>
      </c>
      <c r="Z35" s="18">
        <f>1020.2</f>
        <v>1020.2</v>
      </c>
      <c r="AA35" s="19">
        <v>1019.5</v>
      </c>
      <c r="AB35" s="19">
        <f>(AA35/Z35)*100</f>
        <v>99.93138600274456</v>
      </c>
      <c r="AC35" s="18">
        <v>0</v>
      </c>
      <c r="AD35" s="19">
        <v>0</v>
      </c>
      <c r="AE35" s="19" t="s">
        <v>56</v>
      </c>
      <c r="AF35" s="18">
        <v>0</v>
      </c>
      <c r="AG35" s="19">
        <v>0</v>
      </c>
      <c r="AH35" s="19" t="s">
        <v>56</v>
      </c>
      <c r="AI35" s="18">
        <v>0</v>
      </c>
      <c r="AJ35" s="18">
        <v>0</v>
      </c>
      <c r="AK35" s="19" t="s">
        <v>56</v>
      </c>
      <c r="AL35" s="19">
        <v>5896.6</v>
      </c>
      <c r="AM35" s="19">
        <v>0</v>
      </c>
      <c r="AN35" s="19">
        <f t="shared" si="2"/>
        <v>0</v>
      </c>
      <c r="AO35" s="19">
        <v>0</v>
      </c>
      <c r="AP35" s="19">
        <v>0</v>
      </c>
      <c r="AQ35" s="19" t="s">
        <v>56</v>
      </c>
      <c r="AR35" s="19">
        <v>0</v>
      </c>
      <c r="AS35" s="19">
        <v>0</v>
      </c>
      <c r="AT35" s="19" t="s">
        <v>56</v>
      </c>
      <c r="AU35" s="18">
        <v>668.1</v>
      </c>
      <c r="AV35" s="19">
        <f>668.1</f>
        <v>668.1</v>
      </c>
      <c r="AW35" s="19">
        <f t="shared" si="48"/>
        <v>100</v>
      </c>
      <c r="AX35" s="19">
        <v>21837.3</v>
      </c>
      <c r="AY35" s="19">
        <v>3634.6</v>
      </c>
      <c r="AZ35" s="19">
        <f t="shared" si="38"/>
        <v>16.643999029184013</v>
      </c>
      <c r="BA35" s="18">
        <v>0</v>
      </c>
      <c r="BB35" s="19">
        <v>0</v>
      </c>
      <c r="BC35" s="19" t="s">
        <v>56</v>
      </c>
      <c r="BD35" s="18">
        <v>0</v>
      </c>
      <c r="BE35" s="19">
        <v>0</v>
      </c>
      <c r="BF35" s="19" t="s">
        <v>56</v>
      </c>
      <c r="BG35" s="18">
        <f>100654.23/1000</f>
        <v>100.65423</v>
      </c>
      <c r="BH35" s="19">
        <v>100.7</v>
      </c>
      <c r="BI35" s="19">
        <f t="shared" si="3"/>
        <v>100.04547250522904</v>
      </c>
      <c r="BJ35" s="18">
        <f>150000/1000</f>
        <v>150</v>
      </c>
      <c r="BK35" s="19">
        <v>150</v>
      </c>
      <c r="BL35" s="19">
        <f>(BK35/BJ35)*100</f>
        <v>100</v>
      </c>
      <c r="BM35" s="18">
        <v>0</v>
      </c>
      <c r="BN35" s="19">
        <v>0</v>
      </c>
      <c r="BO35" s="19" t="s">
        <v>56</v>
      </c>
      <c r="BP35" s="18">
        <v>0</v>
      </c>
      <c r="BQ35" s="19">
        <v>0</v>
      </c>
      <c r="BR35" s="19" t="s">
        <v>56</v>
      </c>
      <c r="BS35" s="18">
        <v>0</v>
      </c>
      <c r="BT35" s="19">
        <v>0</v>
      </c>
      <c r="BU35" s="19" t="s">
        <v>56</v>
      </c>
      <c r="BV35" s="18">
        <f>195136450/1000</f>
        <v>195136.45</v>
      </c>
      <c r="BW35" s="19">
        <v>122939.3</v>
      </c>
      <c r="BX35" s="19">
        <f>(BW35/BV35)*100</f>
        <v>63.001709829199001</v>
      </c>
      <c r="BY35" s="19">
        <v>3128.1</v>
      </c>
      <c r="BZ35" s="19">
        <v>1440.4</v>
      </c>
      <c r="CA35" s="19">
        <f t="shared" si="50"/>
        <v>46.047121255714337</v>
      </c>
      <c r="CB35" s="18">
        <v>0</v>
      </c>
      <c r="CC35" s="18">
        <v>0</v>
      </c>
      <c r="CD35" s="34" t="s">
        <v>56</v>
      </c>
      <c r="CE35" s="18">
        <v>0</v>
      </c>
      <c r="CF35" s="18">
        <v>0</v>
      </c>
      <c r="CG35" s="34" t="s">
        <v>56</v>
      </c>
      <c r="CH35" s="34">
        <v>0</v>
      </c>
      <c r="CI35" s="34">
        <v>0</v>
      </c>
      <c r="CJ35" s="34" t="s">
        <v>56</v>
      </c>
      <c r="CK35" s="18">
        <v>2500</v>
      </c>
      <c r="CL35" s="18">
        <v>0</v>
      </c>
      <c r="CM35" s="34">
        <v>0</v>
      </c>
      <c r="CN35" s="18">
        <v>8231.7999999999993</v>
      </c>
      <c r="CO35" s="34">
        <v>8231.7999999999993</v>
      </c>
      <c r="CP35" s="34">
        <f t="shared" si="4"/>
        <v>100</v>
      </c>
      <c r="CQ35" s="34">
        <v>0</v>
      </c>
      <c r="CR35" s="34">
        <v>0</v>
      </c>
      <c r="CS35" s="34" t="s">
        <v>56</v>
      </c>
      <c r="CT35" s="34">
        <v>0</v>
      </c>
      <c r="CU35" s="34">
        <v>0</v>
      </c>
      <c r="CV35" s="34" t="s">
        <v>56</v>
      </c>
      <c r="CW35" s="34">
        <v>9473.9</v>
      </c>
      <c r="CX35" s="34">
        <v>1116</v>
      </c>
      <c r="CY35" s="34">
        <f t="shared" si="23"/>
        <v>11.779731683889423</v>
      </c>
      <c r="CZ35" s="34">
        <v>2035.8</v>
      </c>
      <c r="DA35" s="34">
        <v>0</v>
      </c>
      <c r="DB35" s="34">
        <f t="shared" si="49"/>
        <v>0</v>
      </c>
      <c r="DC35" s="34">
        <v>18017.099999999999</v>
      </c>
      <c r="DD35" s="34">
        <v>3754.6</v>
      </c>
      <c r="DE35" s="35">
        <f>(DD35/DC35)*100</f>
        <v>20.839091751724752</v>
      </c>
      <c r="DF35" s="34">
        <v>10692</v>
      </c>
      <c r="DG35" s="34">
        <f>7128-3564</f>
        <v>3564</v>
      </c>
      <c r="DH35" s="34">
        <f>DG35/DF35%</f>
        <v>33.333333333333336</v>
      </c>
      <c r="DI35" s="34">
        <v>0</v>
      </c>
      <c r="DJ35" s="34">
        <v>0</v>
      </c>
      <c r="DK35" s="34" t="s">
        <v>56</v>
      </c>
      <c r="DL35" s="34">
        <v>43794.8</v>
      </c>
      <c r="DM35" s="34">
        <v>17839.8</v>
      </c>
      <c r="DN35" s="34">
        <f t="shared" si="24"/>
        <v>40.734973101829439</v>
      </c>
      <c r="DO35" s="34">
        <v>1100</v>
      </c>
      <c r="DP35" s="34">
        <v>1100</v>
      </c>
      <c r="DQ35" s="34">
        <f t="shared" si="39"/>
        <v>100</v>
      </c>
      <c r="DR35" s="34">
        <v>0</v>
      </c>
      <c r="DS35" s="34">
        <v>0</v>
      </c>
      <c r="DT35" s="34" t="s">
        <v>56</v>
      </c>
      <c r="DU35" s="34">
        <v>10760.7</v>
      </c>
      <c r="DV35" s="34">
        <v>0</v>
      </c>
      <c r="DW35" s="34">
        <f>(DV35/DU35)*100</f>
        <v>0</v>
      </c>
      <c r="DX35" s="34">
        <v>0</v>
      </c>
      <c r="DY35" s="34">
        <v>0</v>
      </c>
      <c r="DZ35" s="34" t="s">
        <v>56</v>
      </c>
      <c r="EA35" s="18">
        <v>0</v>
      </c>
      <c r="EB35" s="19">
        <v>0</v>
      </c>
      <c r="EC35" s="34" t="s">
        <v>56</v>
      </c>
      <c r="ED35" s="18">
        <v>0</v>
      </c>
      <c r="EE35" s="19">
        <v>0</v>
      </c>
      <c r="EF35" s="34" t="s">
        <v>56</v>
      </c>
      <c r="EG35" s="13">
        <f t="shared" si="5"/>
        <v>787846.52399999998</v>
      </c>
      <c r="EH35" s="13">
        <f t="shared" si="6"/>
        <v>599771.70000000007</v>
      </c>
      <c r="EI35" s="14">
        <f t="shared" si="40"/>
        <v>76.127987079879546</v>
      </c>
      <c r="EJ35" s="36">
        <v>7983.6</v>
      </c>
      <c r="EK35" s="36">
        <v>4838</v>
      </c>
      <c r="EL35" s="19">
        <f t="shared" si="7"/>
        <v>60.599228418257432</v>
      </c>
      <c r="EM35" s="36">
        <v>0</v>
      </c>
      <c r="EN35" s="19">
        <v>0</v>
      </c>
      <c r="EO35" s="19" t="s">
        <v>56</v>
      </c>
      <c r="EP35" s="36">
        <f>5724/1000</f>
        <v>5.7240000000000002</v>
      </c>
      <c r="EQ35" s="19">
        <v>0</v>
      </c>
      <c r="ER35" s="19">
        <f t="shared" si="10"/>
        <v>0</v>
      </c>
      <c r="ES35" s="36">
        <v>202481.5</v>
      </c>
      <c r="ET35" s="19">
        <v>132072.6</v>
      </c>
      <c r="EU35" s="19">
        <v>65.226996046552401</v>
      </c>
      <c r="EV35" s="34">
        <v>484489.9</v>
      </c>
      <c r="EW35" s="34">
        <v>400474.5</v>
      </c>
      <c r="EX35" s="35">
        <v>82.658998670560507</v>
      </c>
      <c r="EY35" s="36">
        <v>7591.5</v>
      </c>
      <c r="EZ35" s="34">
        <v>5150.8</v>
      </c>
      <c r="FA35" s="34">
        <f t="shared" si="25"/>
        <v>67.849568596456564</v>
      </c>
      <c r="FB35" s="36">
        <v>2924.1</v>
      </c>
      <c r="FC35" s="19">
        <v>1333</v>
      </c>
      <c r="FD35" s="19">
        <f t="shared" si="11"/>
        <v>45.586676242262577</v>
      </c>
      <c r="FE35" s="36">
        <v>0</v>
      </c>
      <c r="FF35" s="19">
        <v>0</v>
      </c>
      <c r="FG35" s="19" t="s">
        <v>56</v>
      </c>
      <c r="FH35" s="36">
        <v>0</v>
      </c>
      <c r="FI35" s="19">
        <v>0</v>
      </c>
      <c r="FJ35" s="19" t="s">
        <v>56</v>
      </c>
      <c r="FK35" s="36">
        <v>16394.8</v>
      </c>
      <c r="FL35" s="19">
        <v>13087.2</v>
      </c>
      <c r="FM35" s="19">
        <f t="shared" si="12"/>
        <v>79.825310464293565</v>
      </c>
      <c r="FN35" s="36">
        <v>402.5</v>
      </c>
      <c r="FO35" s="19">
        <v>301.5</v>
      </c>
      <c r="FP35" s="19">
        <f t="shared" si="13"/>
        <v>74.906832298136635</v>
      </c>
      <c r="FQ35" s="36">
        <v>18.3</v>
      </c>
      <c r="FR35" s="19">
        <v>16.899999999999999</v>
      </c>
      <c r="FS35" s="19">
        <f t="shared" si="14"/>
        <v>92.349726775956285</v>
      </c>
      <c r="FT35" s="36">
        <v>95.5</v>
      </c>
      <c r="FU35" s="19">
        <v>53.4</v>
      </c>
      <c r="FV35" s="19">
        <f t="shared" si="41"/>
        <v>55.916230366492151</v>
      </c>
      <c r="FW35" s="36">
        <v>0</v>
      </c>
      <c r="FX35" s="19">
        <v>0</v>
      </c>
      <c r="FY35" s="19" t="s">
        <v>56</v>
      </c>
      <c r="FZ35" s="36">
        <v>1286.4000000000001</v>
      </c>
      <c r="GA35" s="19">
        <v>680.9</v>
      </c>
      <c r="GB35" s="19">
        <f t="shared" si="15"/>
        <v>52.930659203980092</v>
      </c>
      <c r="GC35" s="36">
        <v>464</v>
      </c>
      <c r="GD35" s="19">
        <v>211.1</v>
      </c>
      <c r="GE35" s="19">
        <f t="shared" si="16"/>
        <v>45.495689655172413</v>
      </c>
      <c r="GF35" s="36">
        <v>0</v>
      </c>
      <c r="GG35" s="19">
        <v>0</v>
      </c>
      <c r="GH35" s="19" t="s">
        <v>56</v>
      </c>
      <c r="GI35" s="37">
        <v>13.2</v>
      </c>
      <c r="GJ35" s="19">
        <v>0</v>
      </c>
      <c r="GK35" s="19">
        <v>0</v>
      </c>
      <c r="GL35" s="37">
        <v>5453.4</v>
      </c>
      <c r="GM35" s="19">
        <v>3329</v>
      </c>
      <c r="GN35" s="19">
        <f t="shared" si="17"/>
        <v>61.044486008728498</v>
      </c>
      <c r="GO35" s="36">
        <v>0</v>
      </c>
      <c r="GP35" s="36">
        <v>0</v>
      </c>
      <c r="GQ35" s="19" t="s">
        <v>56</v>
      </c>
      <c r="GR35" s="36">
        <v>560.20000000000005</v>
      </c>
      <c r="GS35" s="19">
        <v>420.1</v>
      </c>
      <c r="GT35" s="19">
        <f t="shared" si="56"/>
        <v>74.991074616208493</v>
      </c>
      <c r="GU35" s="36">
        <v>1135.7</v>
      </c>
      <c r="GV35" s="19">
        <v>260</v>
      </c>
      <c r="GW35" s="19">
        <f t="shared" si="57"/>
        <v>22.893369727921105</v>
      </c>
      <c r="GX35" s="36">
        <v>0</v>
      </c>
      <c r="GY35" s="19">
        <v>0</v>
      </c>
      <c r="GZ35" s="19" t="s">
        <v>56</v>
      </c>
      <c r="HA35" s="36">
        <v>808.5</v>
      </c>
      <c r="HB35" s="19">
        <v>0</v>
      </c>
      <c r="HC35" s="19">
        <v>0</v>
      </c>
      <c r="HD35" s="19">
        <v>46040.7</v>
      </c>
      <c r="HE35" s="19">
        <v>31077.9</v>
      </c>
      <c r="HF35" s="38">
        <f t="shared" si="26"/>
        <v>67.500928526282195</v>
      </c>
      <c r="HG35" s="36">
        <v>9697</v>
      </c>
      <c r="HH35" s="19">
        <v>6464.8</v>
      </c>
      <c r="HI35" s="19">
        <f t="shared" si="27"/>
        <v>66.668041662369802</v>
      </c>
      <c r="HJ35" s="17">
        <f t="shared" si="28"/>
        <v>247818.7</v>
      </c>
      <c r="HK35" s="17">
        <f t="shared" si="29"/>
        <v>101857.40000000001</v>
      </c>
      <c r="HL35" s="16">
        <f t="shared" si="30"/>
        <v>41.101579501466198</v>
      </c>
      <c r="HM35" s="34">
        <v>20303.400000000001</v>
      </c>
      <c r="HN35" s="34">
        <v>0</v>
      </c>
      <c r="HO35" s="35">
        <f t="shared" si="42"/>
        <v>0</v>
      </c>
      <c r="HP35" s="35">
        <v>0</v>
      </c>
      <c r="HQ35" s="35">
        <v>0</v>
      </c>
      <c r="HR35" s="35" t="s">
        <v>56</v>
      </c>
      <c r="HS35" s="35">
        <v>6700</v>
      </c>
      <c r="HT35" s="35">
        <v>0</v>
      </c>
      <c r="HU35" s="35">
        <f t="shared" si="43"/>
        <v>0</v>
      </c>
      <c r="HV35" s="35">
        <v>14584.6</v>
      </c>
      <c r="HW35" s="35">
        <v>755.8</v>
      </c>
      <c r="HX35" s="35">
        <f t="shared" si="44"/>
        <v>5.1821784622135674</v>
      </c>
      <c r="HY35" s="34">
        <v>0</v>
      </c>
      <c r="HZ35" s="34">
        <v>0</v>
      </c>
      <c r="IA35" s="34" t="s">
        <v>56</v>
      </c>
      <c r="IB35" s="34">
        <v>134</v>
      </c>
      <c r="IC35" s="34">
        <v>134</v>
      </c>
      <c r="ID35" s="35">
        <f t="shared" si="31"/>
        <v>100</v>
      </c>
      <c r="IE35" s="34">
        <v>0</v>
      </c>
      <c r="IF35" s="34">
        <v>0</v>
      </c>
      <c r="IG35" s="35" t="s">
        <v>56</v>
      </c>
      <c r="IH35" s="18">
        <v>21469.8</v>
      </c>
      <c r="II35" s="19">
        <v>11824.6</v>
      </c>
      <c r="IJ35" s="19">
        <f t="shared" si="32"/>
        <v>55.075501401969284</v>
      </c>
      <c r="IK35" s="18">
        <v>1638.6</v>
      </c>
      <c r="IL35" s="18">
        <v>0</v>
      </c>
      <c r="IM35" s="18">
        <v>0</v>
      </c>
      <c r="IN35" s="19">
        <v>2452</v>
      </c>
      <c r="IO35" s="19">
        <v>0</v>
      </c>
      <c r="IP35" s="19">
        <v>0</v>
      </c>
      <c r="IQ35" s="19">
        <v>36528.5</v>
      </c>
      <c r="IR35" s="19">
        <v>1572</v>
      </c>
      <c r="IS35" s="21">
        <f t="shared" si="53"/>
        <v>4.3034890564901378</v>
      </c>
      <c r="IT35" s="19">
        <v>5118.5</v>
      </c>
      <c r="IU35" s="19">
        <v>5115.8</v>
      </c>
      <c r="IV35" s="21">
        <f>(IU35/IT35)*100</f>
        <v>99.947250170948521</v>
      </c>
      <c r="IW35" s="19">
        <v>0</v>
      </c>
      <c r="IX35" s="19">
        <v>0</v>
      </c>
      <c r="IY35" s="19" t="s">
        <v>56</v>
      </c>
      <c r="IZ35" s="19">
        <v>0</v>
      </c>
      <c r="JA35" s="19">
        <v>0</v>
      </c>
      <c r="JB35" s="21" t="s">
        <v>56</v>
      </c>
      <c r="JC35" s="19">
        <v>369</v>
      </c>
      <c r="JD35" s="19">
        <v>0</v>
      </c>
      <c r="JE35" s="19">
        <v>0</v>
      </c>
      <c r="JF35" s="19">
        <v>51.7</v>
      </c>
      <c r="JG35" s="19">
        <v>51.7</v>
      </c>
      <c r="JH35" s="25">
        <f>(JG35/JF35)*100</f>
        <v>100</v>
      </c>
      <c r="JI35" s="23">
        <v>0</v>
      </c>
      <c r="JJ35" s="19">
        <v>0</v>
      </c>
      <c r="JK35" s="25" t="s">
        <v>56</v>
      </c>
      <c r="JL35" s="19">
        <v>701.9</v>
      </c>
      <c r="JM35" s="19">
        <f>701.9</f>
        <v>701.9</v>
      </c>
      <c r="JN35" s="21">
        <f>(JM35/JL35)*100</f>
        <v>100</v>
      </c>
      <c r="JO35" s="19">
        <v>0</v>
      </c>
      <c r="JP35" s="19">
        <v>0</v>
      </c>
      <c r="JQ35" s="19" t="s">
        <v>56</v>
      </c>
      <c r="JR35" s="19">
        <v>0</v>
      </c>
      <c r="JS35" s="19">
        <v>0</v>
      </c>
      <c r="JT35" s="19" t="s">
        <v>56</v>
      </c>
      <c r="JU35" s="19">
        <v>137516.70000000001</v>
      </c>
      <c r="JV35" s="19">
        <v>81451.600000000006</v>
      </c>
      <c r="JW35" s="21">
        <f>(JV35/JU35)*100</f>
        <v>59.230333479497396</v>
      </c>
      <c r="JX35" s="21">
        <v>0</v>
      </c>
      <c r="JY35" s="21">
        <v>0</v>
      </c>
      <c r="JZ35" s="21" t="s">
        <v>56</v>
      </c>
      <c r="KA35" s="21">
        <v>250</v>
      </c>
      <c r="KB35" s="21">
        <v>250</v>
      </c>
      <c r="KC35" s="21">
        <f t="shared" si="55"/>
        <v>100</v>
      </c>
      <c r="KD35" s="14">
        <f t="shared" si="45"/>
        <v>1635318.7282299998</v>
      </c>
      <c r="KE35" s="14">
        <f t="shared" si="46"/>
        <v>1040023.1000000001</v>
      </c>
      <c r="KF35" s="14">
        <f t="shared" si="47"/>
        <v>63.597577771623598</v>
      </c>
      <c r="KG35" s="7"/>
      <c r="KH35" s="9"/>
      <c r="KJ35" s="9"/>
    </row>
    <row r="36" spans="1:296" ht="12.6" customHeight="1" x14ac:dyDescent="0.2">
      <c r="A36" s="27" t="s">
        <v>39</v>
      </c>
      <c r="B36" s="13">
        <f t="shared" si="20"/>
        <v>95206</v>
      </c>
      <c r="C36" s="13">
        <f t="shared" si="33"/>
        <v>83482.5</v>
      </c>
      <c r="D36" s="14">
        <f t="shared" si="34"/>
        <v>87.686175241056247</v>
      </c>
      <c r="E36" s="18">
        <v>95206</v>
      </c>
      <c r="F36" s="19">
        <v>83482.5</v>
      </c>
      <c r="G36" s="19">
        <f t="shared" si="0"/>
        <v>87.686175241056247</v>
      </c>
      <c r="H36" s="18">
        <v>0</v>
      </c>
      <c r="I36" s="19">
        <v>0</v>
      </c>
      <c r="J36" s="19" t="s">
        <v>56</v>
      </c>
      <c r="K36" s="19">
        <v>0</v>
      </c>
      <c r="L36" s="19">
        <v>0</v>
      </c>
      <c r="M36" s="19" t="s">
        <v>56</v>
      </c>
      <c r="N36" s="13">
        <f t="shared" si="35"/>
        <v>90579</v>
      </c>
      <c r="O36" s="13">
        <f t="shared" si="36"/>
        <v>24810.800000000003</v>
      </c>
      <c r="P36" s="14">
        <f t="shared" si="21"/>
        <v>27.391337948089518</v>
      </c>
      <c r="Q36" s="19">
        <v>44562.1</v>
      </c>
      <c r="R36" s="19">
        <v>9068.4</v>
      </c>
      <c r="S36" s="19">
        <f t="shared" si="37"/>
        <v>20.350028387351582</v>
      </c>
      <c r="T36" s="18">
        <v>0</v>
      </c>
      <c r="U36" s="19">
        <v>0</v>
      </c>
      <c r="V36" s="19" t="s">
        <v>56</v>
      </c>
      <c r="W36" s="18">
        <v>0</v>
      </c>
      <c r="X36" s="19">
        <v>0</v>
      </c>
      <c r="Y36" s="19" t="s">
        <v>56</v>
      </c>
      <c r="Z36" s="18">
        <v>0</v>
      </c>
      <c r="AA36" s="19">
        <v>0</v>
      </c>
      <c r="AB36" s="19" t="s">
        <v>56</v>
      </c>
      <c r="AC36" s="18">
        <v>0</v>
      </c>
      <c r="AD36" s="19">
        <v>0</v>
      </c>
      <c r="AE36" s="19" t="s">
        <v>56</v>
      </c>
      <c r="AF36" s="18">
        <v>0</v>
      </c>
      <c r="AG36" s="19">
        <v>0</v>
      </c>
      <c r="AH36" s="19" t="s">
        <v>56</v>
      </c>
      <c r="AI36" s="18">
        <v>0</v>
      </c>
      <c r="AJ36" s="18">
        <v>0</v>
      </c>
      <c r="AK36" s="19" t="s">
        <v>56</v>
      </c>
      <c r="AL36" s="19">
        <v>701.5</v>
      </c>
      <c r="AM36" s="19">
        <v>588</v>
      </c>
      <c r="AN36" s="19">
        <f t="shared" si="2"/>
        <v>83.820384889522458</v>
      </c>
      <c r="AO36" s="19">
        <v>0</v>
      </c>
      <c r="AP36" s="19">
        <v>0</v>
      </c>
      <c r="AQ36" s="19" t="s">
        <v>56</v>
      </c>
      <c r="AR36" s="19">
        <v>0</v>
      </c>
      <c r="AS36" s="19">
        <v>0</v>
      </c>
      <c r="AT36" s="19" t="s">
        <v>56</v>
      </c>
      <c r="AU36" s="18">
        <v>0</v>
      </c>
      <c r="AV36" s="19">
        <v>0</v>
      </c>
      <c r="AW36" s="19" t="s">
        <v>56</v>
      </c>
      <c r="AX36" s="19">
        <v>2169.9</v>
      </c>
      <c r="AY36" s="19">
        <v>542.5</v>
      </c>
      <c r="AZ36" s="19">
        <f t="shared" si="38"/>
        <v>25.001152126826121</v>
      </c>
      <c r="BA36" s="18">
        <v>0</v>
      </c>
      <c r="BB36" s="19">
        <v>0</v>
      </c>
      <c r="BC36" s="19" t="s">
        <v>56</v>
      </c>
      <c r="BD36" s="18">
        <v>0</v>
      </c>
      <c r="BE36" s="19">
        <v>0</v>
      </c>
      <c r="BF36" s="19" t="s">
        <v>56</v>
      </c>
      <c r="BG36" s="18">
        <v>0</v>
      </c>
      <c r="BH36" s="19">
        <v>0</v>
      </c>
      <c r="BI36" s="19" t="s">
        <v>56</v>
      </c>
      <c r="BJ36" s="18">
        <v>0</v>
      </c>
      <c r="BK36" s="19">
        <v>0</v>
      </c>
      <c r="BL36" s="19" t="s">
        <v>56</v>
      </c>
      <c r="BM36" s="18">
        <v>0</v>
      </c>
      <c r="BN36" s="19">
        <v>0</v>
      </c>
      <c r="BO36" s="19" t="s">
        <v>56</v>
      </c>
      <c r="BP36" s="18">
        <v>0</v>
      </c>
      <c r="BQ36" s="19">
        <v>0</v>
      </c>
      <c r="BR36" s="19" t="s">
        <v>56</v>
      </c>
      <c r="BS36" s="18">
        <v>0</v>
      </c>
      <c r="BT36" s="19">
        <v>0</v>
      </c>
      <c r="BU36" s="19" t="s">
        <v>56</v>
      </c>
      <c r="BV36" s="18">
        <v>0</v>
      </c>
      <c r="BW36" s="19">
        <v>0</v>
      </c>
      <c r="BX36" s="19" t="s">
        <v>56</v>
      </c>
      <c r="BY36" s="19">
        <v>0</v>
      </c>
      <c r="BZ36" s="19">
        <v>0</v>
      </c>
      <c r="CA36" s="19" t="s">
        <v>56</v>
      </c>
      <c r="CB36" s="18">
        <f>765</f>
        <v>765</v>
      </c>
      <c r="CC36" s="18">
        <f>765</f>
        <v>765</v>
      </c>
      <c r="CD36" s="34">
        <v>100</v>
      </c>
      <c r="CE36" s="18">
        <v>0</v>
      </c>
      <c r="CF36" s="18">
        <v>0</v>
      </c>
      <c r="CG36" s="34" t="s">
        <v>56</v>
      </c>
      <c r="CH36" s="34">
        <v>0</v>
      </c>
      <c r="CI36" s="34">
        <v>0</v>
      </c>
      <c r="CJ36" s="34" t="s">
        <v>56</v>
      </c>
      <c r="CK36" s="18">
        <v>0</v>
      </c>
      <c r="CL36" s="18">
        <v>0</v>
      </c>
      <c r="CM36" s="34" t="s">
        <v>56</v>
      </c>
      <c r="CN36" s="18">
        <v>0</v>
      </c>
      <c r="CO36" s="34">
        <v>0</v>
      </c>
      <c r="CP36" s="34" t="s">
        <v>56</v>
      </c>
      <c r="CQ36" s="34">
        <v>0</v>
      </c>
      <c r="CR36" s="34">
        <v>0</v>
      </c>
      <c r="CS36" s="34" t="s">
        <v>56</v>
      </c>
      <c r="CT36" s="34">
        <v>0</v>
      </c>
      <c r="CU36" s="34">
        <v>0</v>
      </c>
      <c r="CV36" s="34" t="s">
        <v>56</v>
      </c>
      <c r="CW36" s="34">
        <v>2505.3000000000002</v>
      </c>
      <c r="CX36" s="34">
        <v>909.7</v>
      </c>
      <c r="CY36" s="34">
        <f t="shared" si="23"/>
        <v>36.311020636251143</v>
      </c>
      <c r="CZ36" s="34">
        <v>2035.8</v>
      </c>
      <c r="DA36" s="34">
        <v>0</v>
      </c>
      <c r="DB36" s="34">
        <f t="shared" si="49"/>
        <v>0</v>
      </c>
      <c r="DC36" s="34">
        <v>0</v>
      </c>
      <c r="DD36" s="34">
        <v>0</v>
      </c>
      <c r="DE36" s="35" t="s">
        <v>56</v>
      </c>
      <c r="DF36" s="34">
        <v>0</v>
      </c>
      <c r="DG36" s="34">
        <v>0</v>
      </c>
      <c r="DH36" s="34" t="s">
        <v>56</v>
      </c>
      <c r="DI36" s="34">
        <v>0</v>
      </c>
      <c r="DJ36" s="34">
        <v>0</v>
      </c>
      <c r="DK36" s="34" t="s">
        <v>56</v>
      </c>
      <c r="DL36" s="34">
        <v>37839.4</v>
      </c>
      <c r="DM36" s="34">
        <v>12937.2</v>
      </c>
      <c r="DN36" s="34">
        <f t="shared" si="24"/>
        <v>34.189759879913531</v>
      </c>
      <c r="DO36" s="34">
        <v>0</v>
      </c>
      <c r="DP36" s="34">
        <v>0</v>
      </c>
      <c r="DQ36" s="34" t="s">
        <v>56</v>
      </c>
      <c r="DR36" s="34">
        <v>0</v>
      </c>
      <c r="DS36" s="34">
        <v>0</v>
      </c>
      <c r="DT36" s="34" t="s">
        <v>56</v>
      </c>
      <c r="DU36" s="34">
        <v>0</v>
      </c>
      <c r="DV36" s="34">
        <v>0</v>
      </c>
      <c r="DW36" s="34" t="s">
        <v>56</v>
      </c>
      <c r="DX36" s="34">
        <v>0</v>
      </c>
      <c r="DY36" s="34">
        <v>0</v>
      </c>
      <c r="DZ36" s="34" t="s">
        <v>56</v>
      </c>
      <c r="EA36" s="18">
        <v>0</v>
      </c>
      <c r="EB36" s="19">
        <v>0</v>
      </c>
      <c r="EC36" s="34" t="s">
        <v>56</v>
      </c>
      <c r="ED36" s="18">
        <v>0</v>
      </c>
      <c r="EE36" s="19">
        <v>0</v>
      </c>
      <c r="EF36" s="34" t="s">
        <v>56</v>
      </c>
      <c r="EG36" s="13">
        <f t="shared" si="5"/>
        <v>128945.5</v>
      </c>
      <c r="EH36" s="13">
        <f t="shared" si="6"/>
        <v>95944.6</v>
      </c>
      <c r="EI36" s="14">
        <f t="shared" si="40"/>
        <v>74.407094470144358</v>
      </c>
      <c r="EJ36" s="36">
        <v>906.1</v>
      </c>
      <c r="EK36" s="36">
        <v>570.9</v>
      </c>
      <c r="EL36" s="19">
        <f t="shared" si="7"/>
        <v>63.006290696391126</v>
      </c>
      <c r="EM36" s="36">
        <v>0</v>
      </c>
      <c r="EN36" s="19">
        <v>0</v>
      </c>
      <c r="EO36" s="19" t="s">
        <v>56</v>
      </c>
      <c r="EP36" s="36">
        <v>0</v>
      </c>
      <c r="EQ36" s="19">
        <v>0</v>
      </c>
      <c r="ER36" s="19" t="s">
        <v>56</v>
      </c>
      <c r="ES36" s="36">
        <v>31729</v>
      </c>
      <c r="ET36" s="19">
        <v>20028.099999999999</v>
      </c>
      <c r="EU36" s="19">
        <v>63.1223801569542</v>
      </c>
      <c r="EV36" s="34">
        <v>83177.399999999994</v>
      </c>
      <c r="EW36" s="34">
        <v>66647.8</v>
      </c>
      <c r="EX36" s="35">
        <v>80.127294192893743</v>
      </c>
      <c r="EY36" s="36">
        <v>4373.5</v>
      </c>
      <c r="EZ36" s="34">
        <v>2158.9</v>
      </c>
      <c r="FA36" s="34">
        <f t="shared" si="25"/>
        <v>49.363210243512064</v>
      </c>
      <c r="FB36" s="36">
        <v>576.29999999999995</v>
      </c>
      <c r="FC36" s="19">
        <v>485</v>
      </c>
      <c r="FD36" s="19">
        <f t="shared" si="11"/>
        <v>84.157556828040953</v>
      </c>
      <c r="FE36" s="36">
        <v>0</v>
      </c>
      <c r="FF36" s="19">
        <v>0</v>
      </c>
      <c r="FG36" s="19" t="s">
        <v>56</v>
      </c>
      <c r="FH36" s="36">
        <v>0</v>
      </c>
      <c r="FI36" s="19">
        <v>0</v>
      </c>
      <c r="FJ36" s="19" t="s">
        <v>56</v>
      </c>
      <c r="FK36" s="36">
        <v>0</v>
      </c>
      <c r="FL36" s="19">
        <v>0</v>
      </c>
      <c r="FM36" s="19" t="s">
        <v>56</v>
      </c>
      <c r="FN36" s="36">
        <v>140</v>
      </c>
      <c r="FO36" s="19">
        <v>105.3</v>
      </c>
      <c r="FP36" s="19">
        <f t="shared" si="13"/>
        <v>75.214285714285722</v>
      </c>
      <c r="FQ36" s="36">
        <v>1.2</v>
      </c>
      <c r="FR36" s="19">
        <v>0.6</v>
      </c>
      <c r="FS36" s="19">
        <f t="shared" si="14"/>
        <v>50</v>
      </c>
      <c r="FT36" s="36">
        <v>63.6</v>
      </c>
      <c r="FU36" s="19">
        <v>37.299999999999997</v>
      </c>
      <c r="FV36" s="19">
        <f t="shared" si="41"/>
        <v>58.647798742138356</v>
      </c>
      <c r="FW36" s="36">
        <v>0</v>
      </c>
      <c r="FX36" s="19">
        <v>0</v>
      </c>
      <c r="FY36" s="19" t="s">
        <v>56</v>
      </c>
      <c r="FZ36" s="36">
        <v>542.29999999999995</v>
      </c>
      <c r="GA36" s="19">
        <v>335.4</v>
      </c>
      <c r="GB36" s="19">
        <f t="shared" si="15"/>
        <v>61.847685782777063</v>
      </c>
      <c r="GC36" s="36">
        <v>198.4</v>
      </c>
      <c r="GD36" s="19">
        <v>128.5</v>
      </c>
      <c r="GE36" s="19">
        <f t="shared" si="16"/>
        <v>64.76814516129032</v>
      </c>
      <c r="GF36" s="36">
        <v>0</v>
      </c>
      <c r="GG36" s="19">
        <v>0</v>
      </c>
      <c r="GH36" s="19" t="s">
        <v>56</v>
      </c>
      <c r="GI36" s="37">
        <v>0</v>
      </c>
      <c r="GJ36" s="19">
        <v>0</v>
      </c>
      <c r="GK36" s="19" t="s">
        <v>56</v>
      </c>
      <c r="GL36" s="37">
        <v>843.5</v>
      </c>
      <c r="GM36" s="19">
        <v>600.1</v>
      </c>
      <c r="GN36" s="19">
        <f t="shared" si="17"/>
        <v>71.144042679312392</v>
      </c>
      <c r="GO36" s="36">
        <v>0</v>
      </c>
      <c r="GP36" s="36">
        <v>0</v>
      </c>
      <c r="GQ36" s="19" t="s">
        <v>56</v>
      </c>
      <c r="GR36" s="36">
        <v>157.69999999999999</v>
      </c>
      <c r="GS36" s="19">
        <v>118.2</v>
      </c>
      <c r="GT36" s="19">
        <f t="shared" si="56"/>
        <v>74.952441344324669</v>
      </c>
      <c r="GU36" s="36">
        <v>517</v>
      </c>
      <c r="GV36" s="19">
        <v>140</v>
      </c>
      <c r="GW36" s="19">
        <f t="shared" si="57"/>
        <v>27.079303675048358</v>
      </c>
      <c r="GX36" s="36">
        <v>0</v>
      </c>
      <c r="GY36" s="19">
        <v>0</v>
      </c>
      <c r="GZ36" s="19" t="s">
        <v>56</v>
      </c>
      <c r="HA36" s="36">
        <v>100.7</v>
      </c>
      <c r="HB36" s="19">
        <v>0</v>
      </c>
      <c r="HC36" s="19">
        <v>0</v>
      </c>
      <c r="HD36" s="19">
        <v>4632.8</v>
      </c>
      <c r="HE36" s="19">
        <v>3848.7</v>
      </c>
      <c r="HF36" s="38">
        <f t="shared" si="26"/>
        <v>83.075030219305816</v>
      </c>
      <c r="HG36" s="36">
        <v>986</v>
      </c>
      <c r="HH36" s="19">
        <v>739.8</v>
      </c>
      <c r="HI36" s="19">
        <f t="shared" si="27"/>
        <v>75.030425963488838</v>
      </c>
      <c r="HJ36" s="17">
        <f t="shared" si="28"/>
        <v>18513.100000000002</v>
      </c>
      <c r="HK36" s="17">
        <f t="shared" si="29"/>
        <v>7951.3</v>
      </c>
      <c r="HL36" s="16">
        <f t="shared" si="30"/>
        <v>42.949587049170582</v>
      </c>
      <c r="HM36" s="34">
        <v>2968.5</v>
      </c>
      <c r="HN36" s="34">
        <v>742.1</v>
      </c>
      <c r="HO36" s="35">
        <f t="shared" si="42"/>
        <v>24.999157823816741</v>
      </c>
      <c r="HP36" s="35">
        <v>0</v>
      </c>
      <c r="HQ36" s="35">
        <v>0</v>
      </c>
      <c r="HR36" s="35" t="s">
        <v>56</v>
      </c>
      <c r="HS36" s="35">
        <v>6000</v>
      </c>
      <c r="HT36" s="35">
        <v>1625.9</v>
      </c>
      <c r="HU36" s="35">
        <f t="shared" si="43"/>
        <v>27.098333333333336</v>
      </c>
      <c r="HV36" s="35">
        <v>2583</v>
      </c>
      <c r="HW36" s="35">
        <v>596.9</v>
      </c>
      <c r="HX36" s="35">
        <f t="shared" si="44"/>
        <v>23.108788230739449</v>
      </c>
      <c r="HY36" s="34">
        <v>0</v>
      </c>
      <c r="HZ36" s="34">
        <v>0</v>
      </c>
      <c r="IA36" s="34" t="s">
        <v>56</v>
      </c>
      <c r="IB36" s="34">
        <v>109</v>
      </c>
      <c r="IC36" s="34">
        <v>109</v>
      </c>
      <c r="ID36" s="35">
        <f t="shared" si="31"/>
        <v>100</v>
      </c>
      <c r="IE36" s="34">
        <v>0</v>
      </c>
      <c r="IF36" s="34">
        <v>0</v>
      </c>
      <c r="IG36" s="35" t="s">
        <v>56</v>
      </c>
      <c r="IH36" s="18">
        <v>1975.2</v>
      </c>
      <c r="II36" s="19">
        <v>0</v>
      </c>
      <c r="IJ36" s="19">
        <f t="shared" si="32"/>
        <v>0</v>
      </c>
      <c r="IK36" s="18">
        <v>0</v>
      </c>
      <c r="IL36" s="18">
        <v>0</v>
      </c>
      <c r="IM36" s="18" t="s">
        <v>56</v>
      </c>
      <c r="IN36" s="19">
        <v>0</v>
      </c>
      <c r="IO36" s="19">
        <v>0</v>
      </c>
      <c r="IP36" s="19" t="s">
        <v>56</v>
      </c>
      <c r="IQ36" s="19">
        <v>0</v>
      </c>
      <c r="IR36" s="19">
        <v>0</v>
      </c>
      <c r="IS36" s="21" t="s">
        <v>56</v>
      </c>
      <c r="IT36" s="19">
        <v>4828.7</v>
      </c>
      <c r="IU36" s="19">
        <v>4828.7</v>
      </c>
      <c r="IV36" s="21">
        <f>(IU36/IT36)*100</f>
        <v>100</v>
      </c>
      <c r="IW36" s="19">
        <v>0</v>
      </c>
      <c r="IX36" s="19">
        <v>0</v>
      </c>
      <c r="IY36" s="19" t="s">
        <v>56</v>
      </c>
      <c r="IZ36" s="19">
        <v>0</v>
      </c>
      <c r="JA36" s="19">
        <v>0</v>
      </c>
      <c r="JB36" s="21" t="s">
        <v>56</v>
      </c>
      <c r="JC36" s="19">
        <v>0</v>
      </c>
      <c r="JD36" s="19">
        <v>0</v>
      </c>
      <c r="JE36" s="19" t="s">
        <v>56</v>
      </c>
      <c r="JF36" s="19">
        <v>48.7</v>
      </c>
      <c r="JG36" s="19">
        <v>48.7</v>
      </c>
      <c r="JH36" s="25">
        <f>(JG36/JF36)*100</f>
        <v>100</v>
      </c>
      <c r="JI36" s="23">
        <v>0</v>
      </c>
      <c r="JJ36" s="19">
        <v>0</v>
      </c>
      <c r="JK36" s="25" t="s">
        <v>56</v>
      </c>
      <c r="JL36" s="19">
        <v>0</v>
      </c>
      <c r="JM36" s="19">
        <v>0</v>
      </c>
      <c r="JN36" s="21" t="s">
        <v>56</v>
      </c>
      <c r="JO36" s="19">
        <v>0</v>
      </c>
      <c r="JP36" s="19">
        <v>0</v>
      </c>
      <c r="JQ36" s="19" t="s">
        <v>56</v>
      </c>
      <c r="JR36" s="19">
        <v>0</v>
      </c>
      <c r="JS36" s="19">
        <v>0</v>
      </c>
      <c r="JT36" s="19" t="s">
        <v>56</v>
      </c>
      <c r="JU36" s="19">
        <v>0</v>
      </c>
      <c r="JV36" s="19">
        <v>0</v>
      </c>
      <c r="JW36" s="21" t="s">
        <v>56</v>
      </c>
      <c r="JX36" s="21">
        <v>0</v>
      </c>
      <c r="JY36" s="21">
        <v>0</v>
      </c>
      <c r="JZ36" s="21" t="s">
        <v>56</v>
      </c>
      <c r="KA36" s="21">
        <v>0</v>
      </c>
      <c r="KB36" s="21">
        <v>0</v>
      </c>
      <c r="KC36" s="21" t="s">
        <v>56</v>
      </c>
      <c r="KD36" s="14">
        <f t="shared" si="45"/>
        <v>333243.59999999998</v>
      </c>
      <c r="KE36" s="14">
        <f t="shared" si="46"/>
        <v>212189.2</v>
      </c>
      <c r="KF36" s="14">
        <f t="shared" si="47"/>
        <v>63.673901014153017</v>
      </c>
      <c r="KG36" s="7"/>
      <c r="KH36" s="9"/>
      <c r="KJ36" s="9"/>
    </row>
    <row r="37" spans="1:296" x14ac:dyDescent="0.2">
      <c r="A37" s="27" t="s">
        <v>40</v>
      </c>
      <c r="B37" s="13">
        <f t="shared" si="20"/>
        <v>183438</v>
      </c>
      <c r="C37" s="13">
        <f t="shared" si="33"/>
        <v>182038</v>
      </c>
      <c r="D37" s="14">
        <f t="shared" si="34"/>
        <v>99.236799354550314</v>
      </c>
      <c r="E37" s="18">
        <v>182038</v>
      </c>
      <c r="F37" s="19">
        <v>182038</v>
      </c>
      <c r="G37" s="19">
        <f t="shared" si="0"/>
        <v>100</v>
      </c>
      <c r="H37" s="18">
        <f>1400000/1000</f>
        <v>1400</v>
      </c>
      <c r="I37" s="19">
        <v>0</v>
      </c>
      <c r="J37" s="19">
        <v>0</v>
      </c>
      <c r="K37" s="19">
        <v>0</v>
      </c>
      <c r="L37" s="19">
        <v>0</v>
      </c>
      <c r="M37" s="19" t="s">
        <v>56</v>
      </c>
      <c r="N37" s="13">
        <f t="shared" si="35"/>
        <v>175767.45422999997</v>
      </c>
      <c r="O37" s="13">
        <f t="shared" si="36"/>
        <v>84557.299999999988</v>
      </c>
      <c r="P37" s="14">
        <f t="shared" si="21"/>
        <v>48.107484045000042</v>
      </c>
      <c r="Q37" s="19">
        <v>17206</v>
      </c>
      <c r="R37" s="19">
        <v>3585</v>
      </c>
      <c r="S37" s="19">
        <f t="shared" si="37"/>
        <v>20.835754969196792</v>
      </c>
      <c r="T37" s="18">
        <f>1500000/1000</f>
        <v>1500</v>
      </c>
      <c r="U37" s="19">
        <v>1500</v>
      </c>
      <c r="V37" s="19">
        <f>U37/T37%</f>
        <v>100</v>
      </c>
      <c r="W37" s="18">
        <v>0</v>
      </c>
      <c r="X37" s="19">
        <v>0</v>
      </c>
      <c r="Y37" s="19" t="s">
        <v>56</v>
      </c>
      <c r="Z37" s="18">
        <v>0</v>
      </c>
      <c r="AA37" s="19">
        <v>0</v>
      </c>
      <c r="AB37" s="19" t="s">
        <v>56</v>
      </c>
      <c r="AC37" s="18">
        <v>0</v>
      </c>
      <c r="AD37" s="19">
        <v>0</v>
      </c>
      <c r="AE37" s="19" t="s">
        <v>56</v>
      </c>
      <c r="AF37" s="18">
        <v>0</v>
      </c>
      <c r="AG37" s="19">
        <v>0</v>
      </c>
      <c r="AH37" s="19" t="s">
        <v>56</v>
      </c>
      <c r="AI37" s="18">
        <v>0</v>
      </c>
      <c r="AJ37" s="18">
        <v>0</v>
      </c>
      <c r="AK37" s="19" t="s">
        <v>56</v>
      </c>
      <c r="AL37" s="19">
        <v>10232</v>
      </c>
      <c r="AM37" s="19">
        <v>6127.6</v>
      </c>
      <c r="AN37" s="19">
        <f t="shared" si="2"/>
        <v>59.886630179827996</v>
      </c>
      <c r="AO37" s="19">
        <v>0</v>
      </c>
      <c r="AP37" s="19">
        <v>0</v>
      </c>
      <c r="AQ37" s="19" t="s">
        <v>56</v>
      </c>
      <c r="AR37" s="19">
        <v>0</v>
      </c>
      <c r="AS37" s="19">
        <v>0</v>
      </c>
      <c r="AT37" s="19" t="s">
        <v>56</v>
      </c>
      <c r="AU37" s="18">
        <v>334</v>
      </c>
      <c r="AV37" s="19">
        <f>334</f>
        <v>334</v>
      </c>
      <c r="AW37" s="19">
        <f t="shared" si="48"/>
        <v>100</v>
      </c>
      <c r="AX37" s="19">
        <v>12805.7</v>
      </c>
      <c r="AY37" s="19">
        <v>3201.4</v>
      </c>
      <c r="AZ37" s="19">
        <f t="shared" si="38"/>
        <v>24.999804774436381</v>
      </c>
      <c r="BA37" s="18">
        <v>0</v>
      </c>
      <c r="BB37" s="19">
        <v>0</v>
      </c>
      <c r="BC37" s="19" t="s">
        <v>56</v>
      </c>
      <c r="BD37" s="18">
        <v>0</v>
      </c>
      <c r="BE37" s="19">
        <v>0</v>
      </c>
      <c r="BF37" s="19" t="s">
        <v>56</v>
      </c>
      <c r="BG37" s="18">
        <f>100654.23/1000</f>
        <v>100.65423</v>
      </c>
      <c r="BH37" s="19">
        <v>100.7</v>
      </c>
      <c r="BI37" s="19">
        <f t="shared" si="3"/>
        <v>100.04547250522904</v>
      </c>
      <c r="BJ37" s="18">
        <v>0</v>
      </c>
      <c r="BK37" s="19">
        <v>0</v>
      </c>
      <c r="BL37" s="19" t="s">
        <v>56</v>
      </c>
      <c r="BM37" s="18">
        <v>0</v>
      </c>
      <c r="BN37" s="19">
        <v>0</v>
      </c>
      <c r="BO37" s="19" t="s">
        <v>56</v>
      </c>
      <c r="BP37" s="18">
        <v>0</v>
      </c>
      <c r="BQ37" s="19">
        <v>0</v>
      </c>
      <c r="BR37" s="19" t="s">
        <v>56</v>
      </c>
      <c r="BS37" s="18">
        <v>0</v>
      </c>
      <c r="BT37" s="19">
        <v>0</v>
      </c>
      <c r="BU37" s="19" t="s">
        <v>56</v>
      </c>
      <c r="BV37" s="18">
        <v>0</v>
      </c>
      <c r="BW37" s="19">
        <v>0</v>
      </c>
      <c r="BX37" s="19" t="s">
        <v>56</v>
      </c>
      <c r="BY37" s="19">
        <v>3250</v>
      </c>
      <c r="BZ37" s="19">
        <v>3051.9</v>
      </c>
      <c r="CA37" s="19">
        <f t="shared" si="50"/>
        <v>93.904615384615383</v>
      </c>
      <c r="CB37" s="18">
        <f>1987.6</f>
        <v>1987.6</v>
      </c>
      <c r="CC37" s="18">
        <f>1987.6</f>
        <v>1987.6</v>
      </c>
      <c r="CD37" s="34">
        <v>100</v>
      </c>
      <c r="CE37" s="18">
        <v>7209.2</v>
      </c>
      <c r="CF37" s="18">
        <f>6033.2-74.6</f>
        <v>5958.5999999999995</v>
      </c>
      <c r="CG37" s="34">
        <f t="shared" si="22"/>
        <v>82.652721522499036</v>
      </c>
      <c r="CH37" s="34">
        <v>0</v>
      </c>
      <c r="CI37" s="34">
        <v>0</v>
      </c>
      <c r="CJ37" s="34" t="s">
        <v>56</v>
      </c>
      <c r="CK37" s="18">
        <v>2500</v>
      </c>
      <c r="CL37" s="18">
        <v>0</v>
      </c>
      <c r="CM37" s="34">
        <v>0</v>
      </c>
      <c r="CN37" s="18">
        <v>7548.6</v>
      </c>
      <c r="CO37" s="34">
        <f>2450.6+5098</f>
        <v>7548.6</v>
      </c>
      <c r="CP37" s="34">
        <f t="shared" si="4"/>
        <v>100</v>
      </c>
      <c r="CQ37" s="34">
        <v>348.5</v>
      </c>
      <c r="CR37" s="34">
        <v>0</v>
      </c>
      <c r="CS37" s="34">
        <v>0</v>
      </c>
      <c r="CT37" s="34">
        <v>72.7</v>
      </c>
      <c r="CU37" s="34">
        <v>72.7</v>
      </c>
      <c r="CV37" s="34">
        <v>0</v>
      </c>
      <c r="CW37" s="34">
        <v>11042.8</v>
      </c>
      <c r="CX37" s="34">
        <v>11042.8</v>
      </c>
      <c r="CY37" s="34">
        <f t="shared" si="23"/>
        <v>100</v>
      </c>
      <c r="CZ37" s="34">
        <v>2035.8</v>
      </c>
      <c r="DA37" s="34">
        <v>1088</v>
      </c>
      <c r="DB37" s="34">
        <f t="shared" si="49"/>
        <v>53.443363788191377</v>
      </c>
      <c r="DC37" s="34">
        <v>3688.4</v>
      </c>
      <c r="DD37" s="34">
        <v>0</v>
      </c>
      <c r="DE37" s="35">
        <f>(DD37/DC37)*100</f>
        <v>0</v>
      </c>
      <c r="DF37" s="34">
        <v>14059.8</v>
      </c>
      <c r="DG37" s="34">
        <v>7755.2</v>
      </c>
      <c r="DH37" s="34">
        <f>DG37/DF37%</f>
        <v>55.158679355325113</v>
      </c>
      <c r="DI37" s="34">
        <v>0</v>
      </c>
      <c r="DJ37" s="34">
        <v>0</v>
      </c>
      <c r="DK37" s="34" t="s">
        <v>56</v>
      </c>
      <c r="DL37" s="34">
        <v>64750.400000000001</v>
      </c>
      <c r="DM37" s="34">
        <v>31049.1</v>
      </c>
      <c r="DN37" s="34">
        <f t="shared" si="24"/>
        <v>47.951981763819219</v>
      </c>
      <c r="DO37" s="34">
        <v>450</v>
      </c>
      <c r="DP37" s="34">
        <v>154.1</v>
      </c>
      <c r="DQ37" s="34">
        <f t="shared" si="39"/>
        <v>34.244444444444447</v>
      </c>
      <c r="DR37" s="34">
        <v>0</v>
      </c>
      <c r="DS37" s="34">
        <v>0</v>
      </c>
      <c r="DT37" s="34" t="s">
        <v>56</v>
      </c>
      <c r="DU37" s="34">
        <v>7204.8</v>
      </c>
      <c r="DV37" s="34">
        <v>0</v>
      </c>
      <c r="DW37" s="34">
        <f>(DV37/DU37)*100</f>
        <v>0</v>
      </c>
      <c r="DX37" s="34">
        <v>0</v>
      </c>
      <c r="DY37" s="34">
        <v>0</v>
      </c>
      <c r="DZ37" s="34" t="s">
        <v>56</v>
      </c>
      <c r="EA37" s="18">
        <v>7440.5</v>
      </c>
      <c r="EB37" s="19">
        <v>0</v>
      </c>
      <c r="EC37" s="34">
        <f>EB37/EA37%</f>
        <v>0</v>
      </c>
      <c r="ED37" s="18">
        <v>0</v>
      </c>
      <c r="EE37" s="19">
        <v>0</v>
      </c>
      <c r="EF37" s="34" t="s">
        <v>56</v>
      </c>
      <c r="EG37" s="13">
        <f t="shared" si="5"/>
        <v>519020.93299999996</v>
      </c>
      <c r="EH37" s="13">
        <f t="shared" si="6"/>
        <v>369155.9</v>
      </c>
      <c r="EI37" s="14">
        <f t="shared" si="40"/>
        <v>71.125435705692439</v>
      </c>
      <c r="EJ37" s="36">
        <v>4077.6</v>
      </c>
      <c r="EK37" s="36">
        <v>3099.3</v>
      </c>
      <c r="EL37" s="19">
        <f t="shared" si="7"/>
        <v>76.007945850500306</v>
      </c>
      <c r="EM37" s="36">
        <v>114.2</v>
      </c>
      <c r="EN37" s="19">
        <v>98.5</v>
      </c>
      <c r="EO37" s="19">
        <f>EN37/EM37%</f>
        <v>86.252189141856377</v>
      </c>
      <c r="EP37" s="36">
        <f>533/1000</f>
        <v>0.53300000000000003</v>
      </c>
      <c r="EQ37" s="19">
        <v>0</v>
      </c>
      <c r="ER37" s="19">
        <f t="shared" si="10"/>
        <v>0</v>
      </c>
      <c r="ES37" s="36">
        <v>147690.9</v>
      </c>
      <c r="ET37" s="19">
        <v>83961.9</v>
      </c>
      <c r="EU37" s="19">
        <v>56.849744974131788</v>
      </c>
      <c r="EV37" s="34">
        <v>314345</v>
      </c>
      <c r="EW37" s="34">
        <v>250729.8</v>
      </c>
      <c r="EX37" s="35">
        <v>79.762617506243146</v>
      </c>
      <c r="EY37" s="36">
        <v>9325.5</v>
      </c>
      <c r="EZ37" s="34">
        <v>5258</v>
      </c>
      <c r="FA37" s="34">
        <f t="shared" si="25"/>
        <v>56.383035762157526</v>
      </c>
      <c r="FB37" s="36">
        <v>3221.2</v>
      </c>
      <c r="FC37" s="19">
        <v>1304.8</v>
      </c>
      <c r="FD37" s="19">
        <f t="shared" ref="FD37:FD42" si="58">FC37/FB37%</f>
        <v>40.506643486899293</v>
      </c>
      <c r="FE37" s="36">
        <v>956</v>
      </c>
      <c r="FF37" s="19">
        <v>620.9</v>
      </c>
      <c r="FG37" s="19">
        <f>FF37/FE37%</f>
        <v>64.947698744769866</v>
      </c>
      <c r="FH37" s="36">
        <v>0</v>
      </c>
      <c r="FI37" s="19">
        <v>0</v>
      </c>
      <c r="FJ37" s="19" t="s">
        <v>56</v>
      </c>
      <c r="FK37" s="36">
        <v>588</v>
      </c>
      <c r="FL37" s="19">
        <v>0</v>
      </c>
      <c r="FM37" s="19">
        <f t="shared" si="12"/>
        <v>0</v>
      </c>
      <c r="FN37" s="36">
        <v>245</v>
      </c>
      <c r="FO37" s="19">
        <v>183.6</v>
      </c>
      <c r="FP37" s="19">
        <f t="shared" si="13"/>
        <v>74.938775510204067</v>
      </c>
      <c r="FQ37" s="36">
        <v>3.8</v>
      </c>
      <c r="FR37" s="19">
        <v>3.8</v>
      </c>
      <c r="FS37" s="19">
        <f t="shared" si="14"/>
        <v>100</v>
      </c>
      <c r="FT37" s="36">
        <v>95.5</v>
      </c>
      <c r="FU37" s="19">
        <v>53.4</v>
      </c>
      <c r="FV37" s="19">
        <f t="shared" si="41"/>
        <v>55.916230366492151</v>
      </c>
      <c r="FW37" s="36">
        <v>0.5</v>
      </c>
      <c r="FX37" s="19">
        <v>0.5</v>
      </c>
      <c r="FY37" s="19" t="s">
        <v>56</v>
      </c>
      <c r="FZ37" s="36">
        <v>661.7</v>
      </c>
      <c r="GA37" s="19">
        <v>385.8</v>
      </c>
      <c r="GB37" s="19">
        <f t="shared" si="15"/>
        <v>58.304367538159283</v>
      </c>
      <c r="GC37" s="36">
        <v>443.1</v>
      </c>
      <c r="GD37" s="19">
        <v>322.89999999999998</v>
      </c>
      <c r="GE37" s="19">
        <f t="shared" si="16"/>
        <v>72.872940645452488</v>
      </c>
      <c r="GF37" s="36">
        <v>0</v>
      </c>
      <c r="GG37" s="19">
        <v>0</v>
      </c>
      <c r="GH37" s="19" t="s">
        <v>56</v>
      </c>
      <c r="GI37" s="37">
        <v>0</v>
      </c>
      <c r="GJ37" s="19">
        <v>0</v>
      </c>
      <c r="GK37" s="19" t="s">
        <v>56</v>
      </c>
      <c r="GL37" s="37">
        <v>2404.6999999999998</v>
      </c>
      <c r="GM37" s="19">
        <v>1609.7</v>
      </c>
      <c r="GN37" s="19">
        <f t="shared" si="17"/>
        <v>66.939743003285244</v>
      </c>
      <c r="GO37" s="36">
        <v>0</v>
      </c>
      <c r="GP37" s="36">
        <v>0</v>
      </c>
      <c r="GQ37" s="19" t="s">
        <v>56</v>
      </c>
      <c r="GR37" s="36">
        <v>228</v>
      </c>
      <c r="GS37" s="19">
        <v>173.1</v>
      </c>
      <c r="GT37" s="19">
        <f t="shared" si="56"/>
        <v>75.921052631578945</v>
      </c>
      <c r="GU37" s="36">
        <v>1403.6</v>
      </c>
      <c r="GV37" s="19">
        <v>568.20000000000005</v>
      </c>
      <c r="GW37" s="19">
        <f t="shared" si="57"/>
        <v>40.481618694784842</v>
      </c>
      <c r="GX37" s="36">
        <v>490</v>
      </c>
      <c r="GY37" s="19">
        <v>490</v>
      </c>
      <c r="GZ37" s="19" t="s">
        <v>56</v>
      </c>
      <c r="HA37" s="36">
        <v>637.1</v>
      </c>
      <c r="HB37" s="19">
        <v>0</v>
      </c>
      <c r="HC37" s="19">
        <v>0</v>
      </c>
      <c r="HD37" s="19">
        <v>26299</v>
      </c>
      <c r="HE37" s="19">
        <v>15949.2</v>
      </c>
      <c r="HF37" s="32">
        <f t="shared" si="26"/>
        <v>60.645651925928746</v>
      </c>
      <c r="HG37" s="36">
        <v>5790</v>
      </c>
      <c r="HH37" s="19">
        <v>4342.5</v>
      </c>
      <c r="HI37" s="19">
        <f t="shared" si="27"/>
        <v>75</v>
      </c>
      <c r="HJ37" s="17">
        <f t="shared" si="28"/>
        <v>90376.8</v>
      </c>
      <c r="HK37" s="17">
        <f t="shared" si="29"/>
        <v>22361</v>
      </c>
      <c r="HL37" s="16">
        <f t="shared" si="30"/>
        <v>24.741969177930617</v>
      </c>
      <c r="HM37" s="34">
        <v>12186.7</v>
      </c>
      <c r="HN37" s="34">
        <v>3046.7</v>
      </c>
      <c r="HO37" s="35">
        <f t="shared" si="42"/>
        <v>25.000205141670833</v>
      </c>
      <c r="HP37" s="35">
        <v>0</v>
      </c>
      <c r="HQ37" s="35">
        <v>0</v>
      </c>
      <c r="HR37" s="35" t="s">
        <v>56</v>
      </c>
      <c r="HS37" s="35">
        <v>10050</v>
      </c>
      <c r="HT37" s="35">
        <v>1148.9000000000001</v>
      </c>
      <c r="HU37" s="35">
        <f t="shared" si="43"/>
        <v>11.431840796019902</v>
      </c>
      <c r="HV37" s="35">
        <v>10229.299999999999</v>
      </c>
      <c r="HW37" s="35">
        <v>5457.8</v>
      </c>
      <c r="HX37" s="35">
        <f t="shared" si="44"/>
        <v>53.354579492242884</v>
      </c>
      <c r="HY37" s="34">
        <v>0</v>
      </c>
      <c r="HZ37" s="34">
        <v>0</v>
      </c>
      <c r="IA37" s="34" t="s">
        <v>56</v>
      </c>
      <c r="IB37" s="34">
        <v>154</v>
      </c>
      <c r="IC37" s="34">
        <v>154</v>
      </c>
      <c r="ID37" s="35">
        <f t="shared" si="31"/>
        <v>100</v>
      </c>
      <c r="IE37" s="34">
        <v>0</v>
      </c>
      <c r="IF37" s="34">
        <v>0</v>
      </c>
      <c r="IG37" s="35" t="s">
        <v>56</v>
      </c>
      <c r="IH37" s="20">
        <v>12756.8</v>
      </c>
      <c r="II37" s="19">
        <v>0</v>
      </c>
      <c r="IJ37" s="19">
        <f t="shared" si="32"/>
        <v>0</v>
      </c>
      <c r="IK37" s="18">
        <v>0</v>
      </c>
      <c r="IL37" s="18">
        <v>0</v>
      </c>
      <c r="IM37" s="18" t="s">
        <v>56</v>
      </c>
      <c r="IN37" s="19">
        <v>0</v>
      </c>
      <c r="IO37" s="19">
        <v>0</v>
      </c>
      <c r="IP37" s="19" t="s">
        <v>56</v>
      </c>
      <c r="IQ37" s="19">
        <v>0</v>
      </c>
      <c r="IR37" s="19">
        <v>0</v>
      </c>
      <c r="IS37" s="21" t="s">
        <v>56</v>
      </c>
      <c r="IT37" s="19">
        <v>0</v>
      </c>
      <c r="IU37" s="19">
        <v>0</v>
      </c>
      <c r="IV37" s="21" t="s">
        <v>56</v>
      </c>
      <c r="IW37" s="19">
        <v>0</v>
      </c>
      <c r="IX37" s="19">
        <v>0</v>
      </c>
      <c r="IY37" s="19" t="s">
        <v>56</v>
      </c>
      <c r="IZ37" s="19">
        <v>0</v>
      </c>
      <c r="JA37" s="19">
        <v>0</v>
      </c>
      <c r="JB37" s="21" t="s">
        <v>56</v>
      </c>
      <c r="JC37" s="19">
        <v>0</v>
      </c>
      <c r="JD37" s="19">
        <v>0</v>
      </c>
      <c r="JE37" s="19" t="s">
        <v>56</v>
      </c>
      <c r="JF37" s="19">
        <v>0</v>
      </c>
      <c r="JG37" s="19">
        <v>0</v>
      </c>
      <c r="JH37" s="25" t="s">
        <v>56</v>
      </c>
      <c r="JI37" s="23">
        <v>0</v>
      </c>
      <c r="JJ37" s="19">
        <v>0</v>
      </c>
      <c r="JK37" s="25" t="s">
        <v>56</v>
      </c>
      <c r="JL37" s="19">
        <v>0</v>
      </c>
      <c r="JM37" s="19">
        <v>0</v>
      </c>
      <c r="JN37" s="21" t="s">
        <v>56</v>
      </c>
      <c r="JO37" s="19">
        <v>0</v>
      </c>
      <c r="JP37" s="19">
        <v>0</v>
      </c>
      <c r="JQ37" s="19" t="s">
        <v>56</v>
      </c>
      <c r="JR37" s="19">
        <v>45000</v>
      </c>
      <c r="JS37" s="19">
        <v>12553.6</v>
      </c>
      <c r="JT37" s="19">
        <f>(JS37/JR37)*100</f>
        <v>27.896888888888888</v>
      </c>
      <c r="JU37" s="19">
        <v>0</v>
      </c>
      <c r="JV37" s="19">
        <v>0</v>
      </c>
      <c r="JW37" s="21" t="s">
        <v>56</v>
      </c>
      <c r="JX37" s="21">
        <v>0</v>
      </c>
      <c r="JY37" s="21">
        <v>0</v>
      </c>
      <c r="JZ37" s="21" t="s">
        <v>56</v>
      </c>
      <c r="KA37" s="21">
        <v>0</v>
      </c>
      <c r="KB37" s="21">
        <v>0</v>
      </c>
      <c r="KC37" s="21" t="s">
        <v>56</v>
      </c>
      <c r="KD37" s="14">
        <f t="shared" si="45"/>
        <v>968603.18723000004</v>
      </c>
      <c r="KE37" s="14">
        <f t="shared" si="46"/>
        <v>658112.19999999995</v>
      </c>
      <c r="KF37" s="14">
        <f t="shared" si="47"/>
        <v>67.944459472827205</v>
      </c>
      <c r="KG37" s="7"/>
      <c r="KH37" s="9"/>
      <c r="KJ37" s="9"/>
    </row>
    <row r="38" spans="1:296" s="3" customFormat="1" x14ac:dyDescent="0.2">
      <c r="A38" s="53" t="s">
        <v>51</v>
      </c>
      <c r="B38" s="46">
        <f t="shared" si="20"/>
        <v>647836.1</v>
      </c>
      <c r="C38" s="46">
        <f>F38+I38+L38</f>
        <v>601167.89999999991</v>
      </c>
      <c r="D38" s="47">
        <f t="shared" si="34"/>
        <v>92.796295235785706</v>
      </c>
      <c r="E38" s="52">
        <f>SUM(E39:E42)</f>
        <v>617095.1</v>
      </c>
      <c r="F38" s="52">
        <f>SUM(F39:F42)</f>
        <v>578112.89999999991</v>
      </c>
      <c r="G38" s="47">
        <f t="shared" ref="G38:G44" si="59">F38/E38%</f>
        <v>93.68295097465527</v>
      </c>
      <c r="H38" s="52">
        <f>SUM(H39:H42)</f>
        <v>0</v>
      </c>
      <c r="I38" s="52">
        <f>SUM(I39:I42)</f>
        <v>0</v>
      </c>
      <c r="J38" s="47" t="s">
        <v>56</v>
      </c>
      <c r="K38" s="52">
        <f>SUM(K39:K42)</f>
        <v>30741</v>
      </c>
      <c r="L38" s="52">
        <f>SUM(L39:L42)</f>
        <v>23055</v>
      </c>
      <c r="M38" s="47">
        <f>L38/K38%</f>
        <v>74.997560261539959</v>
      </c>
      <c r="N38" s="46">
        <f>SUM(N39:N42)</f>
        <v>1480124.02507</v>
      </c>
      <c r="O38" s="46">
        <f>SUM(O39:O42)</f>
        <v>644405.90000000014</v>
      </c>
      <c r="P38" s="47">
        <f t="shared" si="21"/>
        <v>43.537290732749511</v>
      </c>
      <c r="Q38" s="52">
        <f>SUM(Q39:Q42)</f>
        <v>4063.6</v>
      </c>
      <c r="R38" s="52">
        <f>SUM(R39:R42)</f>
        <v>0</v>
      </c>
      <c r="S38" s="47">
        <f t="shared" si="37"/>
        <v>0</v>
      </c>
      <c r="T38" s="52">
        <f>SUM(T39:T42)</f>
        <v>0</v>
      </c>
      <c r="U38" s="52">
        <f>SUM(U39:U42)</f>
        <v>0</v>
      </c>
      <c r="V38" s="47" t="s">
        <v>56</v>
      </c>
      <c r="W38" s="52">
        <f>SUM(W39:W42)</f>
        <v>12553.4</v>
      </c>
      <c r="X38" s="52">
        <f>SUM(X39:X42)</f>
        <v>12553.4</v>
      </c>
      <c r="Y38" s="47">
        <f>X38/W38%</f>
        <v>100</v>
      </c>
      <c r="Z38" s="52">
        <f>SUM(Z39:Z42)</f>
        <v>2040.5</v>
      </c>
      <c r="AA38" s="52">
        <f>SUM(AA39:AA42)</f>
        <v>1546.1</v>
      </c>
      <c r="AB38" s="47">
        <f>AA38/Z38%</f>
        <v>75.77064444988973</v>
      </c>
      <c r="AC38" s="52">
        <f>SUM(AC39:AC42)</f>
        <v>0</v>
      </c>
      <c r="AD38" s="52">
        <f>SUM(AD39:AD42)</f>
        <v>0</v>
      </c>
      <c r="AE38" s="47" t="s">
        <v>56</v>
      </c>
      <c r="AF38" s="52">
        <f>SUM(AF39:AF42)</f>
        <v>0</v>
      </c>
      <c r="AG38" s="52">
        <f>SUM(AG39:AG42)</f>
        <v>0</v>
      </c>
      <c r="AH38" s="47" t="s">
        <v>56</v>
      </c>
      <c r="AI38" s="52">
        <v>0</v>
      </c>
      <c r="AJ38" s="52">
        <v>0</v>
      </c>
      <c r="AK38" s="52" t="s">
        <v>56</v>
      </c>
      <c r="AL38" s="52">
        <f>SUM(AL39:AL42)</f>
        <v>25755</v>
      </c>
      <c r="AM38" s="52">
        <f>AM39+AM40+AM41+AM42</f>
        <v>7109.8</v>
      </c>
      <c r="AN38" s="47">
        <f t="shared" si="2"/>
        <v>27.605513492525724</v>
      </c>
      <c r="AO38" s="52">
        <f>SUM(AO39:AO42)</f>
        <v>70678</v>
      </c>
      <c r="AP38" s="52">
        <f>SUM(AP39:AP42)</f>
        <v>65186.7</v>
      </c>
      <c r="AQ38" s="47">
        <f>(AP38/AO38)*100</f>
        <v>92.230538498542685</v>
      </c>
      <c r="AR38" s="52">
        <f>SUM(AR39:AR42)</f>
        <v>0</v>
      </c>
      <c r="AS38" s="52">
        <f>SUM(AS39:AS42)</f>
        <v>0</v>
      </c>
      <c r="AT38" s="47" t="s">
        <v>56</v>
      </c>
      <c r="AU38" s="52">
        <v>0</v>
      </c>
      <c r="AV38" s="52">
        <v>0</v>
      </c>
      <c r="AW38" s="52" t="s">
        <v>56</v>
      </c>
      <c r="AX38" s="52">
        <f>SUM(AX39:AX42)</f>
        <v>132333.6</v>
      </c>
      <c r="AY38" s="52">
        <f>SUM(AY39:AY42)</f>
        <v>32630.699999999997</v>
      </c>
      <c r="AZ38" s="52">
        <f>(AY38/AX38)*100</f>
        <v>24.657910009249349</v>
      </c>
      <c r="BA38" s="52">
        <f>BA39+BA40+BA41+BA42</f>
        <v>80000</v>
      </c>
      <c r="BB38" s="52">
        <f>BB41</f>
        <v>53334.7</v>
      </c>
      <c r="BC38" s="52">
        <f>(BB38/BA38)*100</f>
        <v>66.668374999999997</v>
      </c>
      <c r="BD38" s="52">
        <f>SUM(BD39:BD42)</f>
        <v>11000</v>
      </c>
      <c r="BE38" s="52">
        <f>SUM(BE39:BE42)</f>
        <v>2397.4</v>
      </c>
      <c r="BF38" s="47">
        <f>BE38/BD38%</f>
        <v>21.794545454545457</v>
      </c>
      <c r="BG38" s="52">
        <f>BG39+BG40+BG41+BG42</f>
        <v>44.735190000000003</v>
      </c>
      <c r="BH38" s="52">
        <f>BH39+BH40+BH41+BH42</f>
        <v>44.7</v>
      </c>
      <c r="BI38" s="47">
        <f t="shared" si="3"/>
        <v>99.921337095025194</v>
      </c>
      <c r="BJ38" s="52">
        <f>SUM(BJ39:BJ42)</f>
        <v>0</v>
      </c>
      <c r="BK38" s="52">
        <f>SUM(BK39:BK42)</f>
        <v>0</v>
      </c>
      <c r="BL38" s="47" t="s">
        <v>56</v>
      </c>
      <c r="BM38" s="52">
        <f>SUM(BM39:BM42)</f>
        <v>2835</v>
      </c>
      <c r="BN38" s="52">
        <f>SUM(BN39:BN42)</f>
        <v>2835</v>
      </c>
      <c r="BO38" s="47">
        <f t="shared" ref="BO38:BO44" si="60">BN38/BM38%</f>
        <v>100</v>
      </c>
      <c r="BP38" s="52">
        <f>SUM(BP39:BP42)</f>
        <v>0</v>
      </c>
      <c r="BQ38" s="52">
        <f>SUM(BQ39:BQ42)</f>
        <v>0</v>
      </c>
      <c r="BR38" s="47" t="s">
        <v>56</v>
      </c>
      <c r="BS38" s="52">
        <f>SUM(BS39:BS42)</f>
        <v>91344.4</v>
      </c>
      <c r="BT38" s="52">
        <f>SUM(BT39:BT42)</f>
        <v>18244</v>
      </c>
      <c r="BU38" s="52">
        <f>(BT38/BS38)*100</f>
        <v>19.972762424406969</v>
      </c>
      <c r="BV38" s="52">
        <v>0</v>
      </c>
      <c r="BW38" s="47">
        <v>0</v>
      </c>
      <c r="BX38" s="52" t="s">
        <v>56</v>
      </c>
      <c r="BY38" s="52">
        <f>BY39+BY40+BY41+BY42</f>
        <v>4311.1000000000004</v>
      </c>
      <c r="BZ38" s="52">
        <f>BZ39+BZ40+BZ41+BZ42</f>
        <v>2067.5</v>
      </c>
      <c r="CA38" s="52">
        <f>(BZ38/BY38)*100</f>
        <v>47.957597828860379</v>
      </c>
      <c r="CB38" s="52">
        <f>SUM(CB39:CB42)</f>
        <v>0</v>
      </c>
      <c r="CC38" s="52">
        <f>SUM(CC39:CC42)</f>
        <v>0</v>
      </c>
      <c r="CD38" s="49" t="s">
        <v>56</v>
      </c>
      <c r="CE38" s="52">
        <f>CE39+CE40+CE41+CE42</f>
        <v>1469.9</v>
      </c>
      <c r="CF38" s="47">
        <f>CF39+CF40+CF41+CF42</f>
        <v>1079.5</v>
      </c>
      <c r="CG38" s="49">
        <f t="shared" si="22"/>
        <v>73.440370093203612</v>
      </c>
      <c r="CH38" s="52">
        <f>SUM(CH39:CH42)</f>
        <v>0</v>
      </c>
      <c r="CI38" s="52">
        <f>SUM(CI39:CI42)</f>
        <v>0</v>
      </c>
      <c r="CJ38" s="47" t="s">
        <v>56</v>
      </c>
      <c r="CK38" s="52">
        <f>SUM(CK39:CK42)</f>
        <v>52627.199999999997</v>
      </c>
      <c r="CL38" s="52">
        <f>SUM(CL39:CL42)</f>
        <v>0</v>
      </c>
      <c r="CM38" s="49">
        <v>0</v>
      </c>
      <c r="CN38" s="52">
        <f>SUM(CN39:CN42)</f>
        <v>96710.8</v>
      </c>
      <c r="CO38" s="52">
        <f>SUM(CO39:CO42)</f>
        <v>95314.6</v>
      </c>
      <c r="CP38" s="49">
        <f t="shared" si="4"/>
        <v>98.556314289613979</v>
      </c>
      <c r="CQ38" s="52">
        <f>SUM(CQ39:CQ42)</f>
        <v>192.98988</v>
      </c>
      <c r="CR38" s="52">
        <f>SUM(CR39:CR42)</f>
        <v>0</v>
      </c>
      <c r="CS38" s="49">
        <f>CR38/CQ38%</f>
        <v>0</v>
      </c>
      <c r="CT38" s="52">
        <f>SUM(CT39:CT42)</f>
        <v>177.9</v>
      </c>
      <c r="CU38" s="52">
        <f>SUM(CU39:CU42)</f>
        <v>177.9</v>
      </c>
      <c r="CV38" s="49">
        <f>(CU38/CT38)*100</f>
        <v>100</v>
      </c>
      <c r="CW38" s="52">
        <f>SUM(CW39:CW42)</f>
        <v>106761.59999999999</v>
      </c>
      <c r="CX38" s="52">
        <f>SUM(CX39:CX42)</f>
        <v>41954.1</v>
      </c>
      <c r="CY38" s="49">
        <f t="shared" si="23"/>
        <v>39.296994424961781</v>
      </c>
      <c r="CZ38" s="52">
        <f>SUM(CZ39:CZ42)</f>
        <v>0</v>
      </c>
      <c r="DA38" s="52">
        <f>SUM(DA39:DA42)</f>
        <v>0</v>
      </c>
      <c r="DB38" s="49" t="s">
        <v>56</v>
      </c>
      <c r="DC38" s="49">
        <f>DC39+DC40+DC41+DC42</f>
        <v>187405.1</v>
      </c>
      <c r="DD38" s="49">
        <f>DD39+DD40+DD41+DD42</f>
        <v>28825</v>
      </c>
      <c r="DE38" s="50">
        <f>(DD38/DC38)*100</f>
        <v>15.381118229973465</v>
      </c>
      <c r="DF38" s="52">
        <f>SUM(DF39:DF42)</f>
        <v>342565.5</v>
      </c>
      <c r="DG38" s="52">
        <f>SUM(DG39:DG42)</f>
        <v>133246</v>
      </c>
      <c r="DH38" s="49">
        <f>DG38/DF38%</f>
        <v>38.8965030045349</v>
      </c>
      <c r="DI38" s="52">
        <f>SUM(DI39:DI42)</f>
        <v>13264.9</v>
      </c>
      <c r="DJ38" s="52">
        <f>SUM(DJ39:DJ42)</f>
        <v>12855.5</v>
      </c>
      <c r="DK38" s="49">
        <v>0</v>
      </c>
      <c r="DL38" s="52">
        <f>SUM(DL39:DL42)</f>
        <v>145301.70000000001</v>
      </c>
      <c r="DM38" s="52">
        <f>SUM(DM39:DM42)</f>
        <v>88411.7</v>
      </c>
      <c r="DN38" s="49">
        <f t="shared" si="24"/>
        <v>60.846982519819107</v>
      </c>
      <c r="DO38" s="52">
        <f>SUM(DO39:DO42)</f>
        <v>0</v>
      </c>
      <c r="DP38" s="52">
        <f>SUM(DP39:DP42)</f>
        <v>0</v>
      </c>
      <c r="DQ38" s="52" t="s">
        <v>56</v>
      </c>
      <c r="DR38" s="52">
        <f>SUM(DR39:DR42)</f>
        <v>0</v>
      </c>
      <c r="DS38" s="52">
        <f>SUM(DS39:DS42)</f>
        <v>0</v>
      </c>
      <c r="DT38" s="52" t="s">
        <v>56</v>
      </c>
      <c r="DU38" s="52">
        <f>SUM(DU39:DU42)</f>
        <v>0</v>
      </c>
      <c r="DV38" s="52">
        <f>SUM(DV39:DV42)</f>
        <v>0</v>
      </c>
      <c r="DW38" s="49" t="s">
        <v>56</v>
      </c>
      <c r="DX38" s="52">
        <f>SUM(DX39:DX42)</f>
        <v>10550.1</v>
      </c>
      <c r="DY38" s="52">
        <f>SUM(DY39:DY42)</f>
        <v>5192.5</v>
      </c>
      <c r="DZ38" s="52">
        <f>(DY38/DX38)*100</f>
        <v>49.217542961678085</v>
      </c>
      <c r="EA38" s="52">
        <f>SUM(EA39:EA42)</f>
        <v>77200</v>
      </c>
      <c r="EB38" s="52">
        <f>SUM(EB39:EB42)</f>
        <v>32486.3</v>
      </c>
      <c r="EC38" s="52">
        <f>(EB38/EA38)*100</f>
        <v>42.080699481865288</v>
      </c>
      <c r="ED38" s="52">
        <f>SUM(ED39:ED42)</f>
        <v>8937</v>
      </c>
      <c r="EE38" s="52">
        <f>SUM(EE39:EE42)</f>
        <v>6912.8</v>
      </c>
      <c r="EF38" s="52">
        <f>(EE38/ED38)*100</f>
        <v>77.350341277833721</v>
      </c>
      <c r="EG38" s="46">
        <f t="shared" si="5"/>
        <v>3662557.6000000006</v>
      </c>
      <c r="EH38" s="46">
        <f t="shared" si="6"/>
        <v>2698499.8</v>
      </c>
      <c r="EI38" s="47">
        <f t="shared" ref="EI38:EI44" si="61">EH38/EG38*100</f>
        <v>73.678016695218645</v>
      </c>
      <c r="EJ38" s="52">
        <f>SUM(EJ39:EJ42)</f>
        <v>29710</v>
      </c>
      <c r="EK38" s="52">
        <f>SUM(EK39:EK42)</f>
        <v>20024.7</v>
      </c>
      <c r="EL38" s="47">
        <f t="shared" si="7"/>
        <v>67.400538539212377</v>
      </c>
      <c r="EM38" s="52">
        <f>SUM(EM39:EM42)</f>
        <v>114.1</v>
      </c>
      <c r="EN38" s="52">
        <f t="shared" ref="EN38:HA38" si="62">SUM(EN39:EN42)</f>
        <v>0</v>
      </c>
      <c r="EO38" s="52">
        <v>0</v>
      </c>
      <c r="EP38" s="52">
        <f t="shared" si="62"/>
        <v>40.9</v>
      </c>
      <c r="EQ38" s="52">
        <f t="shared" si="62"/>
        <v>0</v>
      </c>
      <c r="ER38" s="47">
        <f t="shared" ref="ER38:ER44" si="63">EQ38/EP38%</f>
        <v>0</v>
      </c>
      <c r="ES38" s="52">
        <f t="shared" si="62"/>
        <v>1476898.3</v>
      </c>
      <c r="ET38" s="52">
        <f>SUM(ET39:ET42)</f>
        <v>1041765.2</v>
      </c>
      <c r="EU38" s="47">
        <f t="shared" ref="EU38" si="64">ET38/ES38%</f>
        <v>70.537368754503945</v>
      </c>
      <c r="EV38" s="49">
        <f>SUM(EV39:EV42)</f>
        <v>1865755.4999999998</v>
      </c>
      <c r="EW38" s="49">
        <f>SUM(EW39:EW42)</f>
        <v>1471372.0000000002</v>
      </c>
      <c r="EX38" s="50">
        <f t="shared" ref="EX38:EX44" si="65">(EW38/EV38)*100</f>
        <v>78.861994511070748</v>
      </c>
      <c r="EY38" s="52">
        <f t="shared" si="62"/>
        <v>34953.699999999997</v>
      </c>
      <c r="EZ38" s="54">
        <f t="shared" si="62"/>
        <v>17916.800000000003</v>
      </c>
      <c r="FA38" s="49">
        <f t="shared" si="25"/>
        <v>51.258665034030741</v>
      </c>
      <c r="FB38" s="52">
        <f t="shared" si="62"/>
        <v>16157.7</v>
      </c>
      <c r="FC38" s="52">
        <f t="shared" si="62"/>
        <v>7898.5</v>
      </c>
      <c r="FD38" s="47">
        <f t="shared" si="58"/>
        <v>48.883813909157865</v>
      </c>
      <c r="FE38" s="52">
        <f t="shared" si="62"/>
        <v>6466.6</v>
      </c>
      <c r="FF38" s="52">
        <f t="shared" si="62"/>
        <v>2577.6</v>
      </c>
      <c r="FG38" s="47">
        <f>FF38/FE38%</f>
        <v>39.860204744378805</v>
      </c>
      <c r="FH38" s="52">
        <f t="shared" si="62"/>
        <v>0</v>
      </c>
      <c r="FI38" s="52">
        <f t="shared" si="62"/>
        <v>0</v>
      </c>
      <c r="FJ38" s="47" t="s">
        <v>56</v>
      </c>
      <c r="FK38" s="52">
        <f t="shared" si="62"/>
        <v>81110</v>
      </c>
      <c r="FL38" s="52">
        <f t="shared" si="62"/>
        <v>30650.799999999999</v>
      </c>
      <c r="FM38" s="47">
        <f t="shared" ref="FM38:FM44" si="66">FL38/FK38%</f>
        <v>37.789175194180743</v>
      </c>
      <c r="FN38" s="52">
        <f>SUM(FN39:FN42)</f>
        <v>0</v>
      </c>
      <c r="FO38" s="52">
        <f>SUM(FO39:FO42)</f>
        <v>0</v>
      </c>
      <c r="FP38" s="47" t="s">
        <v>56</v>
      </c>
      <c r="FQ38" s="52">
        <f t="shared" si="62"/>
        <v>300.3</v>
      </c>
      <c r="FR38" s="52">
        <f t="shared" si="62"/>
        <v>88.9</v>
      </c>
      <c r="FS38" s="47">
        <f t="shared" ref="FS38:FS44" si="67">FR38/FQ38%</f>
        <v>29.603729603729604</v>
      </c>
      <c r="FT38" s="52">
        <f t="shared" si="62"/>
        <v>445.5</v>
      </c>
      <c r="FU38" s="52">
        <f t="shared" si="62"/>
        <v>268.5</v>
      </c>
      <c r="FV38" s="47">
        <f t="shared" ref="FV38:FV44" si="68">FU38/FT38%</f>
        <v>60.26936026936027</v>
      </c>
      <c r="FW38" s="52">
        <f>SUM(FW39:FW42)</f>
        <v>17</v>
      </c>
      <c r="FX38" s="52">
        <f>SUM(FX39:FX42)</f>
        <v>3.5</v>
      </c>
      <c r="FY38" s="47">
        <f>FX38/FW38%</f>
        <v>20.588235294117645</v>
      </c>
      <c r="FZ38" s="52">
        <f t="shared" si="62"/>
        <v>5040.1000000000004</v>
      </c>
      <c r="GA38" s="52">
        <f t="shared" si="62"/>
        <v>4439.2</v>
      </c>
      <c r="GB38" s="47">
        <f t="shared" ref="GB38:GB44" si="69">GA38/FZ38%</f>
        <v>88.077617507589125</v>
      </c>
      <c r="GC38" s="52">
        <f t="shared" si="62"/>
        <v>2498.5</v>
      </c>
      <c r="GD38" s="52">
        <f t="shared" si="62"/>
        <v>2025.5</v>
      </c>
      <c r="GE38" s="47">
        <f t="shared" ref="GE38:GE44" si="70">GD38/GC38%</f>
        <v>81.068641184710827</v>
      </c>
      <c r="GF38" s="52">
        <f t="shared" si="62"/>
        <v>0</v>
      </c>
      <c r="GG38" s="52">
        <f t="shared" si="62"/>
        <v>0</v>
      </c>
      <c r="GH38" s="47" t="s">
        <v>56</v>
      </c>
      <c r="GI38" s="52">
        <f t="shared" si="62"/>
        <v>0</v>
      </c>
      <c r="GJ38" s="52">
        <f t="shared" si="62"/>
        <v>0</v>
      </c>
      <c r="GK38" s="47" t="s">
        <v>56</v>
      </c>
      <c r="GL38" s="52">
        <f>GL39+GL40+GL41+GL42</f>
        <v>330.8</v>
      </c>
      <c r="GM38" s="52">
        <f>SUM(GM39:GM42)</f>
        <v>179.3</v>
      </c>
      <c r="GN38" s="47">
        <f t="shared" si="17"/>
        <v>54.201934703748485</v>
      </c>
      <c r="GO38" s="52">
        <f>SUM(GO39:GO42)</f>
        <v>476.2</v>
      </c>
      <c r="GP38" s="52">
        <f>SUM(GP39:GP42)</f>
        <v>0</v>
      </c>
      <c r="GQ38" s="47">
        <f>GP38/GO38%</f>
        <v>0</v>
      </c>
      <c r="GR38" s="52">
        <f t="shared" si="62"/>
        <v>2804.6</v>
      </c>
      <c r="GS38" s="52">
        <f t="shared" si="62"/>
        <v>2113.1999999999998</v>
      </c>
      <c r="GT38" s="47">
        <f t="shared" si="56"/>
        <v>75.347643157669538</v>
      </c>
      <c r="GU38" s="52">
        <f t="shared" si="62"/>
        <v>11441.2</v>
      </c>
      <c r="GV38" s="52">
        <f t="shared" si="62"/>
        <v>3419.3</v>
      </c>
      <c r="GW38" s="47">
        <f>GV38/GU38%</f>
        <v>29.885851134496381</v>
      </c>
      <c r="GX38" s="52">
        <f t="shared" si="62"/>
        <v>15391.3</v>
      </c>
      <c r="GY38" s="52">
        <f t="shared" si="62"/>
        <v>10648.3</v>
      </c>
      <c r="GZ38" s="47">
        <f t="shared" ref="GZ38:GZ44" si="71">GY38/GX38%</f>
        <v>69.183889599968822</v>
      </c>
      <c r="HA38" s="52">
        <f t="shared" si="62"/>
        <v>5596.7000000000007</v>
      </c>
      <c r="HB38" s="52">
        <f>SUM(HB39:HB42)</f>
        <v>0</v>
      </c>
      <c r="HC38" s="52">
        <v>0</v>
      </c>
      <c r="HD38" s="52">
        <f>HD39+HD40+HD41+HD42</f>
        <v>107008.6</v>
      </c>
      <c r="HE38" s="52">
        <f>HE39+HE40+HE41+HE42</f>
        <v>83108.5</v>
      </c>
      <c r="HF38" s="48">
        <f t="shared" si="26"/>
        <v>77.665253073117483</v>
      </c>
      <c r="HG38" s="52">
        <f>SUM(HG39:HG42)</f>
        <v>0</v>
      </c>
      <c r="HH38" s="52">
        <f>SUM(HH39:HH42)</f>
        <v>0</v>
      </c>
      <c r="HI38" s="52" t="s">
        <v>56</v>
      </c>
      <c r="HJ38" s="51">
        <f t="shared" si="28"/>
        <v>1168819.4000000001</v>
      </c>
      <c r="HK38" s="51">
        <f t="shared" si="29"/>
        <v>452638.6</v>
      </c>
      <c r="HL38" s="49">
        <f t="shared" si="30"/>
        <v>38.726136818057597</v>
      </c>
      <c r="HM38" s="49">
        <f>HM39+HM40+HM41+HM42</f>
        <v>79616.800000000003</v>
      </c>
      <c r="HN38" s="49">
        <f>HN39+HN40+HN41+HN42</f>
        <v>18791</v>
      </c>
      <c r="HO38" s="50">
        <f t="shared" si="42"/>
        <v>23.60180263461983</v>
      </c>
      <c r="HP38" s="50">
        <f>HP39+HP40+HP41+HP42</f>
        <v>0</v>
      </c>
      <c r="HQ38" s="50">
        <f>HQ39+HQ40+HQ41+HP42</f>
        <v>0</v>
      </c>
      <c r="HR38" s="50" t="s">
        <v>56</v>
      </c>
      <c r="HS38" s="50">
        <f>SUM(HS39:HS42)</f>
        <v>44883.9</v>
      </c>
      <c r="HT38" s="50">
        <f>SUM(HT39:HT42)</f>
        <v>2109.1999999999998</v>
      </c>
      <c r="HU38" s="50">
        <f t="shared" si="43"/>
        <v>4.6992351377665482</v>
      </c>
      <c r="HV38" s="50">
        <f>HV39+HV40+HV41+HV42</f>
        <v>110081.60000000001</v>
      </c>
      <c r="HW38" s="50">
        <f>HW39+HW40+HW41+HW42</f>
        <v>3731.3</v>
      </c>
      <c r="HX38" s="50">
        <f>(HW38/HV38)*100</f>
        <v>3.389576459644482</v>
      </c>
      <c r="HY38" s="49">
        <v>0</v>
      </c>
      <c r="HZ38" s="49">
        <v>0</v>
      </c>
      <c r="IA38" s="49" t="s">
        <v>56</v>
      </c>
      <c r="IB38" s="49">
        <f>SUM(IB39:IB42)</f>
        <v>1039</v>
      </c>
      <c r="IC38" s="49">
        <f>SUM(IC39:IC42)</f>
        <v>1039</v>
      </c>
      <c r="ID38" s="50">
        <f t="shared" si="31"/>
        <v>100</v>
      </c>
      <c r="IE38" s="49">
        <f>SUM(IE39:IE42)</f>
        <v>28336.5</v>
      </c>
      <c r="IF38" s="49">
        <f>SUM(IF39:IF42)</f>
        <v>17289.3</v>
      </c>
      <c r="IG38" s="50">
        <f>(IF38/IE38)*100</f>
        <v>61.014239584987564</v>
      </c>
      <c r="IH38" s="52">
        <f>SUM(IH39:IH42)</f>
        <v>146169.5</v>
      </c>
      <c r="II38" s="52">
        <f>SUM(II39:II42)</f>
        <v>63931.3</v>
      </c>
      <c r="IJ38" s="47">
        <f t="shared" si="32"/>
        <v>43.737783874200844</v>
      </c>
      <c r="IK38" s="52">
        <f>SUM(IK39:IK42)</f>
        <v>0</v>
      </c>
      <c r="IL38" s="52">
        <f>SUM(IL39:IL42)</f>
        <v>0</v>
      </c>
      <c r="IM38" s="52" t="s">
        <v>56</v>
      </c>
      <c r="IN38" s="52">
        <v>0</v>
      </c>
      <c r="IO38" s="52">
        <v>0</v>
      </c>
      <c r="IP38" s="52" t="s">
        <v>56</v>
      </c>
      <c r="IQ38" s="52">
        <f>SUM(IQ39:IQ42)</f>
        <v>0</v>
      </c>
      <c r="IR38" s="52">
        <v>0</v>
      </c>
      <c r="IS38" s="52" t="s">
        <v>56</v>
      </c>
      <c r="IT38" s="52">
        <f>IT39+IT40+IT41+IT42</f>
        <v>11728</v>
      </c>
      <c r="IU38" s="52">
        <f>IU39+IU40+IU41+IU42</f>
        <v>5776.5</v>
      </c>
      <c r="IV38" s="46">
        <f>(IU38/IT38)*100</f>
        <v>49.253922237380628</v>
      </c>
      <c r="IW38" s="52">
        <f>IW39+IW40+IW41+IW42</f>
        <v>0</v>
      </c>
      <c r="IX38" s="52">
        <f>IX39+IX40+IX41+IX42</f>
        <v>0</v>
      </c>
      <c r="IY38" s="52" t="s">
        <v>56</v>
      </c>
      <c r="IZ38" s="52">
        <f>SUM(IZ39:IZ42)</f>
        <v>4759.3999999999996</v>
      </c>
      <c r="JA38" s="52">
        <f>SUM(JA39:JA42)</f>
        <v>4520.1000000000004</v>
      </c>
      <c r="JB38" s="46">
        <f>(JA38/IZ38)*100</f>
        <v>94.972055301088389</v>
      </c>
      <c r="JC38" s="52">
        <f>JC39+JC40+JC41+JC42</f>
        <v>0</v>
      </c>
      <c r="JD38" s="52">
        <f>JD39+JD40+JD41+JD42</f>
        <v>0</v>
      </c>
      <c r="JE38" s="52" t="s">
        <v>56</v>
      </c>
      <c r="JF38" s="52">
        <f>SUM(JF39:JF42)</f>
        <v>106.8</v>
      </c>
      <c r="JG38" s="52">
        <f>SUM(JG39:JG42)</f>
        <v>88</v>
      </c>
      <c r="JH38" s="52">
        <f>(JG38/JF38)*100</f>
        <v>82.397003745318358</v>
      </c>
      <c r="JI38" s="55">
        <f>SUM(JI39:JI42)</f>
        <v>48.1</v>
      </c>
      <c r="JJ38" s="55">
        <f>SUM(JJ39:JJ42)</f>
        <v>45.7</v>
      </c>
      <c r="JK38" s="52">
        <f>(JJ38/JI38)*100</f>
        <v>95.010395010395015</v>
      </c>
      <c r="JL38" s="52">
        <f>SUM(JL39:JL42)</f>
        <v>0</v>
      </c>
      <c r="JM38" s="52">
        <v>0</v>
      </c>
      <c r="JN38" s="52" t="s">
        <v>56</v>
      </c>
      <c r="JO38" s="52">
        <f>SUM(JO39:JO42)</f>
        <v>1020.4</v>
      </c>
      <c r="JP38" s="52">
        <v>1020.4</v>
      </c>
      <c r="JQ38" s="52">
        <v>100</v>
      </c>
      <c r="JR38" s="52">
        <f>SUM(JR39:JR42)</f>
        <v>0</v>
      </c>
      <c r="JS38" s="52">
        <f>SUM(JS39:JS42)</f>
        <v>0</v>
      </c>
      <c r="JT38" s="52" t="s">
        <v>56</v>
      </c>
      <c r="JU38" s="52">
        <f>SUM(JU39:JU42)</f>
        <v>741029.4</v>
      </c>
      <c r="JV38" s="52">
        <f>SUM(JV39:JV42)</f>
        <v>334296.8</v>
      </c>
      <c r="JW38" s="46">
        <f>(JV38/JU38)*100</f>
        <v>45.112488114506654</v>
      </c>
      <c r="JX38" s="46">
        <f>JX39+JX40+JX41+JX42</f>
        <v>0</v>
      </c>
      <c r="JY38" s="46">
        <f>JY39+JY40+JY41+JY42</f>
        <v>0</v>
      </c>
      <c r="JZ38" s="46" t="s">
        <v>56</v>
      </c>
      <c r="KA38" s="46">
        <f>SUM(KA39:KA42)</f>
        <v>0</v>
      </c>
      <c r="KB38" s="46">
        <f>SUM(KB39:KB42)</f>
        <v>0</v>
      </c>
      <c r="KC38" s="46" t="s">
        <v>56</v>
      </c>
      <c r="KD38" s="52">
        <f>SUM(KD39:KD42)</f>
        <v>6959337.1250700001</v>
      </c>
      <c r="KE38" s="52">
        <f>SUM(KE39:KE42)</f>
        <v>4396712.2</v>
      </c>
      <c r="KF38" s="47">
        <f t="shared" ref="KF38:KF44" si="72">KE38/KD38%</f>
        <v>63.177169333577531</v>
      </c>
      <c r="KG38" s="8"/>
      <c r="KH38" s="9"/>
      <c r="KJ38" s="9"/>
    </row>
    <row r="39" spans="1:296" x14ac:dyDescent="0.2">
      <c r="A39" s="27" t="s">
        <v>28</v>
      </c>
      <c r="B39" s="13">
        <f t="shared" si="20"/>
        <v>92371</v>
      </c>
      <c r="C39" s="13">
        <f>F39+I39+L39</f>
        <v>92371</v>
      </c>
      <c r="D39" s="14">
        <f t="shared" ref="D39:D43" si="73">C39/B39*100</f>
        <v>100</v>
      </c>
      <c r="E39" s="18">
        <v>92371</v>
      </c>
      <c r="F39" s="19">
        <v>92371</v>
      </c>
      <c r="G39" s="19">
        <f t="shared" si="59"/>
        <v>100</v>
      </c>
      <c r="H39" s="18">
        <v>0</v>
      </c>
      <c r="I39" s="18">
        <v>0</v>
      </c>
      <c r="J39" s="19" t="s">
        <v>56</v>
      </c>
      <c r="K39" s="19">
        <v>0</v>
      </c>
      <c r="L39" s="19">
        <v>0</v>
      </c>
      <c r="M39" s="19" t="s">
        <v>56</v>
      </c>
      <c r="N39" s="13">
        <f t="shared" ref="N39" si="74">Q39+T39+W39+Z39+AC39+AF39+AI39+AL39+AO39+AR39+AU39+AX39+BA39+BD39+BG39+BJ39+BM39+BP39+BS39+BV39+BY39+CB39+CE39+CH39+CK39+CN39+CQ39+CT39+CW39+CZ39+DC39+DF39+DI39+DL39+DO39+DR39+DU39+DX39+EA39+ED39</f>
        <v>110373.08988</v>
      </c>
      <c r="O39" s="13">
        <f t="shared" ref="O39" si="75">R39+U39+X39+AA39+AD39+AG39+AJ39+AM39+AP39+AS39+AV39+AY39+BB39+BE39+BH39+BK39+BN39+BQ39+BT39+BW39+BZ39+CC39+CF39+CI39+CL39+CO39+CR39+CU39+CX39+DA39+DD39+DG39+DJ39+DM39+DP39+DS39+DV39+DY39+EB39+EE39</f>
        <v>83241.400000000009</v>
      </c>
      <c r="P39" s="14">
        <f t="shared" si="21"/>
        <v>75.418202109320177</v>
      </c>
      <c r="Q39" s="19">
        <v>0</v>
      </c>
      <c r="R39" s="19">
        <v>0</v>
      </c>
      <c r="S39" s="19" t="s">
        <v>56</v>
      </c>
      <c r="T39" s="18">
        <v>0</v>
      </c>
      <c r="U39" s="19">
        <v>0</v>
      </c>
      <c r="V39" s="19" t="s">
        <v>56</v>
      </c>
      <c r="W39" s="18">
        <v>0</v>
      </c>
      <c r="X39" s="19">
        <v>0</v>
      </c>
      <c r="Y39" s="19" t="s">
        <v>56</v>
      </c>
      <c r="Z39" s="18">
        <v>0</v>
      </c>
      <c r="AA39" s="19">
        <v>0</v>
      </c>
      <c r="AB39" s="19" t="s">
        <v>56</v>
      </c>
      <c r="AC39" s="18">
        <v>0</v>
      </c>
      <c r="AD39" s="19">
        <v>0</v>
      </c>
      <c r="AE39" s="19" t="s">
        <v>56</v>
      </c>
      <c r="AF39" s="18">
        <v>0</v>
      </c>
      <c r="AG39" s="19">
        <v>0</v>
      </c>
      <c r="AH39" s="19" t="s">
        <v>56</v>
      </c>
      <c r="AI39" s="19">
        <v>0</v>
      </c>
      <c r="AJ39" s="19">
        <v>0</v>
      </c>
      <c r="AK39" s="19" t="s">
        <v>56</v>
      </c>
      <c r="AL39" s="19">
        <v>2933.4</v>
      </c>
      <c r="AM39" s="19">
        <v>1049.7</v>
      </c>
      <c r="AN39" s="19">
        <f t="shared" si="2"/>
        <v>35.784413990591126</v>
      </c>
      <c r="AO39" s="19">
        <v>0</v>
      </c>
      <c r="AP39" s="19">
        <v>0</v>
      </c>
      <c r="AQ39" s="19" t="s">
        <v>56</v>
      </c>
      <c r="AR39" s="19">
        <v>0</v>
      </c>
      <c r="AS39" s="19">
        <v>0</v>
      </c>
      <c r="AT39" s="19" t="s">
        <v>56</v>
      </c>
      <c r="AU39" s="19">
        <v>0</v>
      </c>
      <c r="AV39" s="19">
        <v>0</v>
      </c>
      <c r="AW39" s="19" t="s">
        <v>56</v>
      </c>
      <c r="AX39" s="19">
        <v>10462.799999999999</v>
      </c>
      <c r="AY39" s="19">
        <v>2615.6999999999998</v>
      </c>
      <c r="AZ39" s="19">
        <f>(AY39/AX39)*100</f>
        <v>25</v>
      </c>
      <c r="BA39" s="19">
        <v>0</v>
      </c>
      <c r="BB39" s="19">
        <v>0</v>
      </c>
      <c r="BC39" s="25" t="s">
        <v>56</v>
      </c>
      <c r="BD39" s="19">
        <f>11000000/1000</f>
        <v>11000</v>
      </c>
      <c r="BE39" s="19">
        <v>2397.4</v>
      </c>
      <c r="BF39" s="19">
        <f>(BE39/BD39)*100</f>
        <v>21.794545454545457</v>
      </c>
      <c r="BG39" s="19">
        <v>0</v>
      </c>
      <c r="BH39" s="19">
        <v>0</v>
      </c>
      <c r="BI39" s="19" t="s">
        <v>56</v>
      </c>
      <c r="BJ39" s="19">
        <v>0</v>
      </c>
      <c r="BK39" s="19">
        <v>0</v>
      </c>
      <c r="BL39" s="19" t="s">
        <v>56</v>
      </c>
      <c r="BM39" s="18">
        <f>2835000/1000</f>
        <v>2835</v>
      </c>
      <c r="BN39" s="19">
        <v>2835</v>
      </c>
      <c r="BO39" s="19">
        <f t="shared" si="60"/>
        <v>100</v>
      </c>
      <c r="BP39" s="18">
        <v>0</v>
      </c>
      <c r="BQ39" s="19">
        <v>0</v>
      </c>
      <c r="BR39" s="19" t="s">
        <v>56</v>
      </c>
      <c r="BS39" s="18">
        <v>0</v>
      </c>
      <c r="BT39" s="19">
        <v>0</v>
      </c>
      <c r="BU39" s="19" t="s">
        <v>56</v>
      </c>
      <c r="BV39" s="19">
        <v>0</v>
      </c>
      <c r="BW39" s="19">
        <v>0</v>
      </c>
      <c r="BX39" s="19" t="s">
        <v>56</v>
      </c>
      <c r="BY39" s="19">
        <v>3055</v>
      </c>
      <c r="BZ39" s="19">
        <v>1325.1</v>
      </c>
      <c r="CA39" s="19">
        <f>(BZ39/BY39)*100</f>
        <v>43.374795417348608</v>
      </c>
      <c r="CB39" s="34">
        <v>0</v>
      </c>
      <c r="CC39" s="34">
        <v>0</v>
      </c>
      <c r="CD39" s="34" t="s">
        <v>56</v>
      </c>
      <c r="CE39" s="34">
        <v>1469.9</v>
      </c>
      <c r="CF39" s="34">
        <v>1079.5</v>
      </c>
      <c r="CG39" s="34">
        <f t="shared" si="22"/>
        <v>73.440370093203612</v>
      </c>
      <c r="CH39" s="34">
        <v>0</v>
      </c>
      <c r="CI39" s="34">
        <v>0</v>
      </c>
      <c r="CJ39" s="19" t="s">
        <v>56</v>
      </c>
      <c r="CK39" s="34">
        <v>2000</v>
      </c>
      <c r="CL39" s="34">
        <v>0</v>
      </c>
      <c r="CM39" s="34">
        <v>0</v>
      </c>
      <c r="CN39" s="34">
        <v>41713.4</v>
      </c>
      <c r="CO39" s="34">
        <v>41713.4</v>
      </c>
      <c r="CP39" s="34">
        <f t="shared" si="4"/>
        <v>100</v>
      </c>
      <c r="CQ39" s="34">
        <f>192989.88/1000</f>
        <v>192.98988</v>
      </c>
      <c r="CR39" s="34">
        <v>0</v>
      </c>
      <c r="CS39" s="34">
        <v>0</v>
      </c>
      <c r="CT39" s="34">
        <v>0</v>
      </c>
      <c r="CU39" s="34">
        <v>0</v>
      </c>
      <c r="CV39" s="34" t="s">
        <v>56</v>
      </c>
      <c r="CW39" s="34">
        <v>8242.1</v>
      </c>
      <c r="CX39" s="34">
        <v>7584.4</v>
      </c>
      <c r="CY39" s="34">
        <f t="shared" si="23"/>
        <v>92.020237560815801</v>
      </c>
      <c r="CZ39" s="34">
        <v>0</v>
      </c>
      <c r="DA39" s="34">
        <v>0</v>
      </c>
      <c r="DB39" s="34" t="s">
        <v>56</v>
      </c>
      <c r="DC39" s="34">
        <v>0</v>
      </c>
      <c r="DD39" s="34">
        <v>0</v>
      </c>
      <c r="DE39" s="35" t="s">
        <v>56</v>
      </c>
      <c r="DF39" s="34">
        <v>0</v>
      </c>
      <c r="DG39" s="34">
        <v>0</v>
      </c>
      <c r="DH39" s="34" t="s">
        <v>56</v>
      </c>
      <c r="DI39" s="34">
        <v>0</v>
      </c>
      <c r="DJ39" s="34">
        <v>0</v>
      </c>
      <c r="DK39" s="34" t="s">
        <v>56</v>
      </c>
      <c r="DL39" s="34">
        <v>23468.5</v>
      </c>
      <c r="DM39" s="34">
        <v>19759.5</v>
      </c>
      <c r="DN39" s="34">
        <f t="shared" si="24"/>
        <v>84.195836972963761</v>
      </c>
      <c r="DO39" s="34">
        <v>0</v>
      </c>
      <c r="DP39" s="34">
        <v>0</v>
      </c>
      <c r="DQ39" s="34" t="s">
        <v>56</v>
      </c>
      <c r="DR39" s="34">
        <v>0</v>
      </c>
      <c r="DS39" s="34">
        <v>0</v>
      </c>
      <c r="DT39" s="34" t="s">
        <v>56</v>
      </c>
      <c r="DU39" s="34">
        <v>0</v>
      </c>
      <c r="DV39" s="34">
        <v>0</v>
      </c>
      <c r="DW39" s="34" t="s">
        <v>56</v>
      </c>
      <c r="DX39" s="34">
        <v>0</v>
      </c>
      <c r="DY39" s="34">
        <v>0</v>
      </c>
      <c r="DZ39" s="34" t="s">
        <v>56</v>
      </c>
      <c r="EA39" s="34">
        <v>3000</v>
      </c>
      <c r="EB39" s="34">
        <v>2881.7</v>
      </c>
      <c r="EC39" s="25">
        <f>(EB39/EA39)*100</f>
        <v>96.056666666666658</v>
      </c>
      <c r="ED39" s="34">
        <v>0</v>
      </c>
      <c r="EE39" s="34">
        <v>0</v>
      </c>
      <c r="EF39" s="34" t="s">
        <v>56</v>
      </c>
      <c r="EG39" s="13">
        <f t="shared" si="5"/>
        <v>353418.99999999994</v>
      </c>
      <c r="EH39" s="13">
        <f t="shared" si="6"/>
        <v>263822.19999999995</v>
      </c>
      <c r="EI39" s="14">
        <f t="shared" si="61"/>
        <v>74.648561622323641</v>
      </c>
      <c r="EJ39" s="19">
        <v>1973.5</v>
      </c>
      <c r="EK39" s="19">
        <v>1485</v>
      </c>
      <c r="EL39" s="19">
        <f t="shared" si="7"/>
        <v>75.247023055485187</v>
      </c>
      <c r="EM39" s="19">
        <v>0</v>
      </c>
      <c r="EN39" s="19">
        <v>0</v>
      </c>
      <c r="EO39" s="19" t="s">
        <v>56</v>
      </c>
      <c r="EP39" s="36">
        <v>1.3</v>
      </c>
      <c r="EQ39" s="36">
        <v>0</v>
      </c>
      <c r="ER39" s="19">
        <f t="shared" si="63"/>
        <v>0</v>
      </c>
      <c r="ES39" s="36">
        <v>123702.3</v>
      </c>
      <c r="ET39" s="19">
        <v>91372.5</v>
      </c>
      <c r="EU39" s="19">
        <v>73.86483517283024</v>
      </c>
      <c r="EV39" s="34">
        <v>193663.6</v>
      </c>
      <c r="EW39" s="34">
        <v>153868.70000000001</v>
      </c>
      <c r="EX39" s="35">
        <v>79.451533483834851</v>
      </c>
      <c r="EY39" s="36">
        <v>16308.7</v>
      </c>
      <c r="EZ39" s="34">
        <v>8980.7999999999993</v>
      </c>
      <c r="FA39" s="34">
        <f t="shared" si="25"/>
        <v>55.067540637819064</v>
      </c>
      <c r="FB39" s="36">
        <v>2845.8</v>
      </c>
      <c r="FC39" s="19">
        <v>0</v>
      </c>
      <c r="FD39" s="19">
        <f t="shared" si="58"/>
        <v>0</v>
      </c>
      <c r="FE39" s="19">
        <v>0</v>
      </c>
      <c r="FF39" s="19">
        <v>0</v>
      </c>
      <c r="FG39" s="19" t="s">
        <v>56</v>
      </c>
      <c r="FH39" s="36">
        <v>0</v>
      </c>
      <c r="FI39" s="36">
        <v>0</v>
      </c>
      <c r="FJ39" s="19" t="s">
        <v>56</v>
      </c>
      <c r="FK39" s="36">
        <v>1297.3</v>
      </c>
      <c r="FL39" s="19">
        <v>181.9</v>
      </c>
      <c r="FM39" s="19">
        <f t="shared" si="66"/>
        <v>14.021429122022663</v>
      </c>
      <c r="FN39" s="36">
        <v>0</v>
      </c>
      <c r="FO39" s="36">
        <v>0</v>
      </c>
      <c r="FP39" s="19" t="s">
        <v>56</v>
      </c>
      <c r="FQ39" s="36">
        <v>11.4</v>
      </c>
      <c r="FR39" s="19">
        <v>11.4</v>
      </c>
      <c r="FS39" s="19">
        <f t="shared" si="67"/>
        <v>100</v>
      </c>
      <c r="FT39" s="36">
        <v>159.1</v>
      </c>
      <c r="FU39" s="19">
        <v>100.8</v>
      </c>
      <c r="FV39" s="19">
        <f t="shared" si="68"/>
        <v>63.3563796354494</v>
      </c>
      <c r="FW39" s="36">
        <v>0</v>
      </c>
      <c r="FX39" s="19">
        <v>0</v>
      </c>
      <c r="FY39" s="19" t="s">
        <v>56</v>
      </c>
      <c r="FZ39" s="36">
        <v>545.20000000000005</v>
      </c>
      <c r="GA39" s="19">
        <v>335.3</v>
      </c>
      <c r="GB39" s="19">
        <f t="shared" si="69"/>
        <v>61.500366837857662</v>
      </c>
      <c r="GC39" s="36">
        <v>443.1</v>
      </c>
      <c r="GD39" s="19">
        <v>292.8</v>
      </c>
      <c r="GE39" s="19">
        <f t="shared" si="70"/>
        <v>66.079891672308733</v>
      </c>
      <c r="GF39" s="36">
        <v>0</v>
      </c>
      <c r="GG39" s="36">
        <v>0</v>
      </c>
      <c r="GH39" s="19" t="s">
        <v>56</v>
      </c>
      <c r="GI39" s="37">
        <v>0</v>
      </c>
      <c r="GJ39" s="19">
        <v>0</v>
      </c>
      <c r="GK39" s="19" t="s">
        <v>56</v>
      </c>
      <c r="GL39" s="37">
        <v>0</v>
      </c>
      <c r="GM39" s="19">
        <v>0</v>
      </c>
      <c r="GN39" s="19" t="s">
        <v>56</v>
      </c>
      <c r="GO39" s="36">
        <v>0</v>
      </c>
      <c r="GP39" s="19">
        <v>0</v>
      </c>
      <c r="GQ39" s="19" t="s">
        <v>56</v>
      </c>
      <c r="GR39" s="36">
        <v>374.1</v>
      </c>
      <c r="GS39" s="19">
        <v>283</v>
      </c>
      <c r="GT39" s="19">
        <v>0</v>
      </c>
      <c r="GU39" s="36">
        <v>3852.3</v>
      </c>
      <c r="GV39" s="19">
        <v>1386.9</v>
      </c>
      <c r="GW39" s="19">
        <f>GV39/GU39%</f>
        <v>36.001869013316721</v>
      </c>
      <c r="GX39" s="36">
        <v>0</v>
      </c>
      <c r="GY39" s="19">
        <v>0</v>
      </c>
      <c r="GZ39" s="19" t="s">
        <v>56</v>
      </c>
      <c r="HA39" s="19">
        <v>246.3</v>
      </c>
      <c r="HB39" s="19">
        <v>0</v>
      </c>
      <c r="HC39" s="19">
        <v>0</v>
      </c>
      <c r="HD39" s="19">
        <v>7995</v>
      </c>
      <c r="HE39" s="19">
        <v>5523.1</v>
      </c>
      <c r="HF39" s="38">
        <f t="shared" si="26"/>
        <v>69.08192620387743</v>
      </c>
      <c r="HG39" s="19">
        <v>0</v>
      </c>
      <c r="HH39" s="19">
        <v>0</v>
      </c>
      <c r="HI39" s="19" t="s">
        <v>56</v>
      </c>
      <c r="HJ39" s="17">
        <f t="shared" si="28"/>
        <v>72121.600000000006</v>
      </c>
      <c r="HK39" s="17">
        <f t="shared" si="29"/>
        <v>45825.7</v>
      </c>
      <c r="HL39" s="16">
        <f t="shared" si="30"/>
        <v>63.539494409441822</v>
      </c>
      <c r="HM39" s="34">
        <v>6918.3</v>
      </c>
      <c r="HN39" s="34">
        <v>1729.5</v>
      </c>
      <c r="HO39" s="35">
        <f t="shared" si="42"/>
        <v>24.998915918650535</v>
      </c>
      <c r="HP39" s="35">
        <v>0</v>
      </c>
      <c r="HQ39" s="35">
        <v>0</v>
      </c>
      <c r="HR39" s="35" t="s">
        <v>56</v>
      </c>
      <c r="HS39" s="35">
        <v>8850</v>
      </c>
      <c r="HT39" s="35">
        <v>1861.7</v>
      </c>
      <c r="HU39" s="35">
        <f t="shared" si="43"/>
        <v>21.036158192090397</v>
      </c>
      <c r="HV39" s="35">
        <v>0</v>
      </c>
      <c r="HW39" s="35">
        <v>0</v>
      </c>
      <c r="HX39" s="35" t="s">
        <v>56</v>
      </c>
      <c r="HY39" s="34">
        <v>0</v>
      </c>
      <c r="HZ39" s="34">
        <v>0</v>
      </c>
      <c r="IA39" s="34" t="s">
        <v>56</v>
      </c>
      <c r="IB39" s="34">
        <v>109</v>
      </c>
      <c r="IC39" s="34">
        <v>109</v>
      </c>
      <c r="ID39" s="35">
        <f t="shared" si="31"/>
        <v>100</v>
      </c>
      <c r="IE39" s="34">
        <v>28336.5</v>
      </c>
      <c r="IF39" s="34">
        <v>17289.3</v>
      </c>
      <c r="IG39" s="35">
        <f>(IF39/IE39)*100</f>
        <v>61.014239584987564</v>
      </c>
      <c r="IH39" s="18">
        <v>24991.5</v>
      </c>
      <c r="II39" s="19">
        <v>21919.8</v>
      </c>
      <c r="IJ39" s="19">
        <f t="shared" si="32"/>
        <v>87.709021067162823</v>
      </c>
      <c r="IK39" s="19">
        <v>0</v>
      </c>
      <c r="IL39" s="19">
        <v>0</v>
      </c>
      <c r="IM39" s="19" t="s">
        <v>56</v>
      </c>
      <c r="IN39" s="19">
        <v>0</v>
      </c>
      <c r="IO39" s="19">
        <v>0</v>
      </c>
      <c r="IP39" s="19" t="s">
        <v>56</v>
      </c>
      <c r="IQ39" s="19">
        <v>0</v>
      </c>
      <c r="IR39" s="19">
        <v>0</v>
      </c>
      <c r="IS39" s="19" t="s">
        <v>56</v>
      </c>
      <c r="IT39" s="19">
        <v>2887.1</v>
      </c>
      <c r="IU39" s="19">
        <v>2887.2</v>
      </c>
      <c r="IV39" s="21">
        <f>(IU39/IT39)*100</f>
        <v>100.00346368328078</v>
      </c>
      <c r="IW39" s="19">
        <v>0</v>
      </c>
      <c r="IX39" s="19">
        <v>0</v>
      </c>
      <c r="IY39" s="19" t="s">
        <v>56</v>
      </c>
      <c r="IZ39" s="19">
        <v>0</v>
      </c>
      <c r="JA39" s="19">
        <v>0</v>
      </c>
      <c r="JB39" s="21" t="s">
        <v>56</v>
      </c>
      <c r="JC39" s="19">
        <v>0</v>
      </c>
      <c r="JD39" s="19">
        <v>0</v>
      </c>
      <c r="JE39" s="19" t="s">
        <v>56</v>
      </c>
      <c r="JF39" s="19">
        <v>29.2</v>
      </c>
      <c r="JG39" s="19">
        <v>29.2</v>
      </c>
      <c r="JH39" s="25">
        <f>(JG39/JF39)*100</f>
        <v>100</v>
      </c>
      <c r="JI39" s="23">
        <v>0</v>
      </c>
      <c r="JJ39" s="19">
        <v>0</v>
      </c>
      <c r="JK39" s="25" t="s">
        <v>56</v>
      </c>
      <c r="JL39" s="19">
        <v>0</v>
      </c>
      <c r="JM39" s="19">
        <v>0</v>
      </c>
      <c r="JN39" s="19" t="s">
        <v>56</v>
      </c>
      <c r="JO39" s="19">
        <v>0</v>
      </c>
      <c r="JP39" s="19">
        <v>0</v>
      </c>
      <c r="JQ39" s="19" t="s">
        <v>56</v>
      </c>
      <c r="JR39" s="19">
        <v>0</v>
      </c>
      <c r="JS39" s="19">
        <v>0</v>
      </c>
      <c r="JT39" s="19" t="s">
        <v>56</v>
      </c>
      <c r="JU39" s="19">
        <v>0</v>
      </c>
      <c r="JV39" s="19">
        <v>0</v>
      </c>
      <c r="JW39" s="21" t="s">
        <v>56</v>
      </c>
      <c r="JX39" s="21">
        <v>0</v>
      </c>
      <c r="JY39" s="21">
        <v>0</v>
      </c>
      <c r="JZ39" s="21" t="s">
        <v>56</v>
      </c>
      <c r="KA39" s="21">
        <v>0</v>
      </c>
      <c r="KB39" s="21">
        <v>0</v>
      </c>
      <c r="KC39" s="21" t="s">
        <v>56</v>
      </c>
      <c r="KD39" s="14">
        <f>B39+N39+EG39+HJ39</f>
        <v>628284.68987999985</v>
      </c>
      <c r="KE39" s="14">
        <f>C39+O39+EH39+HK39</f>
        <v>485260.3</v>
      </c>
      <c r="KF39" s="14">
        <f t="shared" si="72"/>
        <v>77.235735299022323</v>
      </c>
      <c r="KG39" s="7"/>
      <c r="KH39" s="9"/>
      <c r="KJ39" s="9"/>
    </row>
    <row r="40" spans="1:296" x14ac:dyDescent="0.2">
      <c r="A40" s="27" t="s">
        <v>11</v>
      </c>
      <c r="B40" s="13">
        <f t="shared" si="20"/>
        <v>78458</v>
      </c>
      <c r="C40" s="13">
        <f t="shared" si="33"/>
        <v>63400.6</v>
      </c>
      <c r="D40" s="14">
        <f t="shared" si="73"/>
        <v>80.808330571770881</v>
      </c>
      <c r="E40" s="18">
        <v>78458</v>
      </c>
      <c r="F40" s="19">
        <v>63400.6</v>
      </c>
      <c r="G40" s="19">
        <f t="shared" si="59"/>
        <v>80.808330571770881</v>
      </c>
      <c r="H40" s="18">
        <v>0</v>
      </c>
      <c r="I40" s="18">
        <v>0</v>
      </c>
      <c r="J40" s="19" t="s">
        <v>56</v>
      </c>
      <c r="K40" s="19">
        <v>0</v>
      </c>
      <c r="L40" s="19">
        <v>0</v>
      </c>
      <c r="M40" s="19" t="s">
        <v>56</v>
      </c>
      <c r="N40" s="13">
        <f t="shared" ref="N40:N43" si="76">Q40+T40+W40+Z40+AC40+AF40+AI40+AL40+AO40+AR40+AU40+AX40+BA40+BD40+BG40+BJ40+BM40+BP40+BS40+BV40+BY40+CB40+CE40+CH40+CK40+CN40+CQ40+CT40+CW40+CZ40+DC40+DF40+DI40+DL40+DO40+DR40+DU40+DX40+EA40+ED40</f>
        <v>45224.700000000004</v>
      </c>
      <c r="O40" s="13">
        <f t="shared" ref="O40:O43" si="77">R40+U40+X40+AA40+AD40+AG40+AJ40+AM40+AP40+AS40+AV40+AY40+BB40+BE40+BH40+BK40+BN40+BQ40+BT40+BW40+BZ40+CC40+CF40+CI40+CL40+CO40+CR40+CU40+CX40+DA40+DD40+DG40+DJ40+DM40+DP40+DS40+DV40+DY40+EB40+EE40</f>
        <v>26762.799999999999</v>
      </c>
      <c r="P40" s="14">
        <f t="shared" si="21"/>
        <v>59.177396422751272</v>
      </c>
      <c r="Q40" s="19">
        <f>4063.6</f>
        <v>4063.6</v>
      </c>
      <c r="R40" s="19">
        <v>0</v>
      </c>
      <c r="S40" s="19">
        <f>R40/Q40%</f>
        <v>0</v>
      </c>
      <c r="T40" s="18">
        <v>0</v>
      </c>
      <c r="U40" s="19">
        <v>0</v>
      </c>
      <c r="V40" s="19" t="s">
        <v>56</v>
      </c>
      <c r="W40" s="18">
        <v>0</v>
      </c>
      <c r="X40" s="19">
        <v>0</v>
      </c>
      <c r="Y40" s="19" t="s">
        <v>56</v>
      </c>
      <c r="Z40" s="18">
        <v>0</v>
      </c>
      <c r="AA40" s="19">
        <v>0</v>
      </c>
      <c r="AB40" s="19" t="s">
        <v>56</v>
      </c>
      <c r="AC40" s="18">
        <v>0</v>
      </c>
      <c r="AD40" s="19">
        <v>0</v>
      </c>
      <c r="AE40" s="19" t="s">
        <v>56</v>
      </c>
      <c r="AF40" s="18">
        <v>0</v>
      </c>
      <c r="AG40" s="19">
        <v>0</v>
      </c>
      <c r="AH40" s="19" t="s">
        <v>56</v>
      </c>
      <c r="AI40" s="19">
        <v>0</v>
      </c>
      <c r="AJ40" s="19">
        <v>0</v>
      </c>
      <c r="AK40" s="19" t="s">
        <v>56</v>
      </c>
      <c r="AL40" s="19">
        <v>7021.6</v>
      </c>
      <c r="AM40" s="19">
        <v>6060.1</v>
      </c>
      <c r="AN40" s="19">
        <f t="shared" si="2"/>
        <v>86.306539819984039</v>
      </c>
      <c r="AO40" s="19">
        <v>0</v>
      </c>
      <c r="AP40" s="19">
        <v>0</v>
      </c>
      <c r="AQ40" s="19" t="s">
        <v>56</v>
      </c>
      <c r="AR40" s="19">
        <v>0</v>
      </c>
      <c r="AS40" s="19">
        <v>0</v>
      </c>
      <c r="AT40" s="19" t="s">
        <v>56</v>
      </c>
      <c r="AU40" s="19">
        <v>0</v>
      </c>
      <c r="AV40" s="19">
        <v>0</v>
      </c>
      <c r="AW40" s="19" t="s">
        <v>56</v>
      </c>
      <c r="AX40" s="19">
        <v>4957.2</v>
      </c>
      <c r="AY40" s="19">
        <v>1071.9000000000001</v>
      </c>
      <c r="AZ40" s="19">
        <f>(AY40/AX40)*100</f>
        <v>21.623093681917211</v>
      </c>
      <c r="BA40" s="19">
        <v>0</v>
      </c>
      <c r="BB40" s="19">
        <v>0</v>
      </c>
      <c r="BC40" s="25" t="s">
        <v>56</v>
      </c>
      <c r="BD40" s="19">
        <v>0</v>
      </c>
      <c r="BE40" s="19">
        <v>0</v>
      </c>
      <c r="BF40" s="19" t="s">
        <v>56</v>
      </c>
      <c r="BG40" s="19">
        <v>0</v>
      </c>
      <c r="BH40" s="19">
        <v>0</v>
      </c>
      <c r="BI40" s="19" t="s">
        <v>56</v>
      </c>
      <c r="BJ40" s="18">
        <v>0</v>
      </c>
      <c r="BK40" s="19">
        <v>0</v>
      </c>
      <c r="BL40" s="19" t="s">
        <v>56</v>
      </c>
      <c r="BM40" s="18">
        <v>0</v>
      </c>
      <c r="BN40" s="19">
        <v>0</v>
      </c>
      <c r="BO40" s="19" t="s">
        <v>56</v>
      </c>
      <c r="BP40" s="18">
        <v>0</v>
      </c>
      <c r="BQ40" s="19">
        <v>0</v>
      </c>
      <c r="BR40" s="19" t="s">
        <v>56</v>
      </c>
      <c r="BS40" s="18">
        <v>0</v>
      </c>
      <c r="BT40" s="19">
        <v>0</v>
      </c>
      <c r="BU40" s="19" t="s">
        <v>56</v>
      </c>
      <c r="BV40" s="19">
        <v>0</v>
      </c>
      <c r="BW40" s="19">
        <v>0</v>
      </c>
      <c r="BX40" s="19" t="s">
        <v>56</v>
      </c>
      <c r="BY40" s="19">
        <v>0</v>
      </c>
      <c r="BZ40" s="19">
        <v>0</v>
      </c>
      <c r="CA40" s="19" t="s">
        <v>56</v>
      </c>
      <c r="CB40" s="34">
        <v>0</v>
      </c>
      <c r="CC40" s="34">
        <v>0</v>
      </c>
      <c r="CD40" s="34" t="s">
        <v>56</v>
      </c>
      <c r="CE40" s="34">
        <v>0</v>
      </c>
      <c r="CF40" s="34">
        <v>0</v>
      </c>
      <c r="CG40" s="34" t="s">
        <v>56</v>
      </c>
      <c r="CH40" s="34">
        <v>0</v>
      </c>
      <c r="CI40" s="34">
        <v>0</v>
      </c>
      <c r="CJ40" s="19" t="s">
        <v>56</v>
      </c>
      <c r="CK40" s="34">
        <v>2000</v>
      </c>
      <c r="CL40" s="34">
        <v>0</v>
      </c>
      <c r="CM40" s="34">
        <v>0</v>
      </c>
      <c r="CN40" s="34">
        <v>615.4</v>
      </c>
      <c r="CO40" s="34">
        <f>2504.5-1889.1</f>
        <v>615.40000000000009</v>
      </c>
      <c r="CP40" s="34">
        <f t="shared" si="4"/>
        <v>100.00000000000001</v>
      </c>
      <c r="CQ40" s="34">
        <v>0</v>
      </c>
      <c r="CR40" s="19">
        <v>0</v>
      </c>
      <c r="CS40" s="34" t="s">
        <v>56</v>
      </c>
      <c r="CT40" s="34">
        <v>72.7</v>
      </c>
      <c r="CU40" s="34">
        <v>72.7</v>
      </c>
      <c r="CV40" s="34">
        <f t="shared" ref="CV40:CV41" si="78">(CU40/CT40)*100</f>
        <v>100</v>
      </c>
      <c r="CW40" s="34">
        <v>7565.8</v>
      </c>
      <c r="CX40" s="34">
        <v>4925</v>
      </c>
      <c r="CY40" s="34">
        <f t="shared" si="23"/>
        <v>65.095561606175153</v>
      </c>
      <c r="CZ40" s="34">
        <v>0</v>
      </c>
      <c r="DA40" s="19">
        <v>0</v>
      </c>
      <c r="DB40" s="34" t="s">
        <v>56</v>
      </c>
      <c r="DC40" s="34">
        <v>0</v>
      </c>
      <c r="DD40" s="34">
        <v>0</v>
      </c>
      <c r="DE40" s="35" t="s">
        <v>56</v>
      </c>
      <c r="DF40" s="34">
        <v>0</v>
      </c>
      <c r="DG40" s="34">
        <v>0</v>
      </c>
      <c r="DH40" s="34" t="s">
        <v>56</v>
      </c>
      <c r="DI40" s="34">
        <v>0</v>
      </c>
      <c r="DJ40" s="34">
        <v>0</v>
      </c>
      <c r="DK40" s="34" t="s">
        <v>56</v>
      </c>
      <c r="DL40" s="34">
        <v>17728.400000000001</v>
      </c>
      <c r="DM40" s="34">
        <v>12817.7</v>
      </c>
      <c r="DN40" s="34">
        <f t="shared" si="24"/>
        <v>72.300376796552428</v>
      </c>
      <c r="DO40" s="34">
        <v>0</v>
      </c>
      <c r="DP40" s="34">
        <v>0</v>
      </c>
      <c r="DQ40" s="34" t="s">
        <v>56</v>
      </c>
      <c r="DR40" s="34">
        <v>0</v>
      </c>
      <c r="DS40" s="34">
        <v>0</v>
      </c>
      <c r="DT40" s="34" t="s">
        <v>56</v>
      </c>
      <c r="DU40" s="34">
        <v>0</v>
      </c>
      <c r="DV40" s="34">
        <v>0</v>
      </c>
      <c r="DW40" s="34" t="s">
        <v>56</v>
      </c>
      <c r="DX40" s="34">
        <v>0</v>
      </c>
      <c r="DY40" s="34">
        <v>0</v>
      </c>
      <c r="DZ40" s="34" t="s">
        <v>56</v>
      </c>
      <c r="EA40" s="34">
        <v>1200</v>
      </c>
      <c r="EB40" s="34">
        <v>1200</v>
      </c>
      <c r="EC40" s="25">
        <f>(EB40/EA40)*100</f>
        <v>100</v>
      </c>
      <c r="ED40" s="34">
        <v>0</v>
      </c>
      <c r="EE40" s="34">
        <v>0</v>
      </c>
      <c r="EF40" s="34" t="s">
        <v>56</v>
      </c>
      <c r="EG40" s="13">
        <f t="shared" si="5"/>
        <v>193300.20000000004</v>
      </c>
      <c r="EH40" s="13">
        <f t="shared" si="6"/>
        <v>137658.80000000002</v>
      </c>
      <c r="EI40" s="14">
        <f t="shared" si="61"/>
        <v>71.215032369340534</v>
      </c>
      <c r="EJ40" s="19">
        <v>1359.2</v>
      </c>
      <c r="EK40" s="19">
        <v>1080</v>
      </c>
      <c r="EL40" s="19">
        <f t="shared" si="7"/>
        <v>79.4585050029429</v>
      </c>
      <c r="EM40" s="19">
        <v>0</v>
      </c>
      <c r="EN40" s="19">
        <v>0</v>
      </c>
      <c r="EO40" s="19" t="s">
        <v>56</v>
      </c>
      <c r="EP40" s="36">
        <v>0.3</v>
      </c>
      <c r="EQ40" s="36">
        <v>0</v>
      </c>
      <c r="ER40" s="19">
        <f t="shared" si="63"/>
        <v>0</v>
      </c>
      <c r="ES40" s="36">
        <v>65595.899999999994</v>
      </c>
      <c r="ET40" s="19">
        <v>43301.3</v>
      </c>
      <c r="EU40" s="19">
        <v>66.012205031107143</v>
      </c>
      <c r="EV40" s="34">
        <v>110290.8</v>
      </c>
      <c r="EW40" s="34">
        <v>83840.399999999994</v>
      </c>
      <c r="EX40" s="35">
        <v>76.017582608884865</v>
      </c>
      <c r="EY40" s="36">
        <v>4825</v>
      </c>
      <c r="EZ40" s="34">
        <v>2540</v>
      </c>
      <c r="FA40" s="34">
        <f t="shared" si="25"/>
        <v>52.642487046632127</v>
      </c>
      <c r="FB40" s="36">
        <v>392.2</v>
      </c>
      <c r="FC40" s="19">
        <v>0</v>
      </c>
      <c r="FD40" s="19">
        <f t="shared" si="58"/>
        <v>0</v>
      </c>
      <c r="FE40" s="19">
        <v>0</v>
      </c>
      <c r="FF40" s="19">
        <v>0</v>
      </c>
      <c r="FG40" s="19" t="s">
        <v>56</v>
      </c>
      <c r="FH40" s="36">
        <v>0</v>
      </c>
      <c r="FI40" s="36">
        <v>0</v>
      </c>
      <c r="FJ40" s="19" t="s">
        <v>56</v>
      </c>
      <c r="FK40" s="36">
        <v>499.2</v>
      </c>
      <c r="FL40" s="19">
        <v>0</v>
      </c>
      <c r="FM40" s="19">
        <f t="shared" si="66"/>
        <v>0</v>
      </c>
      <c r="FN40" s="36">
        <v>0</v>
      </c>
      <c r="FO40" s="36">
        <v>0</v>
      </c>
      <c r="FP40" s="19" t="s">
        <v>56</v>
      </c>
      <c r="FQ40" s="36">
        <v>1.9</v>
      </c>
      <c r="FR40" s="19">
        <v>0</v>
      </c>
      <c r="FS40" s="19">
        <f t="shared" si="67"/>
        <v>0</v>
      </c>
      <c r="FT40" s="36">
        <v>63.6</v>
      </c>
      <c r="FU40" s="19">
        <v>39.9</v>
      </c>
      <c r="FV40" s="19">
        <f t="shared" si="68"/>
        <v>62.735849056603769</v>
      </c>
      <c r="FW40" s="36">
        <v>0</v>
      </c>
      <c r="FX40" s="19">
        <v>0</v>
      </c>
      <c r="FY40" s="19" t="s">
        <v>56</v>
      </c>
      <c r="FZ40" s="36">
        <v>545.20000000000005</v>
      </c>
      <c r="GA40" s="19">
        <v>239.3</v>
      </c>
      <c r="GB40" s="19">
        <f t="shared" si="69"/>
        <v>43.892149669845921</v>
      </c>
      <c r="GC40" s="36">
        <v>221.6</v>
      </c>
      <c r="GD40" s="19">
        <v>205.2</v>
      </c>
      <c r="GE40" s="19">
        <f t="shared" si="70"/>
        <v>92.599277978339359</v>
      </c>
      <c r="GF40" s="36">
        <v>0</v>
      </c>
      <c r="GG40" s="36">
        <v>0</v>
      </c>
      <c r="GH40" s="19" t="s">
        <v>56</v>
      </c>
      <c r="GI40" s="37">
        <v>0</v>
      </c>
      <c r="GJ40" s="19">
        <v>0</v>
      </c>
      <c r="GK40" s="19" t="s">
        <v>56</v>
      </c>
      <c r="GL40" s="37">
        <v>0</v>
      </c>
      <c r="GM40" s="19">
        <v>0</v>
      </c>
      <c r="GN40" s="19" t="s">
        <v>56</v>
      </c>
      <c r="GO40" s="36">
        <v>0</v>
      </c>
      <c r="GP40" s="19">
        <v>0</v>
      </c>
      <c r="GQ40" s="19" t="s">
        <v>56</v>
      </c>
      <c r="GR40" s="36">
        <v>0</v>
      </c>
      <c r="GS40" s="19">
        <v>0</v>
      </c>
      <c r="GT40" s="19" t="s">
        <v>56</v>
      </c>
      <c r="GU40" s="36">
        <v>1119.8</v>
      </c>
      <c r="GV40" s="19">
        <v>320</v>
      </c>
      <c r="GW40" s="19">
        <f>GV40/GU40%</f>
        <v>28.576531523486334</v>
      </c>
      <c r="GX40" s="36">
        <v>0</v>
      </c>
      <c r="GY40" s="19">
        <v>0</v>
      </c>
      <c r="GZ40" s="19" t="s">
        <v>56</v>
      </c>
      <c r="HA40" s="19">
        <v>290.8</v>
      </c>
      <c r="HB40" s="19">
        <v>0</v>
      </c>
      <c r="HC40" s="19">
        <v>0</v>
      </c>
      <c r="HD40" s="19">
        <v>8094.7</v>
      </c>
      <c r="HE40" s="19">
        <v>6092.7</v>
      </c>
      <c r="HF40" s="38">
        <f t="shared" si="26"/>
        <v>75.267767798683082</v>
      </c>
      <c r="HG40" s="19">
        <v>0</v>
      </c>
      <c r="HH40" s="19">
        <v>0</v>
      </c>
      <c r="HI40" s="19" t="s">
        <v>56</v>
      </c>
      <c r="HJ40" s="17">
        <f t="shared" si="28"/>
        <v>42458</v>
      </c>
      <c r="HK40" s="17">
        <f t="shared" si="29"/>
        <v>12742.1</v>
      </c>
      <c r="HL40" s="16">
        <f t="shared" si="30"/>
        <v>30.011069763059968</v>
      </c>
      <c r="HM40" s="34">
        <v>4452.8</v>
      </c>
      <c r="HN40" s="34">
        <v>0</v>
      </c>
      <c r="HO40" s="35">
        <f t="shared" si="42"/>
        <v>0</v>
      </c>
      <c r="HP40" s="35">
        <v>0</v>
      </c>
      <c r="HQ40" s="35">
        <v>0</v>
      </c>
      <c r="HR40" s="35" t="s">
        <v>56</v>
      </c>
      <c r="HS40" s="35">
        <v>4963.8999999999996</v>
      </c>
      <c r="HT40" s="35">
        <v>0</v>
      </c>
      <c r="HU40" s="35">
        <f t="shared" si="43"/>
        <v>0</v>
      </c>
      <c r="HV40" s="35">
        <v>8659.2999999999993</v>
      </c>
      <c r="HW40" s="35">
        <v>0</v>
      </c>
      <c r="HX40" s="35">
        <f t="shared" ref="HX40:HX41" si="79">(HW40/HV40)*100</f>
        <v>0</v>
      </c>
      <c r="HY40" s="34">
        <v>0</v>
      </c>
      <c r="HZ40" s="34">
        <v>0</v>
      </c>
      <c r="IA40" s="34" t="s">
        <v>56</v>
      </c>
      <c r="IB40" s="34">
        <v>134</v>
      </c>
      <c r="IC40" s="34">
        <v>134</v>
      </c>
      <c r="ID40" s="35">
        <f t="shared" si="31"/>
        <v>100</v>
      </c>
      <c r="IE40" s="34">
        <v>0</v>
      </c>
      <c r="IF40" s="34">
        <v>0</v>
      </c>
      <c r="IG40" s="35" t="s">
        <v>56</v>
      </c>
      <c r="IH40" s="18">
        <v>20309.099999999999</v>
      </c>
      <c r="II40" s="19">
        <v>8669.2000000000007</v>
      </c>
      <c r="IJ40" s="19">
        <f t="shared" si="32"/>
        <v>42.68628348868242</v>
      </c>
      <c r="IK40" s="19">
        <v>0</v>
      </c>
      <c r="IL40" s="19">
        <v>0</v>
      </c>
      <c r="IM40" s="19" t="s">
        <v>56</v>
      </c>
      <c r="IN40" s="19">
        <v>0</v>
      </c>
      <c r="IO40" s="19">
        <v>0</v>
      </c>
      <c r="IP40" s="19" t="s">
        <v>56</v>
      </c>
      <c r="IQ40" s="19">
        <v>0</v>
      </c>
      <c r="IR40" s="19">
        <v>0</v>
      </c>
      <c r="IS40" s="19" t="s">
        <v>56</v>
      </c>
      <c r="IT40" s="19">
        <v>2889.3</v>
      </c>
      <c r="IU40" s="19">
        <v>2889.3</v>
      </c>
      <c r="IV40" s="21">
        <f>(IU40/IT40)*100</f>
        <v>100</v>
      </c>
      <c r="IW40" s="19">
        <v>0</v>
      </c>
      <c r="IX40" s="19">
        <v>0</v>
      </c>
      <c r="IY40" s="19" t="s">
        <v>56</v>
      </c>
      <c r="IZ40" s="19">
        <v>0</v>
      </c>
      <c r="JA40" s="19">
        <v>0</v>
      </c>
      <c r="JB40" s="21" t="s">
        <v>56</v>
      </c>
      <c r="JC40" s="19">
        <v>0</v>
      </c>
      <c r="JD40" s="19">
        <v>0</v>
      </c>
      <c r="JE40" s="19" t="s">
        <v>56</v>
      </c>
      <c r="JF40" s="19">
        <v>29.2</v>
      </c>
      <c r="JG40" s="19">
        <v>29.2</v>
      </c>
      <c r="JH40" s="25">
        <f>(JG40/JF40)*100</f>
        <v>100</v>
      </c>
      <c r="JI40" s="23">
        <v>0</v>
      </c>
      <c r="JJ40" s="19">
        <v>0</v>
      </c>
      <c r="JK40" s="25" t="s">
        <v>56</v>
      </c>
      <c r="JL40" s="19">
        <v>0</v>
      </c>
      <c r="JM40" s="19">
        <v>0</v>
      </c>
      <c r="JN40" s="19" t="s">
        <v>56</v>
      </c>
      <c r="JO40" s="19">
        <v>1020.4</v>
      </c>
      <c r="JP40" s="19">
        <v>1020.4</v>
      </c>
      <c r="JQ40" s="19">
        <v>100</v>
      </c>
      <c r="JR40" s="19">
        <v>0</v>
      </c>
      <c r="JS40" s="19">
        <v>0</v>
      </c>
      <c r="JT40" s="19" t="s">
        <v>56</v>
      </c>
      <c r="JU40" s="19">
        <v>0</v>
      </c>
      <c r="JV40" s="19">
        <v>0</v>
      </c>
      <c r="JW40" s="21" t="s">
        <v>56</v>
      </c>
      <c r="JX40" s="21">
        <v>0</v>
      </c>
      <c r="JY40" s="21">
        <v>0</v>
      </c>
      <c r="JZ40" s="21" t="s">
        <v>56</v>
      </c>
      <c r="KA40" s="21">
        <v>0</v>
      </c>
      <c r="KB40" s="21">
        <v>0</v>
      </c>
      <c r="KC40" s="21" t="s">
        <v>56</v>
      </c>
      <c r="KD40" s="14">
        <f t="shared" ref="KD40:KD43" si="80">B40+N40+EG40+HJ40</f>
        <v>359440.9</v>
      </c>
      <c r="KE40" s="14">
        <f t="shared" ref="KE40:KE43" si="81">C40+O40+EH40+HK40</f>
        <v>240564.30000000002</v>
      </c>
      <c r="KF40" s="14">
        <f t="shared" si="72"/>
        <v>66.927358572716685</v>
      </c>
      <c r="KG40" s="7"/>
      <c r="KH40" s="9"/>
      <c r="KJ40" s="9"/>
    </row>
    <row r="41" spans="1:296" x14ac:dyDescent="0.2">
      <c r="A41" s="27" t="s">
        <v>12</v>
      </c>
      <c r="B41" s="13">
        <f t="shared" si="20"/>
        <v>417896.1</v>
      </c>
      <c r="C41" s="13">
        <f t="shared" si="33"/>
        <v>417896.1</v>
      </c>
      <c r="D41" s="14">
        <f t="shared" si="73"/>
        <v>100</v>
      </c>
      <c r="E41" s="18">
        <v>417896.1</v>
      </c>
      <c r="F41" s="19">
        <v>417896.1</v>
      </c>
      <c r="G41" s="19">
        <f t="shared" si="59"/>
        <v>100.00000000000001</v>
      </c>
      <c r="H41" s="18">
        <v>0</v>
      </c>
      <c r="I41" s="18">
        <v>0</v>
      </c>
      <c r="J41" s="19" t="s">
        <v>56</v>
      </c>
      <c r="K41" s="19">
        <v>0</v>
      </c>
      <c r="L41" s="19">
        <v>0</v>
      </c>
      <c r="M41" s="19" t="s">
        <v>56</v>
      </c>
      <c r="N41" s="13">
        <f t="shared" si="76"/>
        <v>1311183.83519</v>
      </c>
      <c r="O41" s="13">
        <f t="shared" si="77"/>
        <v>532336.20000000007</v>
      </c>
      <c r="P41" s="14">
        <f t="shared" si="21"/>
        <v>40.599661596869879</v>
      </c>
      <c r="Q41" s="19">
        <v>0</v>
      </c>
      <c r="R41" s="19">
        <v>0</v>
      </c>
      <c r="S41" s="19" t="s">
        <v>56</v>
      </c>
      <c r="T41" s="19">
        <v>0</v>
      </c>
      <c r="U41" s="19">
        <v>0</v>
      </c>
      <c r="V41" s="19" t="s">
        <v>56</v>
      </c>
      <c r="W41" s="18">
        <f>12553.4</f>
        <v>12553.4</v>
      </c>
      <c r="X41" s="19">
        <v>12553.4</v>
      </c>
      <c r="Y41" s="19">
        <f>(X41/W41)*100</f>
        <v>100</v>
      </c>
      <c r="Z41" s="18">
        <f>2040.5</f>
        <v>2040.5</v>
      </c>
      <c r="AA41" s="19">
        <v>1546.1</v>
      </c>
      <c r="AB41" s="19">
        <f>AA41/Z41%</f>
        <v>75.77064444988973</v>
      </c>
      <c r="AC41" s="18">
        <v>0</v>
      </c>
      <c r="AD41" s="19">
        <v>0</v>
      </c>
      <c r="AE41" s="19" t="s">
        <v>56</v>
      </c>
      <c r="AF41" s="18">
        <v>0</v>
      </c>
      <c r="AG41" s="19">
        <v>0</v>
      </c>
      <c r="AH41" s="19" t="s">
        <v>56</v>
      </c>
      <c r="AI41" s="19">
        <v>0</v>
      </c>
      <c r="AJ41" s="19">
        <v>0</v>
      </c>
      <c r="AK41" s="19" t="s">
        <v>56</v>
      </c>
      <c r="AL41" s="19">
        <v>15800</v>
      </c>
      <c r="AM41" s="19">
        <v>0</v>
      </c>
      <c r="AN41" s="19">
        <f t="shared" si="2"/>
        <v>0</v>
      </c>
      <c r="AO41" s="19">
        <f>70678</f>
        <v>70678</v>
      </c>
      <c r="AP41" s="19">
        <v>65186.7</v>
      </c>
      <c r="AQ41" s="19">
        <f>(AP41/AO41)*100</f>
        <v>92.230538498542685</v>
      </c>
      <c r="AR41" s="19">
        <v>0</v>
      </c>
      <c r="AS41" s="19">
        <v>0</v>
      </c>
      <c r="AT41" s="19" t="s">
        <v>56</v>
      </c>
      <c r="AU41" s="19">
        <v>0</v>
      </c>
      <c r="AV41" s="19">
        <v>0</v>
      </c>
      <c r="AW41" s="19" t="s">
        <v>56</v>
      </c>
      <c r="AX41" s="19">
        <v>114126.3</v>
      </c>
      <c r="AY41" s="19">
        <v>28246.3</v>
      </c>
      <c r="AZ41" s="19">
        <f>(AY41/AX41)*100</f>
        <v>24.750035706055481</v>
      </c>
      <c r="BA41" s="19">
        <f>(18500000+61500000)/1000</f>
        <v>80000</v>
      </c>
      <c r="BB41" s="19">
        <v>53334.7</v>
      </c>
      <c r="BC41" s="25">
        <f>(BB41/BA41)*100</f>
        <v>66.668374999999997</v>
      </c>
      <c r="BD41" s="19">
        <v>0</v>
      </c>
      <c r="BE41" s="19">
        <v>0</v>
      </c>
      <c r="BF41" s="19" t="s">
        <v>56</v>
      </c>
      <c r="BG41" s="19">
        <f>44735.19/1000</f>
        <v>44.735190000000003</v>
      </c>
      <c r="BH41" s="19">
        <v>44.7</v>
      </c>
      <c r="BI41" s="19">
        <f t="shared" si="3"/>
        <v>99.921337095025194</v>
      </c>
      <c r="BJ41" s="19">
        <v>0</v>
      </c>
      <c r="BK41" s="19">
        <v>0</v>
      </c>
      <c r="BL41" s="19" t="s">
        <v>56</v>
      </c>
      <c r="BM41" s="18">
        <v>0</v>
      </c>
      <c r="BN41" s="19">
        <v>0</v>
      </c>
      <c r="BO41" s="19" t="s">
        <v>56</v>
      </c>
      <c r="BP41" s="18">
        <v>0</v>
      </c>
      <c r="BQ41" s="19">
        <v>0</v>
      </c>
      <c r="BR41" s="19" t="s">
        <v>56</v>
      </c>
      <c r="BS41" s="18">
        <v>91344.4</v>
      </c>
      <c r="BT41" s="19">
        <v>18244</v>
      </c>
      <c r="BU41" s="19">
        <f>(BT41/BS41)*100</f>
        <v>19.972762424406969</v>
      </c>
      <c r="BV41" s="19">
        <v>0</v>
      </c>
      <c r="BW41" s="19">
        <v>0</v>
      </c>
      <c r="BX41" s="19" t="s">
        <v>56</v>
      </c>
      <c r="BY41" s="19">
        <v>0</v>
      </c>
      <c r="BZ41" s="19">
        <v>0</v>
      </c>
      <c r="CA41" s="19" t="s">
        <v>56</v>
      </c>
      <c r="CB41" s="34">
        <v>0</v>
      </c>
      <c r="CC41" s="34">
        <v>0</v>
      </c>
      <c r="CD41" s="34" t="s">
        <v>56</v>
      </c>
      <c r="CE41" s="34">
        <v>0</v>
      </c>
      <c r="CF41" s="34">
        <v>0</v>
      </c>
      <c r="CG41" s="34" t="s">
        <v>56</v>
      </c>
      <c r="CH41" s="34">
        <v>0</v>
      </c>
      <c r="CI41" s="34">
        <v>0</v>
      </c>
      <c r="CJ41" s="19" t="s">
        <v>56</v>
      </c>
      <c r="CK41" s="34">
        <v>48627.199999999997</v>
      </c>
      <c r="CL41" s="34">
        <v>0</v>
      </c>
      <c r="CM41" s="34">
        <v>0</v>
      </c>
      <c r="CN41" s="34">
        <v>54382</v>
      </c>
      <c r="CO41" s="34">
        <v>52985.8</v>
      </c>
      <c r="CP41" s="34">
        <f t="shared" si="4"/>
        <v>97.432606377110076</v>
      </c>
      <c r="CQ41" s="34">
        <v>0</v>
      </c>
      <c r="CR41" s="34">
        <v>0</v>
      </c>
      <c r="CS41" s="34" t="s">
        <v>56</v>
      </c>
      <c r="CT41" s="34">
        <v>105.2</v>
      </c>
      <c r="CU41" s="34">
        <v>105.2</v>
      </c>
      <c r="CV41" s="34">
        <f t="shared" si="78"/>
        <v>100</v>
      </c>
      <c r="CW41" s="34">
        <v>83761.899999999994</v>
      </c>
      <c r="CX41" s="34">
        <v>29209.8</v>
      </c>
      <c r="CY41" s="34">
        <f t="shared" si="23"/>
        <v>34.872418128051059</v>
      </c>
      <c r="CZ41" s="34">
        <v>0</v>
      </c>
      <c r="DA41" s="34">
        <v>0</v>
      </c>
      <c r="DB41" s="34" t="s">
        <v>56</v>
      </c>
      <c r="DC41" s="34">
        <v>187405.1</v>
      </c>
      <c r="DD41" s="34">
        <v>28825</v>
      </c>
      <c r="DE41" s="35">
        <f>(DD41/DC41)*100</f>
        <v>15.381118229973465</v>
      </c>
      <c r="DF41" s="34">
        <v>342565.5</v>
      </c>
      <c r="DG41" s="34">
        <f>136491-3245</f>
        <v>133246</v>
      </c>
      <c r="DH41" s="34">
        <f>DG41/DF41%</f>
        <v>38.8965030045349</v>
      </c>
      <c r="DI41" s="34">
        <v>13264.9</v>
      </c>
      <c r="DJ41" s="34">
        <v>12855.5</v>
      </c>
      <c r="DK41" s="34">
        <v>0</v>
      </c>
      <c r="DL41" s="34">
        <v>101997.6</v>
      </c>
      <c r="DM41" s="34">
        <v>55443.1</v>
      </c>
      <c r="DN41" s="34">
        <f t="shared" si="24"/>
        <v>54.357259386495357</v>
      </c>
      <c r="DO41" s="34">
        <v>0</v>
      </c>
      <c r="DP41" s="34">
        <v>0</v>
      </c>
      <c r="DQ41" s="34" t="s">
        <v>56</v>
      </c>
      <c r="DR41" s="34">
        <v>0</v>
      </c>
      <c r="DS41" s="34">
        <v>0</v>
      </c>
      <c r="DT41" s="34" t="s">
        <v>56</v>
      </c>
      <c r="DU41" s="34">
        <v>0</v>
      </c>
      <c r="DV41" s="34">
        <v>0</v>
      </c>
      <c r="DW41" s="34" t="s">
        <v>56</v>
      </c>
      <c r="DX41" s="34">
        <f>10550100/1000</f>
        <v>10550.1</v>
      </c>
      <c r="DY41" s="34">
        <v>5192.5</v>
      </c>
      <c r="DZ41" s="34">
        <f>DZ38</f>
        <v>49.217542961678085</v>
      </c>
      <c r="EA41" s="34">
        <v>73000</v>
      </c>
      <c r="EB41" s="34">
        <v>28404.6</v>
      </c>
      <c r="EC41" s="25">
        <f>(EB41/EA41)*100</f>
        <v>38.910410958904109</v>
      </c>
      <c r="ED41" s="34">
        <v>8937</v>
      </c>
      <c r="EE41" s="34">
        <f>6912.8</f>
        <v>6912.8</v>
      </c>
      <c r="EF41" s="34">
        <f>EF38</f>
        <v>77.350341277833721</v>
      </c>
      <c r="EG41" s="13">
        <f t="shared" si="5"/>
        <v>3010745.8000000003</v>
      </c>
      <c r="EH41" s="13">
        <f t="shared" si="6"/>
        <v>2219223.4</v>
      </c>
      <c r="EI41" s="14">
        <f t="shared" si="61"/>
        <v>73.710088709581512</v>
      </c>
      <c r="EJ41" s="19">
        <v>25622.2</v>
      </c>
      <c r="EK41" s="19">
        <v>16886.5</v>
      </c>
      <c r="EL41" s="19">
        <f t="shared" si="7"/>
        <v>65.905737992834347</v>
      </c>
      <c r="EM41" s="19">
        <v>114.1</v>
      </c>
      <c r="EN41" s="19">
        <v>0</v>
      </c>
      <c r="EO41" s="19">
        <v>0</v>
      </c>
      <c r="EP41" s="36">
        <v>39.299999999999997</v>
      </c>
      <c r="EQ41" s="36">
        <v>0</v>
      </c>
      <c r="ER41" s="19">
        <f t="shared" si="63"/>
        <v>0</v>
      </c>
      <c r="ES41" s="36">
        <v>1242907.1000000001</v>
      </c>
      <c r="ET41" s="19">
        <v>875083.9</v>
      </c>
      <c r="EU41" s="19">
        <v>70.406219418973464</v>
      </c>
      <c r="EV41" s="34">
        <v>1506300.4</v>
      </c>
      <c r="EW41" s="34">
        <v>1191234.6000000001</v>
      </c>
      <c r="EX41" s="35">
        <v>79.083468344030194</v>
      </c>
      <c r="EY41" s="36">
        <v>12830.4</v>
      </c>
      <c r="EZ41" s="34">
        <v>5845.1</v>
      </c>
      <c r="FA41" s="34">
        <f t="shared" si="25"/>
        <v>45.556646714054125</v>
      </c>
      <c r="FB41" s="36">
        <v>12812.2</v>
      </c>
      <c r="FC41" s="19">
        <v>7898.5</v>
      </c>
      <c r="FD41" s="19">
        <f t="shared" si="58"/>
        <v>61.648272740044639</v>
      </c>
      <c r="FE41" s="19">
        <v>6466.6</v>
      </c>
      <c r="FF41" s="19">
        <v>2577.6</v>
      </c>
      <c r="FG41" s="19">
        <f>FF41/FE41%</f>
        <v>39.860204744378805</v>
      </c>
      <c r="FH41" s="36">
        <v>0</v>
      </c>
      <c r="FI41" s="36">
        <v>0</v>
      </c>
      <c r="FJ41" s="19" t="s">
        <v>56</v>
      </c>
      <c r="FK41" s="36">
        <v>79251.100000000006</v>
      </c>
      <c r="FL41" s="19">
        <v>30460.3</v>
      </c>
      <c r="FM41" s="19">
        <f t="shared" si="66"/>
        <v>38.435176294082979</v>
      </c>
      <c r="FN41" s="36">
        <v>0</v>
      </c>
      <c r="FO41" s="36">
        <v>0</v>
      </c>
      <c r="FP41" s="19" t="s">
        <v>56</v>
      </c>
      <c r="FQ41" s="36">
        <v>280.7</v>
      </c>
      <c r="FR41" s="19">
        <v>71.2</v>
      </c>
      <c r="FS41" s="19">
        <f t="shared" si="67"/>
        <v>25.365158532240827</v>
      </c>
      <c r="FT41" s="36">
        <v>191</v>
      </c>
      <c r="FU41" s="19">
        <v>103.5</v>
      </c>
      <c r="FV41" s="19">
        <f t="shared" si="68"/>
        <v>54.188481675392673</v>
      </c>
      <c r="FW41" s="36">
        <v>17</v>
      </c>
      <c r="FX41" s="19">
        <v>3.5</v>
      </c>
      <c r="FY41" s="19">
        <f>FX41/FW41%</f>
        <v>20.588235294117645</v>
      </c>
      <c r="FZ41" s="36">
        <v>3434.8</v>
      </c>
      <c r="GA41" s="19">
        <v>3434.8</v>
      </c>
      <c r="GB41" s="19">
        <f t="shared" si="69"/>
        <v>100.00000000000001</v>
      </c>
      <c r="GC41" s="36">
        <v>1623.8</v>
      </c>
      <c r="GD41" s="19">
        <v>1350.1</v>
      </c>
      <c r="GE41" s="19">
        <f t="shared" si="70"/>
        <v>83.144475920679881</v>
      </c>
      <c r="GF41" s="36">
        <v>0</v>
      </c>
      <c r="GG41" s="36">
        <v>0</v>
      </c>
      <c r="GH41" s="19" t="s">
        <v>56</v>
      </c>
      <c r="GI41" s="37">
        <v>0</v>
      </c>
      <c r="GJ41" s="19">
        <v>0</v>
      </c>
      <c r="GK41" s="19" t="s">
        <v>56</v>
      </c>
      <c r="GL41" s="37">
        <v>0</v>
      </c>
      <c r="GM41" s="19">
        <v>0</v>
      </c>
      <c r="GN41" s="19" t="s">
        <v>56</v>
      </c>
      <c r="GO41" s="36">
        <v>476.2</v>
      </c>
      <c r="GP41" s="19">
        <v>0</v>
      </c>
      <c r="GQ41" s="19">
        <f>GP41/GO41%</f>
        <v>0</v>
      </c>
      <c r="GR41" s="36">
        <v>2214.1</v>
      </c>
      <c r="GS41" s="19">
        <v>1667.1</v>
      </c>
      <c r="GT41" s="19">
        <v>0</v>
      </c>
      <c r="GU41" s="36">
        <v>6291.4</v>
      </c>
      <c r="GV41" s="19">
        <v>1640</v>
      </c>
      <c r="GW41" s="19">
        <f>GV41/GU41%</f>
        <v>26.067330006039992</v>
      </c>
      <c r="GX41" s="36">
        <v>15391.3</v>
      </c>
      <c r="GY41" s="19">
        <v>10648.3</v>
      </c>
      <c r="GZ41" s="19">
        <f t="shared" si="71"/>
        <v>69.183889599968822</v>
      </c>
      <c r="HA41" s="19">
        <v>4940</v>
      </c>
      <c r="HB41" s="19">
        <v>0</v>
      </c>
      <c r="HC41" s="19">
        <v>0</v>
      </c>
      <c r="HD41" s="19">
        <v>89542.1</v>
      </c>
      <c r="HE41" s="19">
        <v>70318.399999999994</v>
      </c>
      <c r="HF41" s="38">
        <f t="shared" si="26"/>
        <v>78.531104363198978</v>
      </c>
      <c r="HG41" s="19">
        <v>0</v>
      </c>
      <c r="HH41" s="19">
        <v>0</v>
      </c>
      <c r="HI41" s="19" t="s">
        <v>56</v>
      </c>
      <c r="HJ41" s="17">
        <f t="shared" si="28"/>
        <v>1042769.8</v>
      </c>
      <c r="HK41" s="17">
        <f t="shared" si="29"/>
        <v>388300.1</v>
      </c>
      <c r="HL41" s="16">
        <f t="shared" si="30"/>
        <v>37.237374922058535</v>
      </c>
      <c r="HM41" s="34">
        <v>66409.899999999994</v>
      </c>
      <c r="HN41" s="34">
        <v>16602.5</v>
      </c>
      <c r="HO41" s="35">
        <f t="shared" si="42"/>
        <v>25.000037644989682</v>
      </c>
      <c r="HP41" s="35">
        <v>0</v>
      </c>
      <c r="HQ41" s="35">
        <v>0</v>
      </c>
      <c r="HR41" s="35" t="s">
        <v>56</v>
      </c>
      <c r="HS41" s="35">
        <v>26500</v>
      </c>
      <c r="HT41" s="35">
        <v>0</v>
      </c>
      <c r="HU41" s="35">
        <f t="shared" si="43"/>
        <v>0</v>
      </c>
      <c r="HV41" s="35">
        <v>101422.3</v>
      </c>
      <c r="HW41" s="35">
        <v>3731.3</v>
      </c>
      <c r="HX41" s="35">
        <f t="shared" si="79"/>
        <v>3.6789739534599395</v>
      </c>
      <c r="HY41" s="34">
        <v>0</v>
      </c>
      <c r="HZ41" s="34">
        <v>0</v>
      </c>
      <c r="IA41" s="34" t="s">
        <v>56</v>
      </c>
      <c r="IB41" s="34">
        <v>687</v>
      </c>
      <c r="IC41" s="34">
        <v>687</v>
      </c>
      <c r="ID41" s="35">
        <f t="shared" si="31"/>
        <v>100</v>
      </c>
      <c r="IE41" s="34">
        <v>0</v>
      </c>
      <c r="IF41" s="34">
        <v>0</v>
      </c>
      <c r="IG41" s="35" t="s">
        <v>56</v>
      </c>
      <c r="IH41" s="18">
        <v>95913.7</v>
      </c>
      <c r="II41" s="19">
        <f>28519.9-132.8</f>
        <v>28387.100000000002</v>
      </c>
      <c r="IJ41" s="19">
        <f t="shared" si="32"/>
        <v>29.596501855313683</v>
      </c>
      <c r="IK41" s="19">
        <v>0</v>
      </c>
      <c r="IL41" s="19">
        <v>0</v>
      </c>
      <c r="IM41" s="19" t="s">
        <v>56</v>
      </c>
      <c r="IN41" s="19">
        <v>0</v>
      </c>
      <c r="IO41" s="19">
        <v>0</v>
      </c>
      <c r="IP41" s="19" t="s">
        <v>56</v>
      </c>
      <c r="IQ41" s="19">
        <v>0</v>
      </c>
      <c r="IR41" s="19">
        <v>0</v>
      </c>
      <c r="IS41" s="19" t="s">
        <v>56</v>
      </c>
      <c r="IT41" s="19">
        <v>5951.6</v>
      </c>
      <c r="IU41" s="19">
        <v>0</v>
      </c>
      <c r="IV41" s="21">
        <v>0</v>
      </c>
      <c r="IW41" s="19">
        <v>0</v>
      </c>
      <c r="IX41" s="19">
        <v>0</v>
      </c>
      <c r="IY41" s="19" t="s">
        <v>56</v>
      </c>
      <c r="IZ41" s="19">
        <v>4759.3999999999996</v>
      </c>
      <c r="JA41" s="19">
        <v>4520.1000000000004</v>
      </c>
      <c r="JB41" s="21">
        <f>(JA41/IZ41)*100</f>
        <v>94.972055301088389</v>
      </c>
      <c r="JC41" s="19">
        <v>0</v>
      </c>
      <c r="JD41" s="19">
        <v>0</v>
      </c>
      <c r="JE41" s="19" t="s">
        <v>56</v>
      </c>
      <c r="JF41" s="19">
        <v>48.4</v>
      </c>
      <c r="JG41" s="19">
        <v>29.6</v>
      </c>
      <c r="JH41" s="25">
        <f>(JG41/JF41)*100</f>
        <v>61.157024793388437</v>
      </c>
      <c r="JI41" s="23">
        <v>48.1</v>
      </c>
      <c r="JJ41" s="19">
        <v>45.7</v>
      </c>
      <c r="JK41" s="25">
        <f>(JJ41/JI41)*100</f>
        <v>95.010395010395015</v>
      </c>
      <c r="JL41" s="19">
        <v>0</v>
      </c>
      <c r="JM41" s="19">
        <v>0</v>
      </c>
      <c r="JN41" s="19" t="s">
        <v>56</v>
      </c>
      <c r="JO41" s="19">
        <v>0</v>
      </c>
      <c r="JP41" s="19">
        <v>0</v>
      </c>
      <c r="JQ41" s="19" t="s">
        <v>56</v>
      </c>
      <c r="JR41" s="19">
        <v>0</v>
      </c>
      <c r="JS41" s="19">
        <v>0</v>
      </c>
      <c r="JT41" s="19" t="s">
        <v>56</v>
      </c>
      <c r="JU41" s="19">
        <v>741029.4</v>
      </c>
      <c r="JV41" s="19">
        <v>334296.8</v>
      </c>
      <c r="JW41" s="21">
        <f>(JV41/JU41)*100</f>
        <v>45.112488114506654</v>
      </c>
      <c r="JX41" s="21">
        <v>0</v>
      </c>
      <c r="JY41" s="21">
        <v>0</v>
      </c>
      <c r="JZ41" s="21" t="s">
        <v>56</v>
      </c>
      <c r="KA41" s="21">
        <v>0</v>
      </c>
      <c r="KB41" s="21">
        <v>0</v>
      </c>
      <c r="KC41" s="21" t="s">
        <v>56</v>
      </c>
      <c r="KD41" s="14">
        <f t="shared" si="80"/>
        <v>5782595.5351900002</v>
      </c>
      <c r="KE41" s="14">
        <f t="shared" si="81"/>
        <v>3557755.8000000003</v>
      </c>
      <c r="KF41" s="14">
        <f t="shared" si="72"/>
        <v>61.525240324163569</v>
      </c>
      <c r="KG41" s="7"/>
      <c r="KH41" s="9"/>
      <c r="KJ41" s="9"/>
    </row>
    <row r="42" spans="1:296" x14ac:dyDescent="0.2">
      <c r="A42" s="27" t="s">
        <v>29</v>
      </c>
      <c r="B42" s="13">
        <f t="shared" si="20"/>
        <v>59111</v>
      </c>
      <c r="C42" s="13">
        <f t="shared" si="33"/>
        <v>27500.2</v>
      </c>
      <c r="D42" s="14">
        <f t="shared" si="73"/>
        <v>46.522982186056744</v>
      </c>
      <c r="E42" s="18">
        <v>28370</v>
      </c>
      <c r="F42" s="19">
        <v>4445.2</v>
      </c>
      <c r="G42" s="19">
        <f t="shared" si="59"/>
        <v>15.668664081776525</v>
      </c>
      <c r="H42" s="18">
        <v>0</v>
      </c>
      <c r="I42" s="18">
        <v>0</v>
      </c>
      <c r="J42" s="19" t="s">
        <v>56</v>
      </c>
      <c r="K42" s="19">
        <v>30741</v>
      </c>
      <c r="L42" s="19">
        <v>23055</v>
      </c>
      <c r="M42" s="19">
        <f>L42/K42%</f>
        <v>74.997560261539959</v>
      </c>
      <c r="N42" s="13">
        <f t="shared" si="76"/>
        <v>13342.400000000001</v>
      </c>
      <c r="O42" s="13">
        <f t="shared" si="77"/>
        <v>2065.5</v>
      </c>
      <c r="P42" s="14">
        <f t="shared" si="21"/>
        <v>15.480723108286362</v>
      </c>
      <c r="Q42" s="19">
        <v>0</v>
      </c>
      <c r="R42" s="19">
        <v>0</v>
      </c>
      <c r="S42" s="19" t="s">
        <v>56</v>
      </c>
      <c r="T42" s="19">
        <v>0</v>
      </c>
      <c r="U42" s="19">
        <v>0</v>
      </c>
      <c r="V42" s="19" t="s">
        <v>56</v>
      </c>
      <c r="W42" s="18">
        <v>0</v>
      </c>
      <c r="X42" s="19">
        <v>0</v>
      </c>
      <c r="Y42" s="19" t="s">
        <v>56</v>
      </c>
      <c r="Z42" s="18">
        <v>0</v>
      </c>
      <c r="AA42" s="19">
        <v>0</v>
      </c>
      <c r="AB42" s="19" t="s">
        <v>56</v>
      </c>
      <c r="AC42" s="18">
        <v>0</v>
      </c>
      <c r="AD42" s="19">
        <v>0</v>
      </c>
      <c r="AE42" s="19" t="s">
        <v>56</v>
      </c>
      <c r="AF42" s="18">
        <v>0</v>
      </c>
      <c r="AG42" s="19">
        <v>0</v>
      </c>
      <c r="AH42" s="19" t="s">
        <v>56</v>
      </c>
      <c r="AI42" s="19">
        <v>0</v>
      </c>
      <c r="AJ42" s="19">
        <v>0</v>
      </c>
      <c r="AK42" s="19" t="s">
        <v>56</v>
      </c>
      <c r="AL42" s="19">
        <v>0</v>
      </c>
      <c r="AM42" s="19">
        <v>0</v>
      </c>
      <c r="AN42" s="19" t="s">
        <v>56</v>
      </c>
      <c r="AO42" s="19">
        <v>0</v>
      </c>
      <c r="AP42" s="19">
        <v>0</v>
      </c>
      <c r="AQ42" s="19" t="s">
        <v>56</v>
      </c>
      <c r="AR42" s="19">
        <v>0</v>
      </c>
      <c r="AS42" s="19">
        <v>0</v>
      </c>
      <c r="AT42" s="19" t="s">
        <v>56</v>
      </c>
      <c r="AU42" s="19">
        <v>0</v>
      </c>
      <c r="AV42" s="19">
        <v>0</v>
      </c>
      <c r="AW42" s="19" t="s">
        <v>56</v>
      </c>
      <c r="AX42" s="19">
        <v>2787.3</v>
      </c>
      <c r="AY42" s="19">
        <v>696.8</v>
      </c>
      <c r="AZ42" s="19">
        <f>(AY42/AX42)*100</f>
        <v>24.999103074660063</v>
      </c>
      <c r="BA42" s="19">
        <v>0</v>
      </c>
      <c r="BB42" s="19">
        <v>0</v>
      </c>
      <c r="BC42" s="25" t="s">
        <v>56</v>
      </c>
      <c r="BD42" s="19">
        <v>0</v>
      </c>
      <c r="BE42" s="19">
        <v>0</v>
      </c>
      <c r="BF42" s="19" t="s">
        <v>56</v>
      </c>
      <c r="BG42" s="19">
        <v>0</v>
      </c>
      <c r="BH42" s="19">
        <v>0</v>
      </c>
      <c r="BI42" s="19" t="s">
        <v>56</v>
      </c>
      <c r="BJ42" s="19">
        <v>0</v>
      </c>
      <c r="BK42" s="19">
        <v>0</v>
      </c>
      <c r="BL42" s="19" t="s">
        <v>56</v>
      </c>
      <c r="BM42" s="18">
        <v>0</v>
      </c>
      <c r="BN42" s="19">
        <v>0</v>
      </c>
      <c r="BO42" s="19" t="s">
        <v>56</v>
      </c>
      <c r="BP42" s="18">
        <v>0</v>
      </c>
      <c r="BQ42" s="19">
        <v>0</v>
      </c>
      <c r="BR42" s="19" t="s">
        <v>56</v>
      </c>
      <c r="BS42" s="19">
        <v>0</v>
      </c>
      <c r="BT42" s="19">
        <v>0</v>
      </c>
      <c r="BU42" s="19" t="s">
        <v>56</v>
      </c>
      <c r="BV42" s="19">
        <v>0</v>
      </c>
      <c r="BW42" s="19">
        <v>0</v>
      </c>
      <c r="BX42" s="19" t="s">
        <v>56</v>
      </c>
      <c r="BY42" s="19">
        <v>1256.0999999999999</v>
      </c>
      <c r="BZ42" s="19">
        <v>742.4</v>
      </c>
      <c r="CA42" s="19">
        <f>(BZ42/BY42)*100</f>
        <v>59.103574556165917</v>
      </c>
      <c r="CB42" s="34">
        <v>0</v>
      </c>
      <c r="CC42" s="34">
        <v>0</v>
      </c>
      <c r="CD42" s="34" t="s">
        <v>56</v>
      </c>
      <c r="CE42" s="34">
        <v>0</v>
      </c>
      <c r="CF42" s="34">
        <v>0</v>
      </c>
      <c r="CG42" s="34" t="s">
        <v>56</v>
      </c>
      <c r="CH42" s="34">
        <v>0</v>
      </c>
      <c r="CI42" s="34">
        <v>0</v>
      </c>
      <c r="CJ42" s="19" t="s">
        <v>56</v>
      </c>
      <c r="CK42" s="34">
        <v>0</v>
      </c>
      <c r="CL42" s="34">
        <v>0</v>
      </c>
      <c r="CM42" s="34" t="s">
        <v>56</v>
      </c>
      <c r="CN42" s="34">
        <v>0</v>
      </c>
      <c r="CO42" s="34">
        <v>0</v>
      </c>
      <c r="CP42" s="34" t="s">
        <v>56</v>
      </c>
      <c r="CQ42" s="34">
        <v>0</v>
      </c>
      <c r="CR42" s="34">
        <v>0</v>
      </c>
      <c r="CS42" s="34" t="s">
        <v>56</v>
      </c>
      <c r="CT42" s="34">
        <v>0</v>
      </c>
      <c r="CU42" s="34">
        <v>0</v>
      </c>
      <c r="CV42" s="34" t="s">
        <v>56</v>
      </c>
      <c r="CW42" s="34">
        <v>7191.8</v>
      </c>
      <c r="CX42" s="34">
        <v>234.9</v>
      </c>
      <c r="CY42" s="34">
        <f t="shared" si="23"/>
        <v>3.2662198615089406</v>
      </c>
      <c r="CZ42" s="34">
        <v>0</v>
      </c>
      <c r="DA42" s="34">
        <v>0</v>
      </c>
      <c r="DB42" s="34" t="s">
        <v>56</v>
      </c>
      <c r="DC42" s="34">
        <v>0</v>
      </c>
      <c r="DD42" s="34">
        <v>0</v>
      </c>
      <c r="DE42" s="35" t="s">
        <v>56</v>
      </c>
      <c r="DF42" s="34">
        <v>0</v>
      </c>
      <c r="DG42" s="34">
        <v>0</v>
      </c>
      <c r="DH42" s="34" t="s">
        <v>56</v>
      </c>
      <c r="DI42" s="34">
        <v>0</v>
      </c>
      <c r="DJ42" s="34">
        <v>0</v>
      </c>
      <c r="DK42" s="34" t="s">
        <v>56</v>
      </c>
      <c r="DL42" s="34">
        <v>2107.1999999999998</v>
      </c>
      <c r="DM42" s="34">
        <v>391.4</v>
      </c>
      <c r="DN42" s="34">
        <f t="shared" si="24"/>
        <v>18.574411541381931</v>
      </c>
      <c r="DO42" s="34">
        <v>0</v>
      </c>
      <c r="DP42" s="34">
        <v>0</v>
      </c>
      <c r="DQ42" s="34" t="s">
        <v>56</v>
      </c>
      <c r="DR42" s="34">
        <v>0</v>
      </c>
      <c r="DS42" s="34">
        <v>0</v>
      </c>
      <c r="DT42" s="34" t="s">
        <v>56</v>
      </c>
      <c r="DU42" s="34">
        <v>0</v>
      </c>
      <c r="DV42" s="34">
        <v>0</v>
      </c>
      <c r="DW42" s="34" t="s">
        <v>56</v>
      </c>
      <c r="DX42" s="34">
        <v>0</v>
      </c>
      <c r="DY42" s="34">
        <v>0</v>
      </c>
      <c r="DZ42" s="34" t="s">
        <v>56</v>
      </c>
      <c r="EA42" s="34">
        <v>0</v>
      </c>
      <c r="EB42" s="34">
        <v>0</v>
      </c>
      <c r="EC42" s="34" t="s">
        <v>56</v>
      </c>
      <c r="ED42" s="34">
        <v>0</v>
      </c>
      <c r="EE42" s="34">
        <v>0</v>
      </c>
      <c r="EF42" s="34" t="s">
        <v>56</v>
      </c>
      <c r="EG42" s="13">
        <f t="shared" si="5"/>
        <v>105092.59999999999</v>
      </c>
      <c r="EH42" s="13">
        <f t="shared" si="6"/>
        <v>77795.400000000009</v>
      </c>
      <c r="EI42" s="14">
        <f t="shared" si="61"/>
        <v>74.025573636963998</v>
      </c>
      <c r="EJ42" s="19">
        <v>755.1</v>
      </c>
      <c r="EK42" s="19">
        <v>573.20000000000005</v>
      </c>
      <c r="EL42" s="19">
        <f t="shared" si="7"/>
        <v>75.910475433717394</v>
      </c>
      <c r="EM42" s="19">
        <v>0</v>
      </c>
      <c r="EN42" s="19">
        <v>0</v>
      </c>
      <c r="EO42" s="19" t="s">
        <v>56</v>
      </c>
      <c r="EP42" s="36">
        <v>0</v>
      </c>
      <c r="EQ42" s="36">
        <v>0</v>
      </c>
      <c r="ER42" s="19" t="s">
        <v>56</v>
      </c>
      <c r="ES42" s="36">
        <v>44693</v>
      </c>
      <c r="ET42" s="19">
        <v>32007.5</v>
      </c>
      <c r="EU42" s="19">
        <v>71.616360503882035</v>
      </c>
      <c r="EV42" s="34">
        <v>55500.7</v>
      </c>
      <c r="EW42" s="34">
        <v>42428.3</v>
      </c>
      <c r="EX42" s="35">
        <v>76.446423198265975</v>
      </c>
      <c r="EY42" s="36">
        <v>989.6</v>
      </c>
      <c r="EZ42" s="34">
        <v>550.9</v>
      </c>
      <c r="FA42" s="34">
        <f t="shared" si="25"/>
        <v>55.668957154405817</v>
      </c>
      <c r="FB42" s="36">
        <v>107.5</v>
      </c>
      <c r="FC42" s="19">
        <v>0</v>
      </c>
      <c r="FD42" s="19">
        <f t="shared" si="58"/>
        <v>0</v>
      </c>
      <c r="FE42" s="19">
        <v>0</v>
      </c>
      <c r="FF42" s="19">
        <v>0</v>
      </c>
      <c r="FG42" s="19" t="s">
        <v>56</v>
      </c>
      <c r="FH42" s="36">
        <v>0</v>
      </c>
      <c r="FI42" s="36">
        <v>0</v>
      </c>
      <c r="FJ42" s="19" t="s">
        <v>56</v>
      </c>
      <c r="FK42" s="36">
        <v>62.4</v>
      </c>
      <c r="FL42" s="19">
        <v>8.6</v>
      </c>
      <c r="FM42" s="19">
        <f t="shared" si="66"/>
        <v>13.782051282051281</v>
      </c>
      <c r="FN42" s="36">
        <v>0</v>
      </c>
      <c r="FO42" s="36">
        <v>0</v>
      </c>
      <c r="FP42" s="19" t="s">
        <v>56</v>
      </c>
      <c r="FQ42" s="36">
        <v>6.3</v>
      </c>
      <c r="FR42" s="19">
        <v>6.3</v>
      </c>
      <c r="FS42" s="19">
        <f t="shared" si="67"/>
        <v>100</v>
      </c>
      <c r="FT42" s="36">
        <v>31.8</v>
      </c>
      <c r="FU42" s="19">
        <v>24.3</v>
      </c>
      <c r="FV42" s="19">
        <f t="shared" si="68"/>
        <v>76.415094339622641</v>
      </c>
      <c r="FW42" s="36">
        <v>0</v>
      </c>
      <c r="FX42" s="19">
        <v>0</v>
      </c>
      <c r="FY42" s="19" t="s">
        <v>56</v>
      </c>
      <c r="FZ42" s="36">
        <v>514.9</v>
      </c>
      <c r="GA42" s="19">
        <v>429.8</v>
      </c>
      <c r="GB42" s="19">
        <f t="shared" si="69"/>
        <v>83.472518935715669</v>
      </c>
      <c r="GC42" s="36">
        <v>210</v>
      </c>
      <c r="GD42" s="19">
        <v>177.4</v>
      </c>
      <c r="GE42" s="19">
        <f t="shared" si="70"/>
        <v>84.476190476190482</v>
      </c>
      <c r="GF42" s="36">
        <v>0</v>
      </c>
      <c r="GG42" s="36">
        <v>0</v>
      </c>
      <c r="GH42" s="19" t="s">
        <v>56</v>
      </c>
      <c r="GI42" s="37">
        <v>0</v>
      </c>
      <c r="GJ42" s="19">
        <v>0</v>
      </c>
      <c r="GK42" s="19" t="s">
        <v>56</v>
      </c>
      <c r="GL42" s="37">
        <v>330.8</v>
      </c>
      <c r="GM42" s="19">
        <v>179.3</v>
      </c>
      <c r="GN42" s="19">
        <f t="shared" si="17"/>
        <v>54.201934703748485</v>
      </c>
      <c r="GO42" s="36">
        <v>0</v>
      </c>
      <c r="GP42" s="19">
        <v>0</v>
      </c>
      <c r="GQ42" s="19" t="s">
        <v>56</v>
      </c>
      <c r="GR42" s="36">
        <v>216.4</v>
      </c>
      <c r="GS42" s="19">
        <v>163.1</v>
      </c>
      <c r="GT42" s="19">
        <f>GS42/GR42%</f>
        <v>75.369685767097963</v>
      </c>
      <c r="GU42" s="36">
        <v>177.7</v>
      </c>
      <c r="GV42" s="19">
        <v>72.400000000000006</v>
      </c>
      <c r="GW42" s="19">
        <f>GV42/GU42%</f>
        <v>40.74282498593135</v>
      </c>
      <c r="GX42" s="36">
        <v>0</v>
      </c>
      <c r="GY42" s="19">
        <v>0</v>
      </c>
      <c r="GZ42" s="19" t="s">
        <v>56</v>
      </c>
      <c r="HA42" s="19">
        <v>119.6</v>
      </c>
      <c r="HB42" s="19">
        <v>0</v>
      </c>
      <c r="HC42" s="19">
        <v>0</v>
      </c>
      <c r="HD42" s="19">
        <v>1376.8</v>
      </c>
      <c r="HE42" s="19">
        <v>1174.3</v>
      </c>
      <c r="HF42" s="38">
        <f t="shared" si="26"/>
        <v>85.291981406159209</v>
      </c>
      <c r="HG42" s="19">
        <v>0</v>
      </c>
      <c r="HH42" s="19">
        <v>0</v>
      </c>
      <c r="HI42" s="19" t="s">
        <v>56</v>
      </c>
      <c r="HJ42" s="17">
        <f t="shared" si="28"/>
        <v>11470</v>
      </c>
      <c r="HK42" s="17">
        <f t="shared" si="29"/>
        <v>5770.7</v>
      </c>
      <c r="HL42" s="16">
        <f t="shared" si="30"/>
        <v>50.311246730601567</v>
      </c>
      <c r="HM42" s="34">
        <v>1835.8</v>
      </c>
      <c r="HN42" s="34">
        <v>459</v>
      </c>
      <c r="HO42" s="35">
        <f t="shared" si="42"/>
        <v>25.002723608236195</v>
      </c>
      <c r="HP42" s="35">
        <v>0</v>
      </c>
      <c r="HQ42" s="35">
        <v>0</v>
      </c>
      <c r="HR42" s="35" t="s">
        <v>56</v>
      </c>
      <c r="HS42" s="35">
        <v>4570</v>
      </c>
      <c r="HT42" s="35">
        <v>247.5</v>
      </c>
      <c r="HU42" s="35">
        <f t="shared" si="43"/>
        <v>5.4157549234135667</v>
      </c>
      <c r="HV42" s="35">
        <v>0</v>
      </c>
      <c r="HW42" s="35">
        <v>0</v>
      </c>
      <c r="HX42" s="35" t="s">
        <v>56</v>
      </c>
      <c r="HY42" s="34">
        <v>0</v>
      </c>
      <c r="HZ42" s="34">
        <v>0</v>
      </c>
      <c r="IA42" s="34" t="s">
        <v>56</v>
      </c>
      <c r="IB42" s="34">
        <v>109</v>
      </c>
      <c r="IC42" s="34">
        <v>109</v>
      </c>
      <c r="ID42" s="35">
        <f t="shared" si="31"/>
        <v>100</v>
      </c>
      <c r="IE42" s="34">
        <v>0</v>
      </c>
      <c r="IF42" s="34">
        <v>0</v>
      </c>
      <c r="IG42" s="35" t="s">
        <v>56</v>
      </c>
      <c r="IH42" s="18">
        <v>4955.2</v>
      </c>
      <c r="II42" s="19">
        <v>4955.2</v>
      </c>
      <c r="IJ42" s="19">
        <f t="shared" si="32"/>
        <v>100</v>
      </c>
      <c r="IK42" s="19">
        <v>0</v>
      </c>
      <c r="IL42" s="19">
        <v>0</v>
      </c>
      <c r="IM42" s="19" t="s">
        <v>56</v>
      </c>
      <c r="IN42" s="19">
        <v>0</v>
      </c>
      <c r="IO42" s="19">
        <v>0</v>
      </c>
      <c r="IP42" s="19" t="s">
        <v>56</v>
      </c>
      <c r="IQ42" s="19">
        <v>0</v>
      </c>
      <c r="IR42" s="19">
        <v>0</v>
      </c>
      <c r="IS42" s="19" t="s">
        <v>56</v>
      </c>
      <c r="IT42" s="19">
        <v>0</v>
      </c>
      <c r="IU42" s="19">
        <v>0</v>
      </c>
      <c r="IV42" s="21" t="s">
        <v>56</v>
      </c>
      <c r="IW42" s="19">
        <v>0</v>
      </c>
      <c r="IX42" s="19">
        <v>0</v>
      </c>
      <c r="IY42" s="19" t="s">
        <v>56</v>
      </c>
      <c r="IZ42" s="19">
        <v>0</v>
      </c>
      <c r="JA42" s="19">
        <v>0</v>
      </c>
      <c r="JB42" s="21" t="s">
        <v>56</v>
      </c>
      <c r="JC42" s="19">
        <v>0</v>
      </c>
      <c r="JD42" s="19">
        <v>0</v>
      </c>
      <c r="JE42" s="19" t="s">
        <v>56</v>
      </c>
      <c r="JF42" s="19">
        <v>0</v>
      </c>
      <c r="JG42" s="19">
        <v>0</v>
      </c>
      <c r="JH42" s="25" t="s">
        <v>56</v>
      </c>
      <c r="JI42" s="23">
        <v>0</v>
      </c>
      <c r="JJ42" s="19">
        <v>0</v>
      </c>
      <c r="JK42" s="25" t="s">
        <v>56</v>
      </c>
      <c r="JL42" s="19">
        <v>0</v>
      </c>
      <c r="JM42" s="19">
        <v>0</v>
      </c>
      <c r="JN42" s="19" t="s">
        <v>56</v>
      </c>
      <c r="JO42" s="19">
        <v>0</v>
      </c>
      <c r="JP42" s="19">
        <v>0</v>
      </c>
      <c r="JQ42" s="19" t="s">
        <v>56</v>
      </c>
      <c r="JR42" s="19">
        <v>0</v>
      </c>
      <c r="JS42" s="19">
        <v>0</v>
      </c>
      <c r="JT42" s="19" t="s">
        <v>56</v>
      </c>
      <c r="JU42" s="19">
        <v>0</v>
      </c>
      <c r="JV42" s="19">
        <v>0</v>
      </c>
      <c r="JW42" s="21" t="s">
        <v>56</v>
      </c>
      <c r="JX42" s="21">
        <v>0</v>
      </c>
      <c r="JY42" s="21">
        <v>0</v>
      </c>
      <c r="JZ42" s="21" t="s">
        <v>56</v>
      </c>
      <c r="KA42" s="21">
        <v>0</v>
      </c>
      <c r="KB42" s="21">
        <v>0</v>
      </c>
      <c r="KC42" s="21" t="s">
        <v>56</v>
      </c>
      <c r="KD42" s="14">
        <f t="shared" si="80"/>
        <v>189016</v>
      </c>
      <c r="KE42" s="14">
        <f t="shared" si="81"/>
        <v>113131.8</v>
      </c>
      <c r="KF42" s="14">
        <f t="shared" si="72"/>
        <v>59.853028315063277</v>
      </c>
      <c r="KG42" s="7"/>
      <c r="KH42" s="9"/>
      <c r="KJ42" s="9"/>
    </row>
    <row r="43" spans="1:296" s="3" customFormat="1" x14ac:dyDescent="0.2">
      <c r="A43" s="28" t="s">
        <v>55</v>
      </c>
      <c r="B43" s="15">
        <f>E43+H43+K43</f>
        <v>105343.2</v>
      </c>
      <c r="C43" s="13">
        <f t="shared" si="33"/>
        <v>0</v>
      </c>
      <c r="D43" s="14">
        <f t="shared" si="73"/>
        <v>0</v>
      </c>
      <c r="E43" s="14">
        <v>0</v>
      </c>
      <c r="F43" s="14">
        <v>0</v>
      </c>
      <c r="G43" s="14" t="s">
        <v>56</v>
      </c>
      <c r="H43" s="14">
        <v>105343.2</v>
      </c>
      <c r="I43" s="14">
        <v>0</v>
      </c>
      <c r="J43" s="14" t="s">
        <v>56</v>
      </c>
      <c r="K43" s="14">
        <v>0</v>
      </c>
      <c r="L43" s="14">
        <v>0</v>
      </c>
      <c r="M43" s="14" t="s">
        <v>56</v>
      </c>
      <c r="N43" s="13">
        <f t="shared" si="76"/>
        <v>8935.2000000000007</v>
      </c>
      <c r="O43" s="13">
        <f t="shared" si="77"/>
        <v>0</v>
      </c>
      <c r="P43" s="14">
        <f t="shared" ref="P43" si="82">(O43/N43)*100</f>
        <v>0</v>
      </c>
      <c r="Q43" s="14">
        <v>0</v>
      </c>
      <c r="R43" s="14">
        <v>0</v>
      </c>
      <c r="S43" s="14" t="s">
        <v>56</v>
      </c>
      <c r="T43" s="14">
        <v>0</v>
      </c>
      <c r="U43" s="14">
        <v>0</v>
      </c>
      <c r="V43" s="14" t="s">
        <v>56</v>
      </c>
      <c r="W43" s="14">
        <v>0</v>
      </c>
      <c r="X43" s="14">
        <v>0</v>
      </c>
      <c r="Y43" s="14" t="s">
        <v>56</v>
      </c>
      <c r="Z43" s="14">
        <v>0</v>
      </c>
      <c r="AA43" s="14">
        <v>0</v>
      </c>
      <c r="AB43" s="14" t="s">
        <v>56</v>
      </c>
      <c r="AC43" s="14">
        <v>0</v>
      </c>
      <c r="AD43" s="14">
        <v>0</v>
      </c>
      <c r="AE43" s="14" t="s">
        <v>56</v>
      </c>
      <c r="AF43" s="14">
        <v>0</v>
      </c>
      <c r="AG43" s="14">
        <v>0</v>
      </c>
      <c r="AH43" s="14" t="s">
        <v>56</v>
      </c>
      <c r="AI43" s="19">
        <v>8914.1</v>
      </c>
      <c r="AJ43" s="14">
        <v>0</v>
      </c>
      <c r="AK43" s="14">
        <f>AJ43/AI43*100</f>
        <v>0</v>
      </c>
      <c r="AL43" s="14">
        <v>0</v>
      </c>
      <c r="AM43" s="14">
        <v>0</v>
      </c>
      <c r="AN43" s="14" t="s">
        <v>56</v>
      </c>
      <c r="AO43" s="14">
        <v>0</v>
      </c>
      <c r="AP43" s="14">
        <v>0</v>
      </c>
      <c r="AQ43" s="14" t="s">
        <v>56</v>
      </c>
      <c r="AR43" s="14">
        <v>0</v>
      </c>
      <c r="AS43" s="14">
        <v>0</v>
      </c>
      <c r="AT43" s="14" t="s">
        <v>56</v>
      </c>
      <c r="AU43" s="14">
        <v>0</v>
      </c>
      <c r="AV43" s="14">
        <v>0</v>
      </c>
      <c r="AW43" s="14" t="s">
        <v>56</v>
      </c>
      <c r="AX43" s="14">
        <v>0</v>
      </c>
      <c r="AY43" s="14">
        <v>0</v>
      </c>
      <c r="AZ43" s="14" t="s">
        <v>56</v>
      </c>
      <c r="BA43" s="14">
        <v>0</v>
      </c>
      <c r="BB43" s="14">
        <v>0</v>
      </c>
      <c r="BC43" s="14" t="s">
        <v>56</v>
      </c>
      <c r="BD43" s="14">
        <v>0</v>
      </c>
      <c r="BE43" s="14">
        <v>0</v>
      </c>
      <c r="BF43" s="14" t="s">
        <v>56</v>
      </c>
      <c r="BG43" s="14">
        <v>0</v>
      </c>
      <c r="BH43" s="14">
        <v>0</v>
      </c>
      <c r="BI43" s="14" t="s">
        <v>56</v>
      </c>
      <c r="BJ43" s="14">
        <v>0</v>
      </c>
      <c r="BK43" s="14">
        <v>0</v>
      </c>
      <c r="BL43" s="14" t="s">
        <v>56</v>
      </c>
      <c r="BM43" s="14">
        <v>0</v>
      </c>
      <c r="BN43" s="14">
        <v>0</v>
      </c>
      <c r="BO43" s="14" t="s">
        <v>56</v>
      </c>
      <c r="BP43" s="14">
        <v>0</v>
      </c>
      <c r="BQ43" s="14">
        <v>0</v>
      </c>
      <c r="BR43" s="14" t="s">
        <v>56</v>
      </c>
      <c r="BS43" s="14">
        <v>0</v>
      </c>
      <c r="BT43" s="14">
        <v>0</v>
      </c>
      <c r="BU43" s="14" t="s">
        <v>56</v>
      </c>
      <c r="BV43" s="14">
        <v>0</v>
      </c>
      <c r="BW43" s="14">
        <v>0</v>
      </c>
      <c r="BX43" s="14" t="s">
        <v>56</v>
      </c>
      <c r="BY43" s="14">
        <v>0</v>
      </c>
      <c r="BZ43" s="14">
        <v>0</v>
      </c>
      <c r="CA43" s="14" t="s">
        <v>56</v>
      </c>
      <c r="CB43" s="14">
        <v>0</v>
      </c>
      <c r="CC43" s="14">
        <v>0</v>
      </c>
      <c r="CD43" s="14" t="s">
        <v>56</v>
      </c>
      <c r="CE43" s="16">
        <v>21.1</v>
      </c>
      <c r="CF43" s="16">
        <v>0</v>
      </c>
      <c r="CG43" s="16">
        <f t="shared" si="22"/>
        <v>0</v>
      </c>
      <c r="CH43" s="14">
        <v>0</v>
      </c>
      <c r="CI43" s="14">
        <v>0</v>
      </c>
      <c r="CJ43" s="14" t="s">
        <v>56</v>
      </c>
      <c r="CK43" s="14">
        <v>0</v>
      </c>
      <c r="CL43" s="14">
        <v>0</v>
      </c>
      <c r="CM43" s="14" t="s">
        <v>56</v>
      </c>
      <c r="CN43" s="14">
        <v>0</v>
      </c>
      <c r="CO43" s="14">
        <v>0</v>
      </c>
      <c r="CP43" s="14" t="s">
        <v>56</v>
      </c>
      <c r="CQ43" s="14">
        <v>0</v>
      </c>
      <c r="CR43" s="14">
        <v>0</v>
      </c>
      <c r="CS43" s="14" t="s">
        <v>56</v>
      </c>
      <c r="CT43" s="14">
        <v>0</v>
      </c>
      <c r="CU43" s="14">
        <v>0</v>
      </c>
      <c r="CV43" s="14" t="s">
        <v>56</v>
      </c>
      <c r="CW43" s="14">
        <v>0</v>
      </c>
      <c r="CX43" s="14">
        <v>0</v>
      </c>
      <c r="CY43" s="14" t="s">
        <v>56</v>
      </c>
      <c r="CZ43" s="14">
        <v>0</v>
      </c>
      <c r="DA43" s="14">
        <v>0</v>
      </c>
      <c r="DB43" s="14" t="s">
        <v>56</v>
      </c>
      <c r="DC43" s="14">
        <v>0</v>
      </c>
      <c r="DD43" s="14">
        <v>0</v>
      </c>
      <c r="DE43" s="14" t="s">
        <v>56</v>
      </c>
      <c r="DF43" s="14">
        <v>0</v>
      </c>
      <c r="DG43" s="14">
        <v>0</v>
      </c>
      <c r="DH43" s="14" t="s">
        <v>56</v>
      </c>
      <c r="DI43" s="14">
        <v>0</v>
      </c>
      <c r="DJ43" s="14">
        <v>0</v>
      </c>
      <c r="DK43" s="14" t="s">
        <v>56</v>
      </c>
      <c r="DL43" s="14">
        <v>0</v>
      </c>
      <c r="DM43" s="14">
        <v>0</v>
      </c>
      <c r="DN43" s="14" t="s">
        <v>56</v>
      </c>
      <c r="DO43" s="14">
        <v>0</v>
      </c>
      <c r="DP43" s="14">
        <v>0</v>
      </c>
      <c r="DQ43" s="14" t="s">
        <v>56</v>
      </c>
      <c r="DR43" s="14">
        <v>0</v>
      </c>
      <c r="DS43" s="14">
        <v>0</v>
      </c>
      <c r="DT43" s="14" t="s">
        <v>56</v>
      </c>
      <c r="DU43" s="14">
        <v>0</v>
      </c>
      <c r="DV43" s="14">
        <v>0</v>
      </c>
      <c r="DW43" s="14" t="s">
        <v>56</v>
      </c>
      <c r="DX43" s="14">
        <v>0</v>
      </c>
      <c r="DY43" s="14">
        <v>0</v>
      </c>
      <c r="DZ43" s="14" t="s">
        <v>56</v>
      </c>
      <c r="EA43" s="14">
        <v>0</v>
      </c>
      <c r="EB43" s="14">
        <v>0</v>
      </c>
      <c r="EC43" s="14" t="s">
        <v>56</v>
      </c>
      <c r="ED43" s="14">
        <v>0</v>
      </c>
      <c r="EE43" s="14">
        <v>0</v>
      </c>
      <c r="EF43" s="14" t="s">
        <v>56</v>
      </c>
      <c r="EG43" s="13">
        <f t="shared" si="5"/>
        <v>0</v>
      </c>
      <c r="EH43" s="13">
        <f t="shared" si="6"/>
        <v>0</v>
      </c>
      <c r="EI43" s="14" t="s">
        <v>56</v>
      </c>
      <c r="EJ43" s="13">
        <v>0</v>
      </c>
      <c r="EK43" s="13">
        <f t="shared" ref="EK43" si="83">EN43+EQ43+ET43+EW43+EZ43+FC43+FF43+FI43+FL43+FO43+FR43+FU43+FX43+GA43+GD43+GG43+GJ43+GM43+GP43+GS43+GV43+GY43+HB43+HE43+HH43+HK43</f>
        <v>0</v>
      </c>
      <c r="EL43" s="14" t="s">
        <v>56</v>
      </c>
      <c r="EM43" s="13">
        <v>0</v>
      </c>
      <c r="EN43" s="13">
        <f t="shared" ref="EN43" si="84">EQ43+ET43+EW43+EZ43+FC43+FF43+FI43+FL43+FO43+FR43+FU43+FX43+GA43+GD43+GG43+GJ43+GM43+GP43+GS43+GV43+GY43+HB43+HE43+HH43+HK43+HN43</f>
        <v>0</v>
      </c>
      <c r="EO43" s="14" t="s">
        <v>56</v>
      </c>
      <c r="EP43" s="13">
        <v>0</v>
      </c>
      <c r="EQ43" s="13">
        <f t="shared" ref="EQ43" si="85">ET43+EW43+EZ43+FC43+FF43+FI43+FL43+FO43+FR43+FU43+FX43+GA43+GD43+GG43+GJ43+GM43+GP43+GS43+GV43+GY43+HB43+HE43+HH43+HK43+HN43+HQ43</f>
        <v>0</v>
      </c>
      <c r="ER43" s="14" t="s">
        <v>56</v>
      </c>
      <c r="ES43" s="13">
        <v>0</v>
      </c>
      <c r="ET43" s="13">
        <f t="shared" ref="ET43" si="86">EW43+EZ43+FC43+FF43+FI43+FL43+FO43+FR43+FU43+FX43+GA43+GD43+GG43+GJ43+GM43+GP43+GS43+GV43+GY43+HB43+HE43+HH43+HK43+HN43+HQ43+HT43</f>
        <v>0</v>
      </c>
      <c r="EU43" s="14" t="s">
        <v>56</v>
      </c>
      <c r="EV43" s="13">
        <v>0</v>
      </c>
      <c r="EW43" s="13">
        <f t="shared" ref="EW43" si="87">EZ43+FC43+FF43+FI43+FL43+FO43+FR43+FU43+FX43+GA43+GD43+GG43+GJ43+GM43+GP43+GS43+GV43+GY43+HB43+HE43+HH43+HK43+HN43+HQ43+HT43+HW43</f>
        <v>0</v>
      </c>
      <c r="EX43" s="14" t="s">
        <v>56</v>
      </c>
      <c r="EY43" s="13">
        <v>0</v>
      </c>
      <c r="EZ43" s="13">
        <f t="shared" ref="EZ43" si="88">FC43+FF43+FI43+FL43+FO43+FR43+FU43+FX43+GA43+GD43+GG43+GJ43+GM43+GP43+GS43+GV43+GY43+HB43+HE43+HH43+HK43+HN43+HQ43+HT43+HW43+HZ43</f>
        <v>0</v>
      </c>
      <c r="FA43" s="14" t="s">
        <v>56</v>
      </c>
      <c r="FB43" s="14">
        <v>0</v>
      </c>
      <c r="FC43" s="14">
        <v>0</v>
      </c>
      <c r="FD43" s="14" t="s">
        <v>56</v>
      </c>
      <c r="FE43" s="14">
        <v>0</v>
      </c>
      <c r="FF43" s="14">
        <v>0</v>
      </c>
      <c r="FG43" s="14" t="s">
        <v>56</v>
      </c>
      <c r="FH43" s="14">
        <v>0</v>
      </c>
      <c r="FI43" s="14">
        <v>0</v>
      </c>
      <c r="FJ43" s="14" t="s">
        <v>56</v>
      </c>
      <c r="FK43" s="14">
        <v>0</v>
      </c>
      <c r="FL43" s="14">
        <v>0</v>
      </c>
      <c r="FM43" s="14" t="s">
        <v>56</v>
      </c>
      <c r="FN43" s="14">
        <v>0</v>
      </c>
      <c r="FO43" s="14">
        <v>0</v>
      </c>
      <c r="FP43" s="14" t="s">
        <v>56</v>
      </c>
      <c r="FQ43" s="14">
        <v>0</v>
      </c>
      <c r="FR43" s="14">
        <v>0</v>
      </c>
      <c r="FS43" s="14" t="s">
        <v>56</v>
      </c>
      <c r="FT43" s="14">
        <v>0</v>
      </c>
      <c r="FU43" s="14">
        <v>0</v>
      </c>
      <c r="FV43" s="14" t="s">
        <v>56</v>
      </c>
      <c r="FW43" s="14">
        <v>0</v>
      </c>
      <c r="FX43" s="14">
        <v>0</v>
      </c>
      <c r="FY43" s="14" t="s">
        <v>56</v>
      </c>
      <c r="FZ43" s="14">
        <v>0</v>
      </c>
      <c r="GA43" s="14">
        <v>0</v>
      </c>
      <c r="GB43" s="14" t="s">
        <v>56</v>
      </c>
      <c r="GC43" s="14">
        <v>0</v>
      </c>
      <c r="GD43" s="14">
        <v>0</v>
      </c>
      <c r="GE43" s="14" t="s">
        <v>56</v>
      </c>
      <c r="GF43" s="14">
        <v>0</v>
      </c>
      <c r="GG43" s="14">
        <v>0</v>
      </c>
      <c r="GH43" s="14" t="s">
        <v>56</v>
      </c>
      <c r="GI43" s="14">
        <v>0</v>
      </c>
      <c r="GJ43" s="14">
        <v>0</v>
      </c>
      <c r="GK43" s="14" t="s">
        <v>56</v>
      </c>
      <c r="GL43" s="14">
        <v>0</v>
      </c>
      <c r="GM43" s="14">
        <v>0</v>
      </c>
      <c r="GN43" s="14" t="s">
        <v>56</v>
      </c>
      <c r="GO43" s="14">
        <v>0</v>
      </c>
      <c r="GP43" s="14">
        <v>0</v>
      </c>
      <c r="GQ43" s="14" t="s">
        <v>56</v>
      </c>
      <c r="GR43" s="14">
        <v>0</v>
      </c>
      <c r="GS43" s="14">
        <v>0</v>
      </c>
      <c r="GT43" s="14" t="s">
        <v>56</v>
      </c>
      <c r="GU43" s="14">
        <v>0</v>
      </c>
      <c r="GV43" s="14">
        <v>0</v>
      </c>
      <c r="GW43" s="14" t="s">
        <v>56</v>
      </c>
      <c r="GX43" s="14">
        <v>0</v>
      </c>
      <c r="GY43" s="14">
        <v>0</v>
      </c>
      <c r="GZ43" s="14" t="s">
        <v>56</v>
      </c>
      <c r="HA43" s="14">
        <v>0</v>
      </c>
      <c r="HB43" s="14">
        <v>0</v>
      </c>
      <c r="HC43" s="14" t="s">
        <v>56</v>
      </c>
      <c r="HD43" s="14">
        <v>0</v>
      </c>
      <c r="HE43" s="14">
        <v>0</v>
      </c>
      <c r="HF43" s="14" t="s">
        <v>56</v>
      </c>
      <c r="HG43" s="14">
        <v>0</v>
      </c>
      <c r="HH43" s="14">
        <v>0</v>
      </c>
      <c r="HI43" s="14" t="s">
        <v>56</v>
      </c>
      <c r="HJ43" s="17">
        <f t="shared" si="28"/>
        <v>18511.02277</v>
      </c>
      <c r="HK43" s="17">
        <v>0</v>
      </c>
      <c r="HL43" s="16">
        <f t="shared" si="30"/>
        <v>0</v>
      </c>
      <c r="HM43" s="16">
        <v>0</v>
      </c>
      <c r="HN43" s="16">
        <v>0</v>
      </c>
      <c r="HO43" s="16" t="s">
        <v>56</v>
      </c>
      <c r="HP43" s="16">
        <v>0</v>
      </c>
      <c r="HQ43" s="16">
        <v>0</v>
      </c>
      <c r="HR43" s="16" t="s">
        <v>56</v>
      </c>
      <c r="HS43" s="16">
        <v>0</v>
      </c>
      <c r="HT43" s="16">
        <v>0</v>
      </c>
      <c r="HU43" s="16" t="s">
        <v>56</v>
      </c>
      <c r="HV43" s="16">
        <v>0</v>
      </c>
      <c r="HW43" s="16">
        <v>0</v>
      </c>
      <c r="HX43" s="16" t="s">
        <v>56</v>
      </c>
      <c r="HY43" s="16">
        <v>255</v>
      </c>
      <c r="HZ43" s="16">
        <v>0</v>
      </c>
      <c r="IA43" s="16" t="s">
        <v>56</v>
      </c>
      <c r="IB43" s="16">
        <v>0</v>
      </c>
      <c r="IC43" s="16">
        <v>0</v>
      </c>
      <c r="ID43" s="16" t="s">
        <v>56</v>
      </c>
      <c r="IE43" s="16">
        <v>0</v>
      </c>
      <c r="IF43" s="16">
        <v>0</v>
      </c>
      <c r="IG43" s="16" t="s">
        <v>56</v>
      </c>
      <c r="IH43" s="14">
        <v>6288.3227699999998</v>
      </c>
      <c r="II43" s="14">
        <v>0</v>
      </c>
      <c r="IJ43" s="14">
        <f t="shared" si="32"/>
        <v>0</v>
      </c>
      <c r="IK43" s="16">
        <v>0</v>
      </c>
      <c r="IL43" s="16">
        <v>0</v>
      </c>
      <c r="IM43" s="16" t="s">
        <v>56</v>
      </c>
      <c r="IN43" s="16">
        <v>0</v>
      </c>
      <c r="IO43" s="16">
        <v>0</v>
      </c>
      <c r="IP43" s="16" t="s">
        <v>56</v>
      </c>
      <c r="IQ43" s="16">
        <v>0</v>
      </c>
      <c r="IR43" s="16">
        <v>0</v>
      </c>
      <c r="IS43" s="16" t="s">
        <v>56</v>
      </c>
      <c r="IT43" s="16">
        <v>0</v>
      </c>
      <c r="IU43" s="16">
        <v>0</v>
      </c>
      <c r="IV43" s="16" t="s">
        <v>56</v>
      </c>
      <c r="IW43" s="16">
        <v>0</v>
      </c>
      <c r="IX43" s="16">
        <v>0</v>
      </c>
      <c r="IY43" s="16" t="s">
        <v>56</v>
      </c>
      <c r="IZ43" s="16">
        <v>0</v>
      </c>
      <c r="JA43" s="16">
        <v>0</v>
      </c>
      <c r="JB43" s="16" t="s">
        <v>56</v>
      </c>
      <c r="JC43" s="16">
        <v>0</v>
      </c>
      <c r="JD43" s="16">
        <v>0</v>
      </c>
      <c r="JE43" s="16" t="s">
        <v>56</v>
      </c>
      <c r="JF43" s="16">
        <v>0</v>
      </c>
      <c r="JG43" s="16">
        <v>0</v>
      </c>
      <c r="JH43" s="16" t="s">
        <v>56</v>
      </c>
      <c r="JI43" s="16">
        <v>0</v>
      </c>
      <c r="JJ43" s="16">
        <v>0</v>
      </c>
      <c r="JK43" s="16" t="s">
        <v>56</v>
      </c>
      <c r="JL43" s="16">
        <v>0</v>
      </c>
      <c r="JM43" s="16">
        <v>0</v>
      </c>
      <c r="JN43" s="16" t="s">
        <v>56</v>
      </c>
      <c r="JO43" s="16">
        <v>0</v>
      </c>
      <c r="JP43" s="16">
        <v>0</v>
      </c>
      <c r="JQ43" s="16" t="s">
        <v>56</v>
      </c>
      <c r="JR43" s="16">
        <v>0</v>
      </c>
      <c r="JS43" s="16">
        <v>0</v>
      </c>
      <c r="JT43" s="16" t="s">
        <v>56</v>
      </c>
      <c r="JU43" s="16">
        <v>0</v>
      </c>
      <c r="JV43" s="16">
        <v>0</v>
      </c>
      <c r="JW43" s="16" t="s">
        <v>56</v>
      </c>
      <c r="JX43" s="13">
        <v>11967.7</v>
      </c>
      <c r="JY43" s="13">
        <v>0</v>
      </c>
      <c r="JZ43" s="13" t="s">
        <v>56</v>
      </c>
      <c r="KA43" s="13">
        <v>0</v>
      </c>
      <c r="KB43" s="13">
        <v>0</v>
      </c>
      <c r="KC43" s="13" t="s">
        <v>56</v>
      </c>
      <c r="KD43" s="14">
        <f t="shared" si="80"/>
        <v>132789.42277</v>
      </c>
      <c r="KE43" s="14">
        <f t="shared" si="81"/>
        <v>0</v>
      </c>
      <c r="KF43" s="14" t="s">
        <v>56</v>
      </c>
      <c r="KH43" s="9"/>
    </row>
    <row r="44" spans="1:296" s="3" customFormat="1" ht="13.5" customHeight="1" x14ac:dyDescent="0.2">
      <c r="A44" s="29" t="s">
        <v>52</v>
      </c>
      <c r="B44" s="40">
        <f>B38+B6+B43</f>
        <v>4672434.8</v>
      </c>
      <c r="C44" s="40">
        <f>C6+C38</f>
        <v>3888029.2999999993</v>
      </c>
      <c r="D44" s="14">
        <f>C44/B44*100</f>
        <v>83.212061086438254</v>
      </c>
      <c r="E44" s="14">
        <f>E38+E6</f>
        <v>4490537.0999999996</v>
      </c>
      <c r="F44" s="14">
        <f>F38+F6</f>
        <v>3838469.5999999992</v>
      </c>
      <c r="G44" s="14">
        <f t="shared" si="59"/>
        <v>85.479075543101501</v>
      </c>
      <c r="H44" s="14">
        <f>H43+H38+H6</f>
        <v>151156.70000000001</v>
      </c>
      <c r="I44" s="14">
        <f>I38+I6</f>
        <v>26504.7</v>
      </c>
      <c r="J44" s="14">
        <f>(I44/H44)*100</f>
        <v>17.534584970431347</v>
      </c>
      <c r="K44" s="14">
        <f>K38+K6</f>
        <v>30741</v>
      </c>
      <c r="L44" s="14">
        <f>L38+L6</f>
        <v>23055</v>
      </c>
      <c r="M44" s="14">
        <f>L44/K44%</f>
        <v>74.997560261539959</v>
      </c>
      <c r="N44" s="56">
        <f>N6+N38+N43</f>
        <v>6029399.99596</v>
      </c>
      <c r="O44" s="56">
        <f>O6+O38+O43</f>
        <v>2354686.16</v>
      </c>
      <c r="P44" s="41">
        <f t="shared" si="21"/>
        <v>39.053407662085085</v>
      </c>
      <c r="Q44" s="14">
        <f>Q38+Q6</f>
        <v>606953.1</v>
      </c>
      <c r="R44" s="14">
        <f>R38+R6</f>
        <v>45071.199999999997</v>
      </c>
      <c r="S44" s="14">
        <f>R44/Q44%</f>
        <v>7.4258126369236761</v>
      </c>
      <c r="T44" s="14">
        <f>T38+T6</f>
        <v>3266</v>
      </c>
      <c r="U44" s="14">
        <f>U38+U6</f>
        <v>1500</v>
      </c>
      <c r="V44" s="14">
        <f>U44/T44%</f>
        <v>45.927740355174528</v>
      </c>
      <c r="W44" s="14">
        <f>W38+W6</f>
        <v>143911</v>
      </c>
      <c r="X44" s="14">
        <f>X38+X6</f>
        <v>132054.50000000003</v>
      </c>
      <c r="Y44" s="14">
        <f>X44/W44%</f>
        <v>91.761227425283707</v>
      </c>
      <c r="Z44" s="14">
        <f>Z38+Z6</f>
        <v>7141.5</v>
      </c>
      <c r="AA44" s="14">
        <f>AA38+AA6</f>
        <v>5218.1000000000004</v>
      </c>
      <c r="AB44" s="14">
        <f>AA44/Z44%</f>
        <v>73.067282783728913</v>
      </c>
      <c r="AC44" s="14">
        <f>AC38+AC6</f>
        <v>76077.600000000006</v>
      </c>
      <c r="AD44" s="14">
        <f>AD38+AD6</f>
        <v>76077.600000000006</v>
      </c>
      <c r="AE44" s="14">
        <f>AD44/AC44%</f>
        <v>100</v>
      </c>
      <c r="AF44" s="14">
        <f>AF38+AF6</f>
        <v>28596.1</v>
      </c>
      <c r="AG44" s="14">
        <f>AG38+AG6</f>
        <v>28596.1</v>
      </c>
      <c r="AH44" s="14">
        <f>AG44/AF44%</f>
        <v>99.999999999999986</v>
      </c>
      <c r="AI44" s="14">
        <f>AI38+AI6+AI43</f>
        <v>8914.1</v>
      </c>
      <c r="AJ44" s="14">
        <f>AJ38+AJ6</f>
        <v>0</v>
      </c>
      <c r="AK44" s="14">
        <v>0</v>
      </c>
      <c r="AL44" s="14">
        <f>AL38+AL6+AL43</f>
        <v>185057.00000000003</v>
      </c>
      <c r="AM44" s="14">
        <f>AM38+AM6</f>
        <v>66984.3</v>
      </c>
      <c r="AN44" s="14">
        <f>AM44/AL44%</f>
        <v>36.196577270786833</v>
      </c>
      <c r="AO44" s="14">
        <f>AO38+AO6+AO43</f>
        <v>133034.79999999999</v>
      </c>
      <c r="AP44" s="14">
        <f>AP38+AP6</f>
        <v>92239.2</v>
      </c>
      <c r="AQ44" s="14">
        <f>AP44/AO44%</f>
        <v>69.334640259541118</v>
      </c>
      <c r="AR44" s="14">
        <f>AR38+AR6</f>
        <v>374.24</v>
      </c>
      <c r="AS44" s="14">
        <f>AS38+AS6</f>
        <v>370.5</v>
      </c>
      <c r="AT44" s="14">
        <f>AS44/AR44%</f>
        <v>99.000641299700732</v>
      </c>
      <c r="AU44" s="14">
        <f>AU38+AU6+AU43</f>
        <v>31581.600000000002</v>
      </c>
      <c r="AV44" s="14">
        <f>AV38+AV6</f>
        <v>29728.400000000001</v>
      </c>
      <c r="AW44" s="14">
        <f>AV44/AU44%</f>
        <v>94.132026243128905</v>
      </c>
      <c r="AX44" s="14">
        <f>AX38+AX6</f>
        <v>360367.39999999997</v>
      </c>
      <c r="AY44" s="14">
        <f>AY38+AY6</f>
        <v>77280.600000000006</v>
      </c>
      <c r="AZ44" s="14">
        <f>(AY44/AX44)*100</f>
        <v>21.444947572949165</v>
      </c>
      <c r="BA44" s="14">
        <f>BA38+BA6</f>
        <v>80000</v>
      </c>
      <c r="BB44" s="14">
        <f>BB38+BB6</f>
        <v>53334.7</v>
      </c>
      <c r="BC44" s="14">
        <f>BB44/BA44%</f>
        <v>66.668374999999997</v>
      </c>
      <c r="BD44" s="14">
        <f>BD38+BD6</f>
        <v>11000</v>
      </c>
      <c r="BE44" s="14">
        <f>BE38+BE6</f>
        <v>2397.4</v>
      </c>
      <c r="BF44" s="14">
        <f>BE44/BD44%</f>
        <v>21.794545454545457</v>
      </c>
      <c r="BG44" s="14">
        <f>BG38+BG6</f>
        <v>2158.4739500000005</v>
      </c>
      <c r="BH44" s="14">
        <f>BH38+BH6</f>
        <v>2158.5</v>
      </c>
      <c r="BI44" s="14">
        <f t="shared" si="3"/>
        <v>100.00120687117857</v>
      </c>
      <c r="BJ44" s="14">
        <f>BJ38+BJ6</f>
        <v>2050</v>
      </c>
      <c r="BK44" s="14">
        <f>BK38+BK6</f>
        <v>2050</v>
      </c>
      <c r="BL44" s="14">
        <f>(BK44/BJ44)*100</f>
        <v>100</v>
      </c>
      <c r="BM44" s="14">
        <f>BM38+BM6</f>
        <v>2835</v>
      </c>
      <c r="BN44" s="14">
        <f>BN38+BN6</f>
        <v>2835</v>
      </c>
      <c r="BO44" s="14">
        <f t="shared" si="60"/>
        <v>100</v>
      </c>
      <c r="BP44" s="14">
        <f>BP38+BP6</f>
        <v>1476.7021300000001</v>
      </c>
      <c r="BQ44" s="14">
        <f>BQ38+BQ6</f>
        <v>0</v>
      </c>
      <c r="BR44" s="14">
        <f>BQ44/BP44%</f>
        <v>0</v>
      </c>
      <c r="BS44" s="14">
        <f>BS38+BS6</f>
        <v>91344.4</v>
      </c>
      <c r="BT44" s="14">
        <v>18244</v>
      </c>
      <c r="BU44" s="14">
        <f>BT44/BS44%</f>
        <v>19.972762424406969</v>
      </c>
      <c r="BV44" s="14">
        <f>BV38+BV6+BV43</f>
        <v>268272.84999999998</v>
      </c>
      <c r="BW44" s="14">
        <f>BW38+BW6</f>
        <v>122939.3</v>
      </c>
      <c r="BX44" s="14">
        <f>BW44/BV44%</f>
        <v>45.826217598985515</v>
      </c>
      <c r="BY44" s="14">
        <f>BY38+BY6+BY43</f>
        <v>41508.299999999996</v>
      </c>
      <c r="BZ44" s="14">
        <f>BZ38+BZ6</f>
        <v>27463.899999999998</v>
      </c>
      <c r="CA44" s="14">
        <f>BZ44/BY44%</f>
        <v>66.164839321292362</v>
      </c>
      <c r="CB44" s="14">
        <f>CB38+CB6+CB43</f>
        <v>17529.5</v>
      </c>
      <c r="CC44" s="14">
        <f>CC38+CC6</f>
        <v>17529.5</v>
      </c>
      <c r="CD44" s="14">
        <f>CC44/CB44*100</f>
        <v>100</v>
      </c>
      <c r="CE44" s="14">
        <f>CE43+CE38+CE6</f>
        <v>42384.7</v>
      </c>
      <c r="CF44" s="14">
        <f>CF38+CF6</f>
        <v>34102.099999999991</v>
      </c>
      <c r="CG44" s="16">
        <f t="shared" si="22"/>
        <v>80.458514511132535</v>
      </c>
      <c r="CH44" s="14">
        <f>CH38+CH6</f>
        <v>54058.54</v>
      </c>
      <c r="CI44" s="14">
        <f>CI38+CI6</f>
        <v>1868.3</v>
      </c>
      <c r="CJ44" s="14">
        <f>CI44/CH44%</f>
        <v>3.4560681809016667</v>
      </c>
      <c r="CK44" s="14">
        <f>CK38+CK6+CK43</f>
        <v>124851.9</v>
      </c>
      <c r="CL44" s="14">
        <f>CL38+CL6</f>
        <v>0</v>
      </c>
      <c r="CM44" s="16">
        <f>CL44/CK44%</f>
        <v>0</v>
      </c>
      <c r="CN44" s="14">
        <f>CN38+CN6</f>
        <v>220033.60000000003</v>
      </c>
      <c r="CO44" s="14">
        <f>CO38+CO6</f>
        <v>218595.30000000005</v>
      </c>
      <c r="CP44" s="16">
        <f t="shared" si="4"/>
        <v>99.346327106405582</v>
      </c>
      <c r="CQ44" s="14">
        <f>CQ38+CQ6</f>
        <v>3266.6898800000004</v>
      </c>
      <c r="CR44" s="14">
        <f>CR38+CR6</f>
        <v>0</v>
      </c>
      <c r="CS44" s="14">
        <f>CR44/CQ44%</f>
        <v>0</v>
      </c>
      <c r="CT44" s="14">
        <f>CT38+CT6</f>
        <v>1732.3000000000002</v>
      </c>
      <c r="CU44" s="14">
        <f>CU38+CU6</f>
        <v>1212.3000000000002</v>
      </c>
      <c r="CV44" s="14">
        <f>CU44/CT44%</f>
        <v>69.98210471627317</v>
      </c>
      <c r="CW44" s="14">
        <f>CW38+CW6</f>
        <v>340230.79999999993</v>
      </c>
      <c r="CX44" s="14">
        <f>CX38+CX6</f>
        <v>147458.4</v>
      </c>
      <c r="CY44" s="14">
        <f>CX44/CW44%</f>
        <v>43.340696962179798</v>
      </c>
      <c r="CZ44" s="14">
        <f>CZ38+CZ6</f>
        <v>42750.200000000012</v>
      </c>
      <c r="DA44" s="14">
        <f>DA38+DA6</f>
        <v>16071.000000000002</v>
      </c>
      <c r="DB44" s="14">
        <f>DA44/CZ44%</f>
        <v>37.592806583361003</v>
      </c>
      <c r="DC44" s="14">
        <f>DC38+DC6</f>
        <v>355642.9</v>
      </c>
      <c r="DD44" s="14">
        <f>DD38+DD6</f>
        <v>40938.5</v>
      </c>
      <c r="DE44" s="33">
        <f>(DD44/DC44)*100</f>
        <v>11.511125345114438</v>
      </c>
      <c r="DF44" s="14">
        <f>DF38+DF6</f>
        <v>635513</v>
      </c>
      <c r="DG44" s="14">
        <f>DG38+DG6</f>
        <v>157598.1</v>
      </c>
      <c r="DH44" s="16">
        <f>DG44/DF44%</f>
        <v>24.79856430946338</v>
      </c>
      <c r="DI44" s="14">
        <f>DI38+DI6</f>
        <v>13264.9</v>
      </c>
      <c r="DJ44" s="14">
        <f>DJ38+DJ6</f>
        <v>12855.5</v>
      </c>
      <c r="DK44" s="14">
        <f>DJ44/DI44%</f>
        <v>96.913659356647997</v>
      </c>
      <c r="DL44" s="14">
        <f>DL38+DL6</f>
        <v>1447541.2999999998</v>
      </c>
      <c r="DM44" s="14">
        <f>DM38+DM6</f>
        <v>775024.65999999992</v>
      </c>
      <c r="DN44" s="16">
        <f t="shared" si="24"/>
        <v>53.540763223819589</v>
      </c>
      <c r="DO44" s="14">
        <f>DO38+DO6</f>
        <v>4100</v>
      </c>
      <c r="DP44" s="14">
        <f>DP38+DP6</f>
        <v>2751.6</v>
      </c>
      <c r="DQ44" s="14">
        <f>DP44/DO44%</f>
        <v>67.112195121951217</v>
      </c>
      <c r="DR44" s="14">
        <f>DR38+DR6</f>
        <v>57000</v>
      </c>
      <c r="DS44" s="14">
        <f>DS38+DS6</f>
        <v>0</v>
      </c>
      <c r="DT44" s="14">
        <f>DS44/DR44%</f>
        <v>0</v>
      </c>
      <c r="DU44" s="14">
        <f>DU38+DU6</f>
        <v>63477</v>
      </c>
      <c r="DV44" s="14">
        <f>DV38+DV6</f>
        <v>28430.1</v>
      </c>
      <c r="DW44" s="14">
        <f>DV44/DU44%</f>
        <v>44.788033460938607</v>
      </c>
      <c r="DX44" s="14">
        <f>DX38+DX6</f>
        <v>10550.1</v>
      </c>
      <c r="DY44" s="14">
        <f>DY38+DY6</f>
        <v>5192.5</v>
      </c>
      <c r="DZ44" s="14">
        <f>DY44/DX44%</f>
        <v>49.217542961678085</v>
      </c>
      <c r="EA44" s="14">
        <f>EA38+EA6</f>
        <v>486599.4</v>
      </c>
      <c r="EB44" s="14">
        <f>EB38+EB6</f>
        <v>92397.5</v>
      </c>
      <c r="EC44" s="14">
        <f>EB44/EA44%</f>
        <v>18.98841223396494</v>
      </c>
      <c r="ED44" s="14">
        <f>ED38+ED6</f>
        <v>22953</v>
      </c>
      <c r="EE44" s="14">
        <f>EE38+EE6</f>
        <v>16117.5</v>
      </c>
      <c r="EF44" s="14">
        <f>EE44/ED44%</f>
        <v>70.219579139981704</v>
      </c>
      <c r="EG44" s="56">
        <f>EG6+EG38+EG43</f>
        <v>13587194.892000001</v>
      </c>
      <c r="EH44" s="56">
        <f>EH6+EH38+EH43</f>
        <v>9906459.0999999996</v>
      </c>
      <c r="EI44" s="41">
        <f t="shared" si="61"/>
        <v>72.910259834668452</v>
      </c>
      <c r="EJ44" s="14">
        <f>EJ38+EJ6</f>
        <v>106391.40000000002</v>
      </c>
      <c r="EK44" s="14">
        <f>EK38+EK6</f>
        <v>71166</v>
      </c>
      <c r="EL44" s="14">
        <f>EK44/EJ44%</f>
        <v>66.890744928631435</v>
      </c>
      <c r="EM44" s="14">
        <f>EM38+EM6</f>
        <v>1255.9000000000001</v>
      </c>
      <c r="EN44" s="14">
        <f>EN38+EN6</f>
        <v>345.7</v>
      </c>
      <c r="EO44" s="14">
        <f>EN44/EM44%</f>
        <v>27.526076916951983</v>
      </c>
      <c r="EP44" s="14">
        <f>EP38+EP6</f>
        <v>61.192</v>
      </c>
      <c r="EQ44" s="14">
        <f t="shared" ref="EQ44:HB44" si="89">EQ38+EQ6</f>
        <v>0</v>
      </c>
      <c r="ER44" s="14">
        <f t="shared" si="63"/>
        <v>0</v>
      </c>
      <c r="ES44" s="41">
        <f>ES43+ES38+ES6</f>
        <v>4276826.6000000006</v>
      </c>
      <c r="ET44" s="41">
        <f>ET38+ET6</f>
        <v>2757141.5</v>
      </c>
      <c r="EU44" s="41">
        <f>ET44/ES44%</f>
        <v>64.466992886735227</v>
      </c>
      <c r="EV44" s="42">
        <f>EV43+EV38+EV6</f>
        <v>7873249.0000000019</v>
      </c>
      <c r="EW44" s="42">
        <f>EW43+EW38+EW6</f>
        <v>6265722.4999999991</v>
      </c>
      <c r="EX44" s="43">
        <f t="shared" si="65"/>
        <v>79.582425247823323</v>
      </c>
      <c r="EY44" s="14">
        <f t="shared" si="89"/>
        <v>283391.8</v>
      </c>
      <c r="EZ44" s="16">
        <f t="shared" si="89"/>
        <v>147177.79999999999</v>
      </c>
      <c r="FA44" s="16">
        <f>EZ44/EY44%</f>
        <v>51.934389068420472</v>
      </c>
      <c r="FB44" s="14">
        <f t="shared" si="89"/>
        <v>71737.400000000009</v>
      </c>
      <c r="FC44" s="14">
        <f t="shared" si="89"/>
        <v>34666</v>
      </c>
      <c r="FD44" s="14">
        <f>FC44/FB44%</f>
        <v>48.323468650940782</v>
      </c>
      <c r="FE44" s="14">
        <f t="shared" si="89"/>
        <v>13000</v>
      </c>
      <c r="FF44" s="14">
        <f t="shared" si="89"/>
        <v>4875.7999999999993</v>
      </c>
      <c r="FG44" s="14">
        <f>FF44/FE44%</f>
        <v>37.506153846153843</v>
      </c>
      <c r="FH44" s="14">
        <f t="shared" si="89"/>
        <v>485.7</v>
      </c>
      <c r="FI44" s="14">
        <f t="shared" si="89"/>
        <v>156.29999999999998</v>
      </c>
      <c r="FJ44" s="14">
        <f>FI44/FH44%</f>
        <v>32.180358245830753</v>
      </c>
      <c r="FK44" s="14">
        <f t="shared" si="89"/>
        <v>126208.9</v>
      </c>
      <c r="FL44" s="14">
        <f t="shared" si="89"/>
        <v>61002.5</v>
      </c>
      <c r="FM44" s="14">
        <f t="shared" si="66"/>
        <v>48.334546929733165</v>
      </c>
      <c r="FN44" s="14">
        <f>FN38+FN6</f>
        <v>6562.5</v>
      </c>
      <c r="FO44" s="14">
        <f>FO38+FO6</f>
        <v>4978.6000000000004</v>
      </c>
      <c r="FP44" s="14">
        <f>FO44/FN44%</f>
        <v>75.864380952380955</v>
      </c>
      <c r="FQ44" s="14">
        <f t="shared" si="89"/>
        <v>444.7</v>
      </c>
      <c r="FR44" s="14">
        <f t="shared" si="89"/>
        <v>211.29999999999995</v>
      </c>
      <c r="FS44" s="14">
        <f t="shared" si="67"/>
        <v>47.515178772205971</v>
      </c>
      <c r="FT44" s="14">
        <f t="shared" si="89"/>
        <v>3405.1</v>
      </c>
      <c r="FU44" s="14">
        <f t="shared" si="89"/>
        <v>1851.9000000000005</v>
      </c>
      <c r="FV44" s="14">
        <f t="shared" si="68"/>
        <v>54.386067956888212</v>
      </c>
      <c r="FW44" s="14">
        <f>FW38+FW6</f>
        <v>36</v>
      </c>
      <c r="FX44" s="14">
        <f>FX38+FX6</f>
        <v>13</v>
      </c>
      <c r="FY44" s="14">
        <f>FX44/FW44%</f>
        <v>36.111111111111114</v>
      </c>
      <c r="FZ44" s="14">
        <f t="shared" si="89"/>
        <v>24184.899999999994</v>
      </c>
      <c r="GA44" s="14">
        <f t="shared" si="89"/>
        <v>16680.5</v>
      </c>
      <c r="GB44" s="14">
        <f t="shared" si="69"/>
        <v>68.97072140054334</v>
      </c>
      <c r="GC44" s="14">
        <f t="shared" si="89"/>
        <v>12084.8</v>
      </c>
      <c r="GD44" s="14">
        <f t="shared" si="89"/>
        <v>9380.7000000000007</v>
      </c>
      <c r="GE44" s="14">
        <f t="shared" si="70"/>
        <v>77.623957367933272</v>
      </c>
      <c r="GF44" s="14">
        <f t="shared" si="89"/>
        <v>1049.9000000000001</v>
      </c>
      <c r="GG44" s="14">
        <f t="shared" si="89"/>
        <v>787.3</v>
      </c>
      <c r="GH44" s="14">
        <f>GG44/GF44%</f>
        <v>74.988094104200385</v>
      </c>
      <c r="GI44" s="14">
        <f t="shared" si="89"/>
        <v>18.5</v>
      </c>
      <c r="GJ44" s="14">
        <f t="shared" si="89"/>
        <v>0</v>
      </c>
      <c r="GK44" s="14">
        <f>GJ44/GI44%</f>
        <v>0</v>
      </c>
      <c r="GL44" s="14">
        <f>GL38+GL6</f>
        <v>58639.400000000009</v>
      </c>
      <c r="GM44" s="14">
        <f>GM38+GM6</f>
        <v>39787.300000000003</v>
      </c>
      <c r="GN44" s="14">
        <f>GM44/GL44%</f>
        <v>67.850796563402753</v>
      </c>
      <c r="GO44" s="14">
        <f>GO38+GO6</f>
        <v>476.2</v>
      </c>
      <c r="GP44" s="14">
        <f>GP38+GP6</f>
        <v>0</v>
      </c>
      <c r="GQ44" s="14">
        <f>GP44/GO44%</f>
        <v>0</v>
      </c>
      <c r="GR44" s="14">
        <f t="shared" si="89"/>
        <v>7164.2999999999993</v>
      </c>
      <c r="GS44" s="14">
        <f t="shared" si="89"/>
        <v>5333.4999999999982</v>
      </c>
      <c r="GT44" s="14">
        <f>GS44/GR44%</f>
        <v>74.445514565275033</v>
      </c>
      <c r="GU44" s="14">
        <f t="shared" si="89"/>
        <v>49446.799999999988</v>
      </c>
      <c r="GV44" s="14">
        <f t="shared" si="89"/>
        <v>13432.000000000004</v>
      </c>
      <c r="GW44" s="14">
        <f>GV44/GU44%</f>
        <v>27.16454856532679</v>
      </c>
      <c r="GX44" s="14">
        <f t="shared" si="89"/>
        <v>40645.300000000003</v>
      </c>
      <c r="GY44" s="14">
        <f t="shared" si="89"/>
        <v>23177.699999999997</v>
      </c>
      <c r="GZ44" s="14">
        <f t="shared" si="71"/>
        <v>57.024305393243488</v>
      </c>
      <c r="HA44" s="14">
        <f t="shared" si="89"/>
        <v>15656.300000000003</v>
      </c>
      <c r="HB44" s="14">
        <f t="shared" si="89"/>
        <v>0</v>
      </c>
      <c r="HC44" s="14">
        <f>HB44/HA44%</f>
        <v>0</v>
      </c>
      <c r="HD44" s="14">
        <f>HD6+HD38</f>
        <v>515453.30000000005</v>
      </c>
      <c r="HE44" s="14">
        <f>HE6+HE38</f>
        <v>374826.30000000005</v>
      </c>
      <c r="HF44" s="32">
        <f t="shared" si="26"/>
        <v>72.717800041245255</v>
      </c>
      <c r="HG44" s="14">
        <f>HG38+HG6</f>
        <v>99319</v>
      </c>
      <c r="HH44" s="14">
        <f>HH38+HH6</f>
        <v>73744.89999999998</v>
      </c>
      <c r="HI44" s="14">
        <f>HH44/HG44%</f>
        <v>74.250546219756515</v>
      </c>
      <c r="HJ44" s="44">
        <f>HJ6+HJ38+HJ43</f>
        <v>3012876.2227700003</v>
      </c>
      <c r="HK44" s="44">
        <f>HK6+HK38+HK43</f>
        <v>1170551.118</v>
      </c>
      <c r="HL44" s="42">
        <f t="shared" si="30"/>
        <v>38.851616576661421</v>
      </c>
      <c r="HM44" s="16">
        <f>HM38+HM6</f>
        <v>314955.00000000006</v>
      </c>
      <c r="HN44" s="16">
        <f>HN38+HN6</f>
        <v>57127.799999999996</v>
      </c>
      <c r="HO44" s="16">
        <f>(HN44/HM44)*100</f>
        <v>18.138400723912934</v>
      </c>
      <c r="HP44" s="16">
        <f>HP38+HP6</f>
        <v>19995.599999999999</v>
      </c>
      <c r="HQ44" s="16">
        <f>HQ38+HQ6</f>
        <v>0</v>
      </c>
      <c r="HR44" s="16">
        <f>(HQ44/HP44)*100</f>
        <v>0</v>
      </c>
      <c r="HS44" s="16">
        <f>HS38+HS6</f>
        <v>400819.1</v>
      </c>
      <c r="HT44" s="16">
        <f>HT38+HT6</f>
        <v>68441.799999999988</v>
      </c>
      <c r="HU44" s="16">
        <f>(HT44/HS44)*100</f>
        <v>17.075483678297765</v>
      </c>
      <c r="HV44" s="16">
        <f>HV38+HV6</f>
        <v>297024.59999999998</v>
      </c>
      <c r="HW44" s="16">
        <f>HW38+HW6</f>
        <v>23275.999999999996</v>
      </c>
      <c r="HX44" s="16">
        <f>(HW44/HV44)*100</f>
        <v>7.8363879624785273</v>
      </c>
      <c r="HY44" s="16">
        <f>HY43+HY38+HY6</f>
        <v>255</v>
      </c>
      <c r="HZ44" s="16">
        <v>0</v>
      </c>
      <c r="IA44" s="16">
        <v>0</v>
      </c>
      <c r="IB44" s="16">
        <f>IB38+IB6</f>
        <v>5000</v>
      </c>
      <c r="IC44" s="16">
        <f>IC38+IC6</f>
        <v>5000</v>
      </c>
      <c r="ID44" s="33">
        <f t="shared" si="31"/>
        <v>100</v>
      </c>
      <c r="IE44" s="16">
        <f>IE38+IE43+IE6</f>
        <v>47263.1</v>
      </c>
      <c r="IF44" s="16">
        <f>IF38+IF43+IF6</f>
        <v>32205.1</v>
      </c>
      <c r="IG44" s="33">
        <f>(IF44/IE44)*100</f>
        <v>68.140050060194952</v>
      </c>
      <c r="IH44" s="14">
        <f>IH38+IH6+IH43</f>
        <v>365872.62276999996</v>
      </c>
      <c r="II44" s="14">
        <f>II38+II6</f>
        <v>181600.19999999998</v>
      </c>
      <c r="IJ44" s="14">
        <f t="shared" si="32"/>
        <v>49.634815150998627</v>
      </c>
      <c r="IK44" s="14">
        <f>IK38+IK6</f>
        <v>31348.6</v>
      </c>
      <c r="IL44" s="14">
        <f>IL38+IL6</f>
        <v>19635.900000000001</v>
      </c>
      <c r="IM44" s="14">
        <f>IL44/IK44%</f>
        <v>62.637246958396872</v>
      </c>
      <c r="IN44" s="14">
        <f>IN38+IN6</f>
        <v>43208.9</v>
      </c>
      <c r="IO44" s="14">
        <f>IO38+IO6</f>
        <v>12524</v>
      </c>
      <c r="IP44" s="14">
        <f>(IO44/IN44)*100</f>
        <v>28.984769341501405</v>
      </c>
      <c r="IQ44" s="14">
        <f>IQ43+IQ38+IQ6</f>
        <v>158745.5</v>
      </c>
      <c r="IR44" s="14">
        <f>IR43+IR38+IR6</f>
        <v>73037</v>
      </c>
      <c r="IS44" s="14">
        <v>0</v>
      </c>
      <c r="IT44" s="14">
        <f>IT6+IT38+IT43</f>
        <v>61227.4</v>
      </c>
      <c r="IU44" s="14">
        <f>IU6+IU38+IU43</f>
        <v>46411.399999999994</v>
      </c>
      <c r="IV44" s="13">
        <f>(IU44/IT44)*100</f>
        <v>75.801683559974776</v>
      </c>
      <c r="IW44" s="14">
        <f>IW38+IW6</f>
        <v>13000</v>
      </c>
      <c r="IX44" s="14">
        <f>IX38+IX6</f>
        <v>11498.1</v>
      </c>
      <c r="IY44" s="14">
        <f>(IX44/IW44)*100</f>
        <v>88.446923076923085</v>
      </c>
      <c r="IZ44" s="14">
        <f>IZ38+IZ6</f>
        <v>56248.4</v>
      </c>
      <c r="JA44" s="14">
        <f>JA38+JA6</f>
        <v>20933.5</v>
      </c>
      <c r="JB44" s="13">
        <f>(JA44/IZ44)*100</f>
        <v>37.2161697043827</v>
      </c>
      <c r="JC44" s="14">
        <f>JC38+JC6</f>
        <v>9325.7999999999993</v>
      </c>
      <c r="JD44" s="14">
        <f>JD38+JD6</f>
        <v>232.5</v>
      </c>
      <c r="JE44" s="14">
        <v>0</v>
      </c>
      <c r="JF44" s="14">
        <f>JF38+JF6</f>
        <v>576.49999999999989</v>
      </c>
      <c r="JG44" s="14">
        <f>JG38+JG6</f>
        <v>498.4</v>
      </c>
      <c r="JH44" s="15">
        <f>(JG44/JF44)*100</f>
        <v>86.452732003469222</v>
      </c>
      <c r="JI44" s="24">
        <f>JI38+JI6</f>
        <v>63.1</v>
      </c>
      <c r="JJ44" s="24">
        <f>JJ38+JJ6</f>
        <v>59.317999999999998</v>
      </c>
      <c r="JK44" s="15">
        <f>(JJ44/JI44)*100</f>
        <v>94.006339144215517</v>
      </c>
      <c r="JL44" s="14">
        <f>JL43+JL38+JL6</f>
        <v>22156.800000000003</v>
      </c>
      <c r="JM44" s="14">
        <f>JM43+JM38+JM6</f>
        <v>9170.7999999999993</v>
      </c>
      <c r="JN44" s="14">
        <f>(JM44/JL44)*100</f>
        <v>41.390453495089538</v>
      </c>
      <c r="JO44" s="14">
        <f>JO43+JO38+JO6</f>
        <v>2040.8</v>
      </c>
      <c r="JP44" s="14">
        <f>JP43+JP38+JP6</f>
        <v>2040.8</v>
      </c>
      <c r="JQ44" s="14">
        <v>100</v>
      </c>
      <c r="JR44" s="14">
        <f>JR38+JR6</f>
        <v>103600</v>
      </c>
      <c r="JS44" s="14">
        <f>JS38+JS6</f>
        <v>55332.4</v>
      </c>
      <c r="JT44" s="14">
        <f>(JS44/JR44)*100</f>
        <v>53.409652509652517</v>
      </c>
      <c r="JU44" s="14">
        <f>JU38+JU6</f>
        <v>1047755.1000000001</v>
      </c>
      <c r="JV44" s="14">
        <f>JV38+JV6</f>
        <v>551099.5</v>
      </c>
      <c r="JW44" s="13">
        <f>(JV44/JU44)*100</f>
        <v>52.598121450327461</v>
      </c>
      <c r="JX44" s="13">
        <f>JX43+JX38+JX6</f>
        <v>11967.7</v>
      </c>
      <c r="JY44" s="13">
        <f>JY43+JY38+JY6</f>
        <v>0</v>
      </c>
      <c r="JZ44" s="13">
        <f>(JY44/JX44)*100</f>
        <v>0</v>
      </c>
      <c r="KA44" s="13">
        <f>KA38+KA6</f>
        <v>426.6</v>
      </c>
      <c r="KB44" s="13">
        <f>KB38+KB6</f>
        <v>426.6</v>
      </c>
      <c r="KC44" s="13">
        <f t="shared" si="55"/>
        <v>100</v>
      </c>
      <c r="KD44" s="14">
        <f>KD38+KD6+KD43</f>
        <v>27301905.910729997</v>
      </c>
      <c r="KE44" s="14">
        <f>KE38+KE6</f>
        <v>17319725.677999996</v>
      </c>
      <c r="KF44" s="14">
        <f t="shared" si="72"/>
        <v>63.437789781529958</v>
      </c>
      <c r="KH44" s="9"/>
    </row>
    <row r="46" spans="1:296" x14ac:dyDescent="0.2">
      <c r="EH46" s="9"/>
    </row>
    <row r="1048576" spans="272:274" x14ac:dyDescent="0.2">
      <c r="JL1048576" s="9">
        <f>SUM(JL44:JL1048575)</f>
        <v>22156.800000000003</v>
      </c>
      <c r="JM1048576" s="9">
        <f>SUM(JM6:JM1048575)</f>
        <v>27512.400000000001</v>
      </c>
      <c r="JN1048576" s="9">
        <f>SUM(JN6:JN1048575)</f>
        <v>725.64666578403501</v>
      </c>
    </row>
  </sheetData>
  <mergeCells count="194">
    <mergeCell ref="HV3:HX3"/>
    <mergeCell ref="HV4:HX4"/>
    <mergeCell ref="GO4:GQ4"/>
    <mergeCell ref="GR3:GT3"/>
    <mergeCell ref="Q2:EF2"/>
    <mergeCell ref="ES3:EX3"/>
    <mergeCell ref="GI4:GK4"/>
    <mergeCell ref="GL3:GN3"/>
    <mergeCell ref="FZ4:GB4"/>
    <mergeCell ref="FZ3:GB3"/>
    <mergeCell ref="HD3:HF3"/>
    <mergeCell ref="HD4:HF4"/>
    <mergeCell ref="HM3:HO3"/>
    <mergeCell ref="HM4:HO4"/>
    <mergeCell ref="HS4:HU4"/>
    <mergeCell ref="HS3:HU3"/>
    <mergeCell ref="HJ2:HL4"/>
    <mergeCell ref="CE4:CG4"/>
    <mergeCell ref="HA4:HC4"/>
    <mergeCell ref="GU4:GW4"/>
    <mergeCell ref="HG3:HI3"/>
    <mergeCell ref="GO3:GQ3"/>
    <mergeCell ref="FT4:FV4"/>
    <mergeCell ref="FQ4:FS4"/>
    <mergeCell ref="Q3:S3"/>
    <mergeCell ref="E3:G3"/>
    <mergeCell ref="H3:J3"/>
    <mergeCell ref="EJ3:EL3"/>
    <mergeCell ref="T3:V3"/>
    <mergeCell ref="CQ3:CS3"/>
    <mergeCell ref="GC3:GE3"/>
    <mergeCell ref="FN3:FP3"/>
    <mergeCell ref="FQ3:FS3"/>
    <mergeCell ref="AU3:AW3"/>
    <mergeCell ref="AI3:AK3"/>
    <mergeCell ref="AR3:AT3"/>
    <mergeCell ref="AL3:AN3"/>
    <mergeCell ref="AX3:AZ3"/>
    <mergeCell ref="CB3:CD3"/>
    <mergeCell ref="CE3:CG3"/>
    <mergeCell ref="CW3:CY3"/>
    <mergeCell ref="GX3:GZ3"/>
    <mergeCell ref="GU3:GW3"/>
    <mergeCell ref="HA3:HC3"/>
    <mergeCell ref="GF3:GH3"/>
    <mergeCell ref="GI3:GK3"/>
    <mergeCell ref="FN4:FP4"/>
    <mergeCell ref="DF4:DH4"/>
    <mergeCell ref="DI4:DK4"/>
    <mergeCell ref="FH3:FJ3"/>
    <mergeCell ref="FE3:FG3"/>
    <mergeCell ref="FB3:FD3"/>
    <mergeCell ref="DO4:DQ4"/>
    <mergeCell ref="FK4:FM4"/>
    <mergeCell ref="EM3:EO3"/>
    <mergeCell ref="GL4:GN4"/>
    <mergeCell ref="EA3:EC3"/>
    <mergeCell ref="ED3:EF3"/>
    <mergeCell ref="DL4:DN4"/>
    <mergeCell ref="ED4:EF4"/>
    <mergeCell ref="EG2:EI4"/>
    <mergeCell ref="DL3:DN3"/>
    <mergeCell ref="EJ2:HI2"/>
    <mergeCell ref="A2:A5"/>
    <mergeCell ref="FW3:FY3"/>
    <mergeCell ref="FW4:FY4"/>
    <mergeCell ref="CZ3:DB3"/>
    <mergeCell ref="DF3:DH3"/>
    <mergeCell ref="DI3:DK3"/>
    <mergeCell ref="DR3:DT3"/>
    <mergeCell ref="DU3:DW3"/>
    <mergeCell ref="DX3:DZ3"/>
    <mergeCell ref="DR4:DT4"/>
    <mergeCell ref="FE4:FG4"/>
    <mergeCell ref="FH4:FJ4"/>
    <mergeCell ref="EP4:ER4"/>
    <mergeCell ref="FB4:FD4"/>
    <mergeCell ref="EY3:FA3"/>
    <mergeCell ref="DC3:DE3"/>
    <mergeCell ref="DC4:DE4"/>
    <mergeCell ref="EV4:EX4"/>
    <mergeCell ref="FK3:FM3"/>
    <mergeCell ref="FT3:FV3"/>
    <mergeCell ref="DO3:DQ3"/>
    <mergeCell ref="EP3:ER3"/>
    <mergeCell ref="N2:P4"/>
    <mergeCell ref="K3:M3"/>
    <mergeCell ref="BG3:BI3"/>
    <mergeCell ref="BA3:BC3"/>
    <mergeCell ref="BJ3:BL3"/>
    <mergeCell ref="CZ4:DB4"/>
    <mergeCell ref="BP3:BR3"/>
    <mergeCell ref="BD3:BF3"/>
    <mergeCell ref="CK4:CM4"/>
    <mergeCell ref="BY3:CA3"/>
    <mergeCell ref="CW4:CY4"/>
    <mergeCell ref="CT3:CV3"/>
    <mergeCell ref="CN3:CP3"/>
    <mergeCell ref="CH3:CJ3"/>
    <mergeCell ref="CK3:CM3"/>
    <mergeCell ref="BP4:BR4"/>
    <mergeCell ref="BS4:BU4"/>
    <mergeCell ref="BV4:BX4"/>
    <mergeCell ref="AR4:AT4"/>
    <mergeCell ref="BJ4:BL4"/>
    <mergeCell ref="AX4:AZ4"/>
    <mergeCell ref="BA4:BC4"/>
    <mergeCell ref="BD4:BF4"/>
    <mergeCell ref="CT4:CV4"/>
    <mergeCell ref="A1:IJ1"/>
    <mergeCell ref="Q4:S4"/>
    <mergeCell ref="E4:G4"/>
    <mergeCell ref="H4:J4"/>
    <mergeCell ref="EJ4:EL4"/>
    <mergeCell ref="T4:V4"/>
    <mergeCell ref="EM4:EO4"/>
    <mergeCell ref="B2:D4"/>
    <mergeCell ref="AO3:AQ3"/>
    <mergeCell ref="CQ4:CS4"/>
    <mergeCell ref="K4:M4"/>
    <mergeCell ref="GR4:GT4"/>
    <mergeCell ref="BY4:CA4"/>
    <mergeCell ref="CB4:CD4"/>
    <mergeCell ref="CH4:CJ4"/>
    <mergeCell ref="E2:M2"/>
    <mergeCell ref="BV3:BX3"/>
    <mergeCell ref="BS3:BU3"/>
    <mergeCell ref="CN4:CP4"/>
    <mergeCell ref="IB3:ID3"/>
    <mergeCell ref="AL4:AN4"/>
    <mergeCell ref="AO4:AQ4"/>
    <mergeCell ref="AU4:AW4"/>
    <mergeCell ref="BG4:BI4"/>
    <mergeCell ref="KD2:KF4"/>
    <mergeCell ref="DU4:DW4"/>
    <mergeCell ref="DX4:DZ4"/>
    <mergeCell ref="W4:Y4"/>
    <mergeCell ref="W3:Y3"/>
    <mergeCell ref="Z3:AB3"/>
    <mergeCell ref="Z4:AB4"/>
    <mergeCell ref="AC3:AE3"/>
    <mergeCell ref="AF3:AH3"/>
    <mergeCell ref="AC4:AE4"/>
    <mergeCell ref="AF4:AH4"/>
    <mergeCell ref="AI4:AK4"/>
    <mergeCell ref="GX4:GZ4"/>
    <mergeCell ref="HG4:HI4"/>
    <mergeCell ref="ES4:EU4"/>
    <mergeCell ref="EY4:FA4"/>
    <mergeCell ref="GC4:GE4"/>
    <mergeCell ref="GF4:GH4"/>
    <mergeCell ref="EA4:EC4"/>
    <mergeCell ref="IW3:IY3"/>
    <mergeCell ref="IT3:IV3"/>
    <mergeCell ref="IN3:IP3"/>
    <mergeCell ref="BM3:BO3"/>
    <mergeCell ref="BM4:BO4"/>
    <mergeCell ref="IQ3:IS3"/>
    <mergeCell ref="IQ4:IS4"/>
    <mergeCell ref="IT4:IV4"/>
    <mergeCell ref="IN4:IP4"/>
    <mergeCell ref="IK4:IM4"/>
    <mergeCell ref="IB4:ID4"/>
    <mergeCell ref="IE4:IG4"/>
    <mergeCell ref="KA3:KC3"/>
    <mergeCell ref="IZ3:JB3"/>
    <mergeCell ref="IZ4:JB4"/>
    <mergeCell ref="IH3:IJ3"/>
    <mergeCell ref="IH4:IJ4"/>
    <mergeCell ref="IK3:IM3"/>
    <mergeCell ref="HM2:KC2"/>
    <mergeCell ref="KA4:KC4"/>
    <mergeCell ref="JX4:JZ4"/>
    <mergeCell ref="JX3:JZ3"/>
    <mergeCell ref="HP3:HR3"/>
    <mergeCell ref="HP4:HR4"/>
    <mergeCell ref="IW4:IY4"/>
    <mergeCell ref="JL3:JN3"/>
    <mergeCell ref="JO3:JQ3"/>
    <mergeCell ref="JL4:JN4"/>
    <mergeCell ref="JO4:JQ4"/>
    <mergeCell ref="JR3:JT3"/>
    <mergeCell ref="JU3:JW3"/>
    <mergeCell ref="JR4:JT4"/>
    <mergeCell ref="JU4:JW4"/>
    <mergeCell ref="JC3:JE3"/>
    <mergeCell ref="JC4:JE4"/>
    <mergeCell ref="JF3:JH3"/>
    <mergeCell ref="JF4:JH4"/>
    <mergeCell ref="JI3:JK3"/>
    <mergeCell ref="JI4:JK4"/>
    <mergeCell ref="HY4:IA4"/>
    <mergeCell ref="HY3:IA3"/>
    <mergeCell ref="IE3:IG3"/>
  </mergeCells>
  <pageMargins left="0.25" right="0.25" top="0.75" bottom="0.75" header="0.3" footer="0.3"/>
  <pageSetup paperSize="9" scale="6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2020-11-02T02:00:20Z</cp:lastPrinted>
  <dcterms:created xsi:type="dcterms:W3CDTF">2018-05-04T00:39:31Z</dcterms:created>
  <dcterms:modified xsi:type="dcterms:W3CDTF">2020-12-29T00:12:48Z</dcterms:modified>
</cp:coreProperties>
</file>